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ata\WitsEIE\eie-marks-template\"/>
    </mc:Choice>
  </mc:AlternateContent>
  <bookViews>
    <workbookView xWindow="0" yWindow="0" windowWidth="22104" windowHeight="9948" tabRatio="755"/>
  </bookViews>
  <sheets>
    <sheet name="Sup" sheetId="49" r:id="rId1"/>
    <sheet name="Overview" sheetId="1" r:id="rId2"/>
    <sheet name="Stats" sheetId="15" r:id="rId3"/>
    <sheet name="Moeniera Upload" sheetId="45" r:id="rId4"/>
    <sheet name="Captured" sheetId="43" r:id="rId5"/>
    <sheet name="Test" sheetId="18" r:id="rId6"/>
    <sheet name="Project" sheetId="16" r:id="rId7"/>
    <sheet name="Exam" sheetId="11" r:id="rId8"/>
    <sheet name="Exam-MCQ" sheetId="38" state="hidden" r:id="rId9"/>
    <sheet name="Def-Sup-MCQ" sheetId="46" state="hidden" r:id="rId10"/>
    <sheet name="Def" sheetId="48" r:id="rId11"/>
    <sheet name="Lab 1" sheetId="22" r:id="rId12"/>
    <sheet name="Lab 2" sheetId="23" r:id="rId13"/>
    <sheet name="Lab 3" sheetId="31" r:id="rId14"/>
    <sheet name="Lab 4" sheetId="32" r:id="rId15"/>
    <sheet name="Template" sheetId="34" r:id="rId16"/>
    <sheet name="Ulwazi Export" sheetId="30" r:id="rId17"/>
    <sheet name="Ulwazi Upload" sheetId="21" r:id="rId18"/>
  </sheets>
  <externalReferences>
    <externalReference r:id="rId19"/>
    <externalReference r:id="rId20"/>
  </externalReferences>
  <definedNames>
    <definedName name="Google_Sheet_Link_341057543" localSheetId="10" hidden="1">[0]!SecondSubmission</definedName>
    <definedName name="Google_Sheet_Link_341057543" localSheetId="9" hidden="1">#N/A</definedName>
    <definedName name="Google_Sheet_Link_341057543" localSheetId="3" hidden="1">#N/A</definedName>
    <definedName name="Google_Sheet_Link_341057543" localSheetId="0" hidden="1">[0]!SecondSubmission</definedName>
    <definedName name="Google_Sheet_Link_341057543" hidden="1">[0]!SecondSubmission</definedName>
    <definedName name="Google_Sheet_Link_459423889" localSheetId="10" hidden="1">Ulwazinew</definedName>
    <definedName name="Google_Sheet_Link_459423889" localSheetId="9" hidden="1">Ulwazinew</definedName>
    <definedName name="Google_Sheet_Link_459423889" localSheetId="3" hidden="1">Ulwazinew</definedName>
    <definedName name="Google_Sheet_Link_459423889" localSheetId="0" hidden="1">Ulwazinew</definedName>
    <definedName name="Google_Sheet_Link_459423889" hidden="1">Ulwazinew</definedName>
    <definedName name="MarksUpload">'[1]Upload Lab'!$A$4:$G$170</definedName>
    <definedName name="Project_SPL">#REF!</definedName>
    <definedName name="Project_Sub_3_SPL">#REF!</definedName>
    <definedName name="ProjMarksUpload">'[1]Upload Project'!$A$4:$G$171</definedName>
    <definedName name="SecondSubmission">#REF!</definedName>
    <definedName name="SupMark" localSheetId="10">INDEX(#REF!,MATCH([2]!All[[#This Row],[Student No.]],#REF!,0))</definedName>
    <definedName name="SupMark" localSheetId="9">INDEX(#REF!,MATCH(All[[#This Row],[Student No.]],#REF!,0))</definedName>
    <definedName name="SupMark" localSheetId="3">INDEX(#REF!,MATCH(All[[#This Row],[Student No.]],#REF!,0))</definedName>
    <definedName name="SupMark" localSheetId="0">INDEX(#REF!,MATCH([2]!All[[#This Row],[Student No.]],#REF!,0))</definedName>
    <definedName name="SupMark">INDEX(#REF!,MATCH(All[[#This Row],[Student No.]],#REF!,0))</definedName>
    <definedName name="test2" hidden="1">Ulwazinew</definedName>
    <definedName name="Ulwazi" localSheetId="10">'[2]Ulwazi Export'!$A$1:$F$166</definedName>
    <definedName name="Ulwazi" localSheetId="0">'[2]Ulwazi Export'!$A$1:$F$166</definedName>
    <definedName name="Ulwazi">'Ulwazi Export'!$A$1:$F$166</definedName>
    <definedName name="ValidMark" localSheetId="10">#REF!</definedName>
    <definedName name="ValidMark" localSheetId="9">Test[[#This Row],[Total (%) Valid]]</definedName>
    <definedName name="ValidMark" localSheetId="3">Test[[#This Row],[Total (%) Valid]]</definedName>
    <definedName name="ValidMark" localSheetId="0">#REF!</definedName>
    <definedName name="ValidMark">Test[[#This Row],[Total (%) Valid]]</definedName>
  </definedNames>
  <calcPr calcId="152511"/>
</workbook>
</file>

<file path=xl/calcChain.xml><?xml version="1.0" encoding="utf-8"?>
<calcChain xmlns="http://schemas.openxmlformats.org/spreadsheetml/2006/main">
  <c r="I8" i="49" l="1"/>
  <c r="H8" i="49"/>
  <c r="G8" i="49"/>
  <c r="F8" i="49"/>
  <c r="J7" i="49"/>
  <c r="J8" i="49" s="1"/>
  <c r="E7" i="49"/>
  <c r="E8" i="49" s="1"/>
  <c r="D7" i="49"/>
  <c r="C7" i="49" s="1"/>
  <c r="J5" i="49"/>
  <c r="D3" i="49"/>
  <c r="D4" i="49" s="1"/>
  <c r="I8" i="48"/>
  <c r="H8" i="48"/>
  <c r="G8" i="48"/>
  <c r="F8" i="48"/>
  <c r="J7" i="48"/>
  <c r="J8" i="48" s="1"/>
  <c r="E7" i="48"/>
  <c r="E8" i="48" s="1"/>
  <c r="D7" i="48"/>
  <c r="C7" i="48" s="1"/>
  <c r="J5" i="48"/>
  <c r="D3" i="48"/>
  <c r="D4" i="48" s="1"/>
  <c r="C9" i="49" l="1"/>
  <c r="C8" i="49"/>
  <c r="D8" i="49"/>
  <c r="C9" i="48"/>
  <c r="C8" i="48"/>
  <c r="D8" i="48"/>
  <c r="D92" i="1" l="1"/>
  <c r="C9" i="18" l="1"/>
  <c r="C7" i="18"/>
  <c r="C8"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D5" i="18" l="1"/>
  <c r="F9" i="18" l="1"/>
  <c r="F13" i="18"/>
  <c r="F18" i="18"/>
  <c r="F21" i="18"/>
  <c r="F25" i="18"/>
  <c r="F30" i="18"/>
  <c r="F33" i="18"/>
  <c r="F37" i="18"/>
  <c r="F42" i="18"/>
  <c r="F45" i="18"/>
  <c r="F49" i="18"/>
  <c r="F55" i="18"/>
  <c r="F57" i="18"/>
  <c r="F61" i="18"/>
  <c r="F67" i="18"/>
  <c r="F69" i="18"/>
  <c r="F73" i="18"/>
  <c r="F79" i="18"/>
  <c r="F81" i="18"/>
  <c r="F85" i="18"/>
  <c r="F93" i="18"/>
  <c r="F97" i="18"/>
  <c r="F103" i="18"/>
  <c r="F105" i="18"/>
  <c r="F109" i="18"/>
  <c r="D141" i="1"/>
  <c r="F117" i="18"/>
  <c r="F121" i="18"/>
  <c r="F127" i="18"/>
  <c r="F129" i="18"/>
  <c r="F133" i="18"/>
  <c r="F139" i="18"/>
  <c r="F141" i="18"/>
  <c r="F8" i="18"/>
  <c r="F10" i="18"/>
  <c r="F11" i="18"/>
  <c r="F12" i="18"/>
  <c r="F14" i="18"/>
  <c r="F15" i="18"/>
  <c r="F16" i="18"/>
  <c r="F17" i="18"/>
  <c r="F19" i="18"/>
  <c r="F20" i="18"/>
  <c r="F22" i="18"/>
  <c r="F23" i="18"/>
  <c r="F24" i="18"/>
  <c r="F26" i="18"/>
  <c r="F27" i="18"/>
  <c r="F28" i="18"/>
  <c r="F29" i="18"/>
  <c r="F31" i="18"/>
  <c r="F32" i="18"/>
  <c r="F34" i="18"/>
  <c r="F35" i="18"/>
  <c r="F36" i="18"/>
  <c r="F38" i="18"/>
  <c r="F39" i="18"/>
  <c r="F40" i="18"/>
  <c r="F41" i="18"/>
  <c r="F43" i="18"/>
  <c r="F44" i="18"/>
  <c r="F46" i="18"/>
  <c r="F47" i="18"/>
  <c r="F48" i="18"/>
  <c r="F50" i="18"/>
  <c r="F51" i="18"/>
  <c r="F52" i="18"/>
  <c r="F53" i="18"/>
  <c r="F54" i="18"/>
  <c r="F56" i="18"/>
  <c r="F58" i="18"/>
  <c r="F59" i="18"/>
  <c r="F60" i="18"/>
  <c r="F62" i="18"/>
  <c r="F63" i="18"/>
  <c r="F64" i="18"/>
  <c r="F65" i="18"/>
  <c r="F66" i="18"/>
  <c r="F68" i="18"/>
  <c r="F70" i="18"/>
  <c r="F71" i="18"/>
  <c r="F72" i="18"/>
  <c r="F74" i="18"/>
  <c r="F75" i="18"/>
  <c r="F76" i="18"/>
  <c r="F77" i="18"/>
  <c r="F78" i="18"/>
  <c r="F80" i="18"/>
  <c r="F82" i="18"/>
  <c r="F83" i="18"/>
  <c r="F84" i="18"/>
  <c r="F86" i="18"/>
  <c r="F87" i="18"/>
  <c r="F88" i="18"/>
  <c r="F89" i="18"/>
  <c r="F90" i="18"/>
  <c r="F91" i="18"/>
  <c r="F92" i="18"/>
  <c r="F94" i="18"/>
  <c r="F95" i="18"/>
  <c r="F96" i="18"/>
  <c r="F98" i="18"/>
  <c r="F99" i="18"/>
  <c r="F100" i="18"/>
  <c r="F101" i="18"/>
  <c r="F102" i="18"/>
  <c r="F104" i="18"/>
  <c r="F106" i="18"/>
  <c r="F107" i="18"/>
  <c r="F108" i="18"/>
  <c r="F110" i="18"/>
  <c r="F111" i="18"/>
  <c r="F112" i="18"/>
  <c r="F113" i="18"/>
  <c r="F114" i="18"/>
  <c r="F116" i="18"/>
  <c r="F118" i="18"/>
  <c r="F119" i="18"/>
  <c r="F120" i="18"/>
  <c r="F122" i="18"/>
  <c r="F123" i="18"/>
  <c r="F124" i="18"/>
  <c r="F125" i="18"/>
  <c r="F126" i="18"/>
  <c r="F128" i="18"/>
  <c r="F130" i="18"/>
  <c r="F131" i="18"/>
  <c r="F132" i="18"/>
  <c r="F134" i="18"/>
  <c r="F135" i="18"/>
  <c r="F136" i="18"/>
  <c r="F137" i="18"/>
  <c r="F138" i="18"/>
  <c r="F140" i="18"/>
  <c r="D39" i="1"/>
  <c r="D81" i="1"/>
  <c r="D128" i="1"/>
  <c r="D5" i="16"/>
  <c r="J5" i="16" s="1"/>
  <c r="E5" i="16"/>
  <c r="F5" i="16"/>
  <c r="G5" i="16"/>
  <c r="H5" i="16"/>
  <c r="I5" i="16"/>
  <c r="K5" i="16"/>
  <c r="M5" i="16" s="1"/>
  <c r="L5" i="16"/>
  <c r="D6" i="16"/>
  <c r="E6" i="16"/>
  <c r="F6" i="16"/>
  <c r="G6" i="16"/>
  <c r="H6" i="16"/>
  <c r="I6" i="16"/>
  <c r="K6" i="16"/>
  <c r="L6" i="16"/>
  <c r="D7" i="16"/>
  <c r="J7" i="16" s="1"/>
  <c r="E7" i="16"/>
  <c r="F7" i="16"/>
  <c r="G7" i="16"/>
  <c r="H7" i="16"/>
  <c r="I7" i="16"/>
  <c r="K7" i="16"/>
  <c r="L7" i="16"/>
  <c r="D8" i="16"/>
  <c r="J8" i="16" s="1"/>
  <c r="E8" i="16"/>
  <c r="F8" i="16"/>
  <c r="G8" i="16"/>
  <c r="H8" i="16"/>
  <c r="I8" i="16"/>
  <c r="K8" i="16"/>
  <c r="M8" i="16" s="1"/>
  <c r="L8" i="16"/>
  <c r="D9" i="16"/>
  <c r="J9" i="16" s="1"/>
  <c r="E9" i="16"/>
  <c r="F9" i="16"/>
  <c r="G9" i="16"/>
  <c r="H9" i="16"/>
  <c r="I9" i="16"/>
  <c r="K9" i="16"/>
  <c r="L9" i="16"/>
  <c r="D10" i="16"/>
  <c r="J10" i="16" s="1"/>
  <c r="E10" i="16"/>
  <c r="F10" i="16"/>
  <c r="G10" i="16"/>
  <c r="H10" i="16"/>
  <c r="I10" i="16"/>
  <c r="K10" i="16"/>
  <c r="L10" i="16"/>
  <c r="D11" i="16"/>
  <c r="E11" i="16"/>
  <c r="F11" i="16"/>
  <c r="G11" i="16"/>
  <c r="H11" i="16"/>
  <c r="I11" i="16"/>
  <c r="K11" i="16"/>
  <c r="M11" i="16" s="1"/>
  <c r="L11" i="16"/>
  <c r="D12" i="16"/>
  <c r="E12" i="16"/>
  <c r="F12" i="16"/>
  <c r="G12" i="16"/>
  <c r="H12" i="16"/>
  <c r="I12" i="16"/>
  <c r="K12" i="16"/>
  <c r="L12" i="16"/>
  <c r="D13" i="16"/>
  <c r="E13" i="16"/>
  <c r="F13" i="16"/>
  <c r="G13" i="16"/>
  <c r="H13" i="16"/>
  <c r="I13" i="16"/>
  <c r="K13" i="16"/>
  <c r="L13" i="16"/>
  <c r="D14" i="16"/>
  <c r="J14" i="16" s="1"/>
  <c r="E14" i="16"/>
  <c r="F14" i="16"/>
  <c r="G14" i="16"/>
  <c r="H14" i="16"/>
  <c r="I14" i="16"/>
  <c r="K14" i="16"/>
  <c r="L14" i="16"/>
  <c r="D15" i="16"/>
  <c r="J15" i="16" s="1"/>
  <c r="E15" i="16"/>
  <c r="F15" i="16"/>
  <c r="G15" i="16"/>
  <c r="H15" i="16"/>
  <c r="I15" i="16"/>
  <c r="K15" i="16"/>
  <c r="L15" i="16"/>
  <c r="D16" i="16"/>
  <c r="E16" i="16"/>
  <c r="F16" i="16"/>
  <c r="G16" i="16"/>
  <c r="H16" i="16"/>
  <c r="I16" i="16"/>
  <c r="K16" i="16"/>
  <c r="L16" i="16"/>
  <c r="D17" i="16"/>
  <c r="E17" i="16"/>
  <c r="F17" i="16"/>
  <c r="G17" i="16"/>
  <c r="H17" i="16"/>
  <c r="I17" i="16"/>
  <c r="K17" i="16"/>
  <c r="M17" i="16" s="1"/>
  <c r="L17" i="16"/>
  <c r="D18" i="16"/>
  <c r="E18" i="16"/>
  <c r="F18" i="16"/>
  <c r="G18" i="16"/>
  <c r="H18" i="16"/>
  <c r="I18" i="16"/>
  <c r="K18" i="16"/>
  <c r="L18" i="16"/>
  <c r="D19" i="16"/>
  <c r="J19" i="16" s="1"/>
  <c r="E19" i="16"/>
  <c r="F19" i="16"/>
  <c r="G19" i="16"/>
  <c r="H19" i="16"/>
  <c r="I19" i="16"/>
  <c r="K19" i="16"/>
  <c r="L19" i="16"/>
  <c r="D20" i="16"/>
  <c r="J20" i="16" s="1"/>
  <c r="E20" i="16"/>
  <c r="F20" i="16"/>
  <c r="G20" i="16"/>
  <c r="H20" i="16"/>
  <c r="I20" i="16"/>
  <c r="K20" i="16"/>
  <c r="L20" i="16"/>
  <c r="D21" i="16"/>
  <c r="J21" i="16" s="1"/>
  <c r="E21" i="16"/>
  <c r="F21" i="16"/>
  <c r="G21" i="16"/>
  <c r="H21" i="16"/>
  <c r="I21" i="16"/>
  <c r="K21" i="16"/>
  <c r="L21" i="16"/>
  <c r="D22" i="16"/>
  <c r="E22" i="16"/>
  <c r="F22" i="16"/>
  <c r="G22" i="16"/>
  <c r="H22" i="16"/>
  <c r="I22" i="16"/>
  <c r="K22" i="16"/>
  <c r="L22" i="16"/>
  <c r="D23" i="16"/>
  <c r="E23" i="16"/>
  <c r="F23" i="16"/>
  <c r="G23" i="16"/>
  <c r="H23" i="16"/>
  <c r="I23" i="16"/>
  <c r="K23" i="16"/>
  <c r="M23" i="16" s="1"/>
  <c r="L23" i="16"/>
  <c r="D24" i="16"/>
  <c r="E24" i="16"/>
  <c r="F24" i="16"/>
  <c r="G24" i="16"/>
  <c r="H24" i="16"/>
  <c r="I24" i="16"/>
  <c r="K24" i="16"/>
  <c r="L24" i="16"/>
  <c r="D25" i="16"/>
  <c r="J25" i="16" s="1"/>
  <c r="E25" i="16"/>
  <c r="F25" i="16"/>
  <c r="G25" i="16"/>
  <c r="H25" i="16"/>
  <c r="I25" i="16"/>
  <c r="K25" i="16"/>
  <c r="L25" i="16"/>
  <c r="D26" i="16"/>
  <c r="J26" i="16" s="1"/>
  <c r="E26" i="16"/>
  <c r="F26" i="16"/>
  <c r="G26" i="16"/>
  <c r="H26" i="16"/>
  <c r="I26" i="16"/>
  <c r="K26" i="16"/>
  <c r="L26" i="16"/>
  <c r="D27" i="16"/>
  <c r="J27" i="16" s="1"/>
  <c r="E27" i="16"/>
  <c r="F27" i="16"/>
  <c r="G27" i="16"/>
  <c r="H27" i="16"/>
  <c r="I27" i="16"/>
  <c r="K27" i="16"/>
  <c r="L27" i="16"/>
  <c r="D28" i="16"/>
  <c r="E28" i="16"/>
  <c r="F28" i="16"/>
  <c r="G28" i="16"/>
  <c r="H28" i="16"/>
  <c r="I28" i="16"/>
  <c r="K28" i="16"/>
  <c r="L28" i="16"/>
  <c r="D29" i="16"/>
  <c r="E29" i="16"/>
  <c r="F29" i="16"/>
  <c r="G29" i="16"/>
  <c r="H29" i="16"/>
  <c r="I29" i="16"/>
  <c r="K29" i="16"/>
  <c r="M29" i="16" s="1"/>
  <c r="L29" i="16"/>
  <c r="D30" i="16"/>
  <c r="E30" i="16"/>
  <c r="F30" i="16"/>
  <c r="G30" i="16"/>
  <c r="H30" i="16"/>
  <c r="I30" i="16"/>
  <c r="K30" i="16"/>
  <c r="L30" i="16"/>
  <c r="D31" i="16"/>
  <c r="J31" i="16" s="1"/>
  <c r="E31" i="16"/>
  <c r="F31" i="16"/>
  <c r="G31" i="16"/>
  <c r="H31" i="16"/>
  <c r="I31" i="16"/>
  <c r="K31" i="16"/>
  <c r="L31" i="16"/>
  <c r="D32" i="16"/>
  <c r="J32" i="16" s="1"/>
  <c r="E32" i="16"/>
  <c r="F32" i="16"/>
  <c r="G32" i="16"/>
  <c r="H32" i="16"/>
  <c r="I32" i="16"/>
  <c r="K32" i="16"/>
  <c r="L32" i="16"/>
  <c r="D33" i="16"/>
  <c r="J33" i="16" s="1"/>
  <c r="E33" i="16"/>
  <c r="F33" i="16"/>
  <c r="G33" i="16"/>
  <c r="H33" i="16"/>
  <c r="I33" i="16"/>
  <c r="K33" i="16"/>
  <c r="L33" i="16"/>
  <c r="D34" i="16"/>
  <c r="J34" i="16" s="1"/>
  <c r="E34" i="16"/>
  <c r="F34" i="16"/>
  <c r="G34" i="16"/>
  <c r="H34" i="16"/>
  <c r="I34" i="16"/>
  <c r="K34" i="16"/>
  <c r="L34" i="16"/>
  <c r="D35" i="16"/>
  <c r="E35" i="16"/>
  <c r="F35" i="16"/>
  <c r="G35" i="16"/>
  <c r="H35" i="16"/>
  <c r="I35" i="16"/>
  <c r="K35" i="16"/>
  <c r="M35" i="16" s="1"/>
  <c r="L35" i="16"/>
  <c r="D36" i="16"/>
  <c r="E36" i="16"/>
  <c r="F36" i="16"/>
  <c r="G36" i="16"/>
  <c r="H36" i="16"/>
  <c r="I36" i="16"/>
  <c r="K36" i="16"/>
  <c r="L36" i="16"/>
  <c r="D37" i="16"/>
  <c r="J37" i="16" s="1"/>
  <c r="E37" i="16"/>
  <c r="F37" i="16"/>
  <c r="G37" i="16"/>
  <c r="H37" i="16"/>
  <c r="I37" i="16"/>
  <c r="K37" i="16"/>
  <c r="L37" i="16"/>
  <c r="D38" i="16"/>
  <c r="J38" i="16" s="1"/>
  <c r="E38" i="16"/>
  <c r="F38" i="16"/>
  <c r="G38" i="16"/>
  <c r="H38" i="16"/>
  <c r="I38" i="16"/>
  <c r="K38" i="16"/>
  <c r="L38" i="16"/>
  <c r="D39" i="16"/>
  <c r="J39" i="16" s="1"/>
  <c r="E39" i="16"/>
  <c r="F39" i="16"/>
  <c r="G39" i="16"/>
  <c r="H39" i="16"/>
  <c r="I39" i="16"/>
  <c r="K39" i="16"/>
  <c r="L39" i="16"/>
  <c r="D40" i="16"/>
  <c r="E40" i="16"/>
  <c r="F40" i="16"/>
  <c r="G40" i="16"/>
  <c r="H40" i="16"/>
  <c r="I40" i="16"/>
  <c r="K40" i="16"/>
  <c r="L40" i="16"/>
  <c r="D41" i="16"/>
  <c r="E41" i="16"/>
  <c r="F41" i="16"/>
  <c r="G41" i="16"/>
  <c r="H41" i="16"/>
  <c r="I41" i="16"/>
  <c r="K41" i="16"/>
  <c r="M41" i="16" s="1"/>
  <c r="L41" i="16"/>
  <c r="D42" i="16"/>
  <c r="E42" i="16"/>
  <c r="F42" i="16"/>
  <c r="G42" i="16"/>
  <c r="H42" i="16"/>
  <c r="I42" i="16"/>
  <c r="K42" i="16"/>
  <c r="L42" i="16"/>
  <c r="D43" i="16"/>
  <c r="J43" i="16" s="1"/>
  <c r="E43" i="16"/>
  <c r="F43" i="16"/>
  <c r="G43" i="16"/>
  <c r="H43" i="16"/>
  <c r="I43" i="16"/>
  <c r="K43" i="16"/>
  <c r="L43" i="16"/>
  <c r="D44" i="16"/>
  <c r="J44" i="16" s="1"/>
  <c r="E44" i="16"/>
  <c r="F44" i="16"/>
  <c r="G44" i="16"/>
  <c r="H44" i="16"/>
  <c r="I44" i="16"/>
  <c r="K44" i="16"/>
  <c r="L44" i="16"/>
  <c r="D45" i="16"/>
  <c r="J45" i="16" s="1"/>
  <c r="E45" i="16"/>
  <c r="F45" i="16"/>
  <c r="G45" i="16"/>
  <c r="H45" i="16"/>
  <c r="I45" i="16"/>
  <c r="K45" i="16"/>
  <c r="L45" i="16"/>
  <c r="D46" i="16"/>
  <c r="E46" i="16"/>
  <c r="F46" i="16"/>
  <c r="G46" i="16"/>
  <c r="H46" i="16"/>
  <c r="I46" i="16"/>
  <c r="K46" i="16"/>
  <c r="L46" i="16"/>
  <c r="D47" i="16"/>
  <c r="E47" i="16"/>
  <c r="F47" i="16"/>
  <c r="G47" i="16"/>
  <c r="H47" i="16"/>
  <c r="I47" i="16"/>
  <c r="K47" i="16"/>
  <c r="M47" i="16" s="1"/>
  <c r="L47" i="16"/>
  <c r="D48" i="16"/>
  <c r="E48" i="16"/>
  <c r="F48" i="16"/>
  <c r="G48" i="16"/>
  <c r="H48" i="16"/>
  <c r="I48" i="16"/>
  <c r="K48" i="16"/>
  <c r="L48" i="16"/>
  <c r="D49" i="16"/>
  <c r="J49" i="16" s="1"/>
  <c r="E49" i="16"/>
  <c r="F49" i="16"/>
  <c r="G49" i="16"/>
  <c r="H49" i="16"/>
  <c r="I49" i="16"/>
  <c r="K49" i="16"/>
  <c r="L49" i="16"/>
  <c r="D50" i="16"/>
  <c r="J50" i="16" s="1"/>
  <c r="E50" i="16"/>
  <c r="F50" i="16"/>
  <c r="G50" i="16"/>
  <c r="H50" i="16"/>
  <c r="I50" i="16"/>
  <c r="K50" i="16"/>
  <c r="L50" i="16"/>
  <c r="D51" i="16"/>
  <c r="J51" i="16" s="1"/>
  <c r="E51" i="16"/>
  <c r="F51" i="16"/>
  <c r="G51" i="16"/>
  <c r="H51" i="16"/>
  <c r="I51" i="16"/>
  <c r="K51" i="16"/>
  <c r="L51" i="16"/>
  <c r="D52" i="16"/>
  <c r="E52" i="16"/>
  <c r="F52" i="16"/>
  <c r="G52" i="16"/>
  <c r="H52" i="16"/>
  <c r="I52" i="16"/>
  <c r="K52" i="16"/>
  <c r="L52" i="16"/>
  <c r="D53" i="16"/>
  <c r="E53" i="16"/>
  <c r="F53" i="16"/>
  <c r="G53" i="16"/>
  <c r="H53" i="16"/>
  <c r="I53" i="16"/>
  <c r="K53" i="16"/>
  <c r="M53" i="16" s="1"/>
  <c r="L53" i="16"/>
  <c r="D54" i="16"/>
  <c r="E54" i="16"/>
  <c r="F54" i="16"/>
  <c r="G54" i="16"/>
  <c r="H54" i="16"/>
  <c r="I54" i="16"/>
  <c r="K54" i="16"/>
  <c r="L54" i="16"/>
  <c r="D55" i="16"/>
  <c r="J55" i="16" s="1"/>
  <c r="E55" i="16"/>
  <c r="F55" i="16"/>
  <c r="G55" i="16"/>
  <c r="H55" i="16"/>
  <c r="I55" i="16"/>
  <c r="K55" i="16"/>
  <c r="M55" i="16" s="1"/>
  <c r="L55" i="16"/>
  <c r="D56" i="16"/>
  <c r="J56" i="16" s="1"/>
  <c r="E56" i="16"/>
  <c r="F56" i="16"/>
  <c r="G56" i="16"/>
  <c r="H56" i="16"/>
  <c r="I56" i="16"/>
  <c r="K56" i="16"/>
  <c r="L56" i="16"/>
  <c r="D57" i="16"/>
  <c r="J57" i="16" s="1"/>
  <c r="E57" i="16"/>
  <c r="F57" i="16"/>
  <c r="G57" i="16"/>
  <c r="H57" i="16"/>
  <c r="I57" i="16"/>
  <c r="K57" i="16"/>
  <c r="L57" i="16"/>
  <c r="D58" i="16"/>
  <c r="E58" i="16"/>
  <c r="F58" i="16"/>
  <c r="G58" i="16"/>
  <c r="H58" i="16"/>
  <c r="I58" i="16"/>
  <c r="K58" i="16"/>
  <c r="L58" i="16"/>
  <c r="D59" i="16"/>
  <c r="E59" i="16"/>
  <c r="F59" i="16"/>
  <c r="G59" i="16"/>
  <c r="H59" i="16"/>
  <c r="I59" i="16"/>
  <c r="K59" i="16"/>
  <c r="M59" i="16" s="1"/>
  <c r="L59" i="16"/>
  <c r="D60" i="16"/>
  <c r="E60" i="16"/>
  <c r="F60" i="16"/>
  <c r="G60" i="16"/>
  <c r="H60" i="16"/>
  <c r="I60" i="16"/>
  <c r="K60" i="16"/>
  <c r="L60" i="16"/>
  <c r="D61" i="16"/>
  <c r="J61" i="16" s="1"/>
  <c r="E61" i="16"/>
  <c r="F61" i="16"/>
  <c r="G61" i="16"/>
  <c r="H61" i="16"/>
  <c r="I61" i="16"/>
  <c r="K61" i="16"/>
  <c r="M61" i="16" s="1"/>
  <c r="L61" i="16"/>
  <c r="D62" i="16"/>
  <c r="J62" i="16" s="1"/>
  <c r="E62" i="16"/>
  <c r="F62" i="16"/>
  <c r="G62" i="16"/>
  <c r="H62" i="16"/>
  <c r="I62" i="16"/>
  <c r="K62" i="16"/>
  <c r="L62" i="16"/>
  <c r="D63" i="16"/>
  <c r="J63" i="16" s="1"/>
  <c r="E63" i="16"/>
  <c r="F63" i="16"/>
  <c r="G63" i="16"/>
  <c r="H63" i="16"/>
  <c r="I63" i="16"/>
  <c r="K63" i="16"/>
  <c r="L63" i="16"/>
  <c r="D64" i="16"/>
  <c r="E64" i="16"/>
  <c r="F64" i="16"/>
  <c r="G64" i="16"/>
  <c r="H64" i="16"/>
  <c r="I64" i="16"/>
  <c r="K64" i="16"/>
  <c r="L64" i="16"/>
  <c r="E65" i="16"/>
  <c r="F65" i="16"/>
  <c r="G65" i="16"/>
  <c r="H65" i="16"/>
  <c r="I65" i="16"/>
  <c r="K65" i="16"/>
  <c r="L65" i="16"/>
  <c r="M65" i="16" s="1"/>
  <c r="D66" i="16"/>
  <c r="E66" i="16"/>
  <c r="F66" i="16"/>
  <c r="G66" i="16"/>
  <c r="H66" i="16"/>
  <c r="I66" i="16"/>
  <c r="K66" i="16"/>
  <c r="L66" i="16"/>
  <c r="D67" i="16"/>
  <c r="J67" i="16" s="1"/>
  <c r="E67" i="16"/>
  <c r="F67" i="16"/>
  <c r="G67" i="16"/>
  <c r="H67" i="16"/>
  <c r="I67" i="16"/>
  <c r="K67" i="16"/>
  <c r="L67" i="16"/>
  <c r="D68" i="16"/>
  <c r="J68" i="16" s="1"/>
  <c r="E68" i="16"/>
  <c r="F68" i="16"/>
  <c r="G68" i="16"/>
  <c r="H68" i="16"/>
  <c r="I68" i="16"/>
  <c r="K68" i="16"/>
  <c r="L68" i="16"/>
  <c r="D69" i="16"/>
  <c r="J69" i="16" s="1"/>
  <c r="E69" i="16"/>
  <c r="F69" i="16"/>
  <c r="G69" i="16"/>
  <c r="H69" i="16"/>
  <c r="I69" i="16"/>
  <c r="K69" i="16"/>
  <c r="L69" i="16"/>
  <c r="D70" i="16"/>
  <c r="E70" i="16"/>
  <c r="F70" i="16"/>
  <c r="G70" i="16"/>
  <c r="H70" i="16"/>
  <c r="I70" i="16"/>
  <c r="K70" i="16"/>
  <c r="L70" i="16"/>
  <c r="D71" i="16"/>
  <c r="J71" i="16" s="1"/>
  <c r="E71" i="16"/>
  <c r="F71" i="16"/>
  <c r="G71" i="16"/>
  <c r="H71" i="16"/>
  <c r="I71" i="16"/>
  <c r="K71" i="16"/>
  <c r="L71" i="16"/>
  <c r="D72" i="16"/>
  <c r="E72" i="16"/>
  <c r="F72" i="16"/>
  <c r="G72" i="16"/>
  <c r="H72" i="16"/>
  <c r="I72" i="16"/>
  <c r="K72" i="16"/>
  <c r="L72" i="16"/>
  <c r="D73" i="16"/>
  <c r="J73" i="16" s="1"/>
  <c r="E73" i="16"/>
  <c r="F73" i="16"/>
  <c r="G73" i="16"/>
  <c r="H73" i="16"/>
  <c r="I73" i="16"/>
  <c r="K73" i="16"/>
  <c r="L73" i="16"/>
  <c r="D74" i="16"/>
  <c r="J74" i="16" s="1"/>
  <c r="E74" i="16"/>
  <c r="F74" i="16"/>
  <c r="G74" i="16"/>
  <c r="H74" i="16"/>
  <c r="I74" i="16"/>
  <c r="K74" i="16"/>
  <c r="L74" i="16"/>
  <c r="D75" i="16"/>
  <c r="J75" i="16" s="1"/>
  <c r="E75" i="16"/>
  <c r="F75" i="16"/>
  <c r="G75" i="16"/>
  <c r="H75" i="16"/>
  <c r="I75" i="16"/>
  <c r="K75" i="16"/>
  <c r="L75" i="16"/>
  <c r="D76" i="16"/>
  <c r="E76" i="16"/>
  <c r="F76" i="16"/>
  <c r="G76" i="16"/>
  <c r="H76" i="16"/>
  <c r="I76" i="16"/>
  <c r="K76" i="16"/>
  <c r="L76" i="16"/>
  <c r="D77" i="16"/>
  <c r="J77" i="16" s="1"/>
  <c r="E77" i="16"/>
  <c r="F77" i="16"/>
  <c r="G77" i="16"/>
  <c r="H77" i="16"/>
  <c r="I77" i="16"/>
  <c r="K77" i="16"/>
  <c r="L77" i="16"/>
  <c r="D78" i="16"/>
  <c r="E78" i="16"/>
  <c r="F78" i="16"/>
  <c r="G78" i="16"/>
  <c r="H78" i="16"/>
  <c r="I78" i="16"/>
  <c r="K78" i="16"/>
  <c r="L78" i="16"/>
  <c r="D79" i="16"/>
  <c r="J79" i="16" s="1"/>
  <c r="E79" i="16"/>
  <c r="F79" i="16"/>
  <c r="G79" i="16"/>
  <c r="H79" i="16"/>
  <c r="I79" i="16"/>
  <c r="K79" i="16"/>
  <c r="L79" i="16"/>
  <c r="D80" i="16"/>
  <c r="J80" i="16" s="1"/>
  <c r="E80" i="16"/>
  <c r="F80" i="16"/>
  <c r="G80" i="16"/>
  <c r="H80" i="16"/>
  <c r="I80" i="16"/>
  <c r="K80" i="16"/>
  <c r="L80" i="16"/>
  <c r="D81" i="16"/>
  <c r="J81" i="16" s="1"/>
  <c r="E81" i="16"/>
  <c r="F81" i="16"/>
  <c r="G81" i="16"/>
  <c r="H81" i="16"/>
  <c r="I81" i="16"/>
  <c r="K81" i="16"/>
  <c r="L81" i="16"/>
  <c r="D82" i="16"/>
  <c r="E82" i="16"/>
  <c r="F82" i="16"/>
  <c r="G82" i="16"/>
  <c r="H82" i="16"/>
  <c r="I82" i="16"/>
  <c r="K82" i="16"/>
  <c r="L82" i="16"/>
  <c r="D83" i="16"/>
  <c r="J83" i="16" s="1"/>
  <c r="E83" i="16"/>
  <c r="F83" i="16"/>
  <c r="G83" i="16"/>
  <c r="H83" i="16"/>
  <c r="I83" i="16"/>
  <c r="K83" i="16"/>
  <c r="L83" i="16"/>
  <c r="D84" i="16"/>
  <c r="E84" i="16"/>
  <c r="F84" i="16"/>
  <c r="G84" i="16"/>
  <c r="H84" i="16"/>
  <c r="I84" i="16"/>
  <c r="K84" i="16"/>
  <c r="L84" i="16"/>
  <c r="D85" i="16"/>
  <c r="J85" i="16" s="1"/>
  <c r="E85" i="16"/>
  <c r="F85" i="16"/>
  <c r="G85" i="16"/>
  <c r="H85" i="16"/>
  <c r="I85" i="16"/>
  <c r="K85" i="16"/>
  <c r="L85" i="16"/>
  <c r="D86" i="16"/>
  <c r="J86" i="16" s="1"/>
  <c r="E86" i="16"/>
  <c r="F86" i="16"/>
  <c r="G86" i="16"/>
  <c r="H86" i="16"/>
  <c r="I86" i="16"/>
  <c r="K86" i="16"/>
  <c r="L86" i="16"/>
  <c r="D87" i="16"/>
  <c r="J87" i="16" s="1"/>
  <c r="E87" i="16"/>
  <c r="F87" i="16"/>
  <c r="G87" i="16"/>
  <c r="H87" i="16"/>
  <c r="I87" i="16"/>
  <c r="K87" i="16"/>
  <c r="L87" i="16"/>
  <c r="D88" i="16"/>
  <c r="E88" i="16"/>
  <c r="F88" i="16"/>
  <c r="G88" i="16"/>
  <c r="H88" i="16"/>
  <c r="I88" i="16"/>
  <c r="K88" i="16"/>
  <c r="L88" i="16"/>
  <c r="D89" i="16"/>
  <c r="J89" i="16" s="1"/>
  <c r="E89" i="16"/>
  <c r="F89" i="16"/>
  <c r="G89" i="16"/>
  <c r="H89" i="16"/>
  <c r="I89" i="16"/>
  <c r="K89" i="16"/>
  <c r="L89" i="16"/>
  <c r="D90" i="16"/>
  <c r="E90" i="16"/>
  <c r="F90" i="16"/>
  <c r="G90" i="16"/>
  <c r="H90" i="16"/>
  <c r="I90" i="16"/>
  <c r="K90" i="16"/>
  <c r="L90" i="16"/>
  <c r="D91" i="16"/>
  <c r="J91" i="16" s="1"/>
  <c r="E91" i="16"/>
  <c r="F91" i="16"/>
  <c r="G91" i="16"/>
  <c r="H91" i="16"/>
  <c r="I91" i="16"/>
  <c r="K91" i="16"/>
  <c r="L91" i="16"/>
  <c r="D92" i="16"/>
  <c r="J92" i="16" s="1"/>
  <c r="E92" i="16"/>
  <c r="F92" i="16"/>
  <c r="G92" i="16"/>
  <c r="H92" i="16"/>
  <c r="I92" i="16"/>
  <c r="K92" i="16"/>
  <c r="L92" i="16"/>
  <c r="D93" i="16"/>
  <c r="J93" i="16" s="1"/>
  <c r="E93" i="16"/>
  <c r="F93" i="16"/>
  <c r="G93" i="16"/>
  <c r="H93" i="16"/>
  <c r="I93" i="16"/>
  <c r="K93" i="16"/>
  <c r="L93" i="16"/>
  <c r="D94" i="16"/>
  <c r="E94" i="16"/>
  <c r="F94" i="16"/>
  <c r="G94" i="16"/>
  <c r="H94" i="16"/>
  <c r="I94" i="16"/>
  <c r="K94" i="16"/>
  <c r="L94" i="16"/>
  <c r="D95" i="16"/>
  <c r="J95" i="16" s="1"/>
  <c r="E95" i="16"/>
  <c r="F95" i="16"/>
  <c r="G95" i="16"/>
  <c r="H95" i="16"/>
  <c r="I95" i="16"/>
  <c r="K95" i="16"/>
  <c r="L95" i="16"/>
  <c r="D96" i="16"/>
  <c r="E96" i="16"/>
  <c r="F96" i="16"/>
  <c r="G96" i="16"/>
  <c r="H96" i="16"/>
  <c r="I96" i="16"/>
  <c r="K96" i="16"/>
  <c r="L96" i="16"/>
  <c r="D97" i="16"/>
  <c r="J97" i="16" s="1"/>
  <c r="E97" i="16"/>
  <c r="F97" i="16"/>
  <c r="G97" i="16"/>
  <c r="H97" i="16"/>
  <c r="I97" i="16"/>
  <c r="K97" i="16"/>
  <c r="L97" i="16"/>
  <c r="D98" i="16"/>
  <c r="J98" i="16" s="1"/>
  <c r="E98" i="16"/>
  <c r="F98" i="16"/>
  <c r="G98" i="16"/>
  <c r="H98" i="16"/>
  <c r="I98" i="16"/>
  <c r="K98" i="16"/>
  <c r="L98" i="16"/>
  <c r="D99" i="16"/>
  <c r="J99" i="16" s="1"/>
  <c r="E99" i="16"/>
  <c r="F99" i="16"/>
  <c r="G99" i="16"/>
  <c r="H99" i="16"/>
  <c r="I99" i="16"/>
  <c r="K99" i="16"/>
  <c r="L99" i="16"/>
  <c r="D100" i="16"/>
  <c r="E100" i="16"/>
  <c r="F100" i="16"/>
  <c r="G100" i="16"/>
  <c r="H100" i="16"/>
  <c r="I100" i="16"/>
  <c r="K100" i="16"/>
  <c r="L100" i="16"/>
  <c r="D101" i="16"/>
  <c r="J101" i="16" s="1"/>
  <c r="E101" i="16"/>
  <c r="F101" i="16"/>
  <c r="G101" i="16"/>
  <c r="H101" i="16"/>
  <c r="I101" i="16"/>
  <c r="K101" i="16"/>
  <c r="L101" i="16"/>
  <c r="D102" i="16"/>
  <c r="E102" i="16"/>
  <c r="F102" i="16"/>
  <c r="J102" i="16" s="1"/>
  <c r="G102" i="16"/>
  <c r="H102" i="16"/>
  <c r="I102" i="16"/>
  <c r="K102" i="16"/>
  <c r="L102" i="16"/>
  <c r="D103" i="16"/>
  <c r="J103" i="16" s="1"/>
  <c r="E103" i="16"/>
  <c r="F103" i="16"/>
  <c r="G103" i="16"/>
  <c r="H103" i="16"/>
  <c r="I103" i="16"/>
  <c r="K103" i="16"/>
  <c r="L103" i="16"/>
  <c r="D104" i="16"/>
  <c r="J104" i="16" s="1"/>
  <c r="E104" i="16"/>
  <c r="F104" i="16"/>
  <c r="G104" i="16"/>
  <c r="H104" i="16"/>
  <c r="I104" i="16"/>
  <c r="K104" i="16"/>
  <c r="L104" i="16"/>
  <c r="D105" i="16"/>
  <c r="J105" i="16" s="1"/>
  <c r="E105" i="16"/>
  <c r="F105" i="16"/>
  <c r="G105" i="16"/>
  <c r="H105" i="16"/>
  <c r="I105" i="16"/>
  <c r="K105" i="16"/>
  <c r="L105" i="16"/>
  <c r="D106" i="16"/>
  <c r="E106" i="16"/>
  <c r="F106" i="16"/>
  <c r="G106" i="16"/>
  <c r="H106" i="16"/>
  <c r="I106" i="16"/>
  <c r="K106" i="16"/>
  <c r="L106" i="16"/>
  <c r="D107" i="16"/>
  <c r="J107" i="16" s="1"/>
  <c r="E107" i="16"/>
  <c r="F107" i="16"/>
  <c r="G107" i="16"/>
  <c r="H107" i="16"/>
  <c r="I107" i="16"/>
  <c r="K107" i="16"/>
  <c r="L107" i="16"/>
  <c r="D108" i="16"/>
  <c r="E108" i="16"/>
  <c r="F108" i="16"/>
  <c r="G108" i="16"/>
  <c r="H108" i="16"/>
  <c r="I108" i="16"/>
  <c r="K108" i="16"/>
  <c r="L108" i="16"/>
  <c r="D109" i="16"/>
  <c r="J109" i="16" s="1"/>
  <c r="E109" i="16"/>
  <c r="F109" i="16"/>
  <c r="G109" i="16"/>
  <c r="H109" i="16"/>
  <c r="I109" i="16"/>
  <c r="K109" i="16"/>
  <c r="L109" i="16"/>
  <c r="D110" i="16"/>
  <c r="J110" i="16" s="1"/>
  <c r="E110" i="16"/>
  <c r="F110" i="16"/>
  <c r="G110" i="16"/>
  <c r="H110" i="16"/>
  <c r="I110" i="16"/>
  <c r="K110" i="16"/>
  <c r="L110" i="16"/>
  <c r="D111" i="16"/>
  <c r="J111" i="16" s="1"/>
  <c r="E111" i="16"/>
  <c r="F111" i="16"/>
  <c r="G111" i="16"/>
  <c r="H111" i="16"/>
  <c r="I111" i="16"/>
  <c r="K111" i="16"/>
  <c r="L111" i="16"/>
  <c r="D112" i="16"/>
  <c r="E112" i="16"/>
  <c r="F112" i="16"/>
  <c r="G112" i="16"/>
  <c r="H112" i="16"/>
  <c r="I112" i="16"/>
  <c r="K112" i="16"/>
  <c r="L112" i="16"/>
  <c r="D113" i="16"/>
  <c r="J113" i="16" s="1"/>
  <c r="E113" i="16"/>
  <c r="F113" i="16"/>
  <c r="G113" i="16"/>
  <c r="H113" i="16"/>
  <c r="I113" i="16"/>
  <c r="K113" i="16"/>
  <c r="L113" i="16"/>
  <c r="D114" i="16"/>
  <c r="E114" i="16"/>
  <c r="F114" i="16"/>
  <c r="G114" i="16"/>
  <c r="H114" i="16"/>
  <c r="I114" i="16"/>
  <c r="K114" i="16"/>
  <c r="L114" i="16"/>
  <c r="D115" i="16"/>
  <c r="J115" i="16" s="1"/>
  <c r="E115" i="16"/>
  <c r="F115" i="16"/>
  <c r="G115" i="16"/>
  <c r="H115" i="16"/>
  <c r="I115" i="16"/>
  <c r="K115" i="16"/>
  <c r="L115" i="16"/>
  <c r="D116" i="16"/>
  <c r="J116" i="16" s="1"/>
  <c r="E116" i="16"/>
  <c r="F116" i="16"/>
  <c r="G116" i="16"/>
  <c r="H116" i="16"/>
  <c r="I116" i="16"/>
  <c r="K116" i="16"/>
  <c r="L116" i="16"/>
  <c r="D117" i="16"/>
  <c r="J117" i="16" s="1"/>
  <c r="E117" i="16"/>
  <c r="F117" i="16"/>
  <c r="G117" i="16"/>
  <c r="H117" i="16"/>
  <c r="I117" i="16"/>
  <c r="K117" i="16"/>
  <c r="L117" i="16"/>
  <c r="D118" i="16"/>
  <c r="E118" i="16"/>
  <c r="F118" i="16"/>
  <c r="G118" i="16"/>
  <c r="H118" i="16"/>
  <c r="I118" i="16"/>
  <c r="K118" i="16"/>
  <c r="L118" i="16"/>
  <c r="D119" i="16"/>
  <c r="J119" i="16" s="1"/>
  <c r="E119" i="16"/>
  <c r="F119" i="16"/>
  <c r="G119" i="16"/>
  <c r="H119" i="16"/>
  <c r="I119" i="16"/>
  <c r="K119" i="16"/>
  <c r="L119" i="16"/>
  <c r="D120" i="16"/>
  <c r="E120" i="16"/>
  <c r="F120" i="16"/>
  <c r="G120" i="16"/>
  <c r="H120" i="16"/>
  <c r="I120" i="16"/>
  <c r="K120" i="16"/>
  <c r="L120" i="16"/>
  <c r="D121" i="16"/>
  <c r="J121" i="16" s="1"/>
  <c r="E121" i="16"/>
  <c r="F121" i="16"/>
  <c r="G121" i="16"/>
  <c r="H121" i="16"/>
  <c r="I121" i="16"/>
  <c r="K121" i="16"/>
  <c r="L121" i="16"/>
  <c r="D122" i="16"/>
  <c r="J122" i="16" s="1"/>
  <c r="E122" i="16"/>
  <c r="F122" i="16"/>
  <c r="G122" i="16"/>
  <c r="H122" i="16"/>
  <c r="I122" i="16"/>
  <c r="K122" i="16"/>
  <c r="L122" i="16"/>
  <c r="D123" i="16"/>
  <c r="J123" i="16" s="1"/>
  <c r="E123" i="16"/>
  <c r="F123" i="16"/>
  <c r="G123" i="16"/>
  <c r="H123" i="16"/>
  <c r="I123" i="16"/>
  <c r="K123" i="16"/>
  <c r="L123" i="16"/>
  <c r="D124" i="16"/>
  <c r="E124" i="16"/>
  <c r="F124" i="16"/>
  <c r="G124" i="16"/>
  <c r="H124" i="16"/>
  <c r="I124" i="16"/>
  <c r="K124" i="16"/>
  <c r="L124" i="16"/>
  <c r="D125" i="16"/>
  <c r="J125" i="16" s="1"/>
  <c r="E125" i="16"/>
  <c r="F125" i="16"/>
  <c r="G125" i="16"/>
  <c r="H125" i="16"/>
  <c r="I125" i="16"/>
  <c r="K125" i="16"/>
  <c r="L125" i="16"/>
  <c r="D126" i="16"/>
  <c r="E126" i="16"/>
  <c r="F126" i="16"/>
  <c r="G126" i="16"/>
  <c r="H126" i="16"/>
  <c r="I126" i="16"/>
  <c r="K126" i="16"/>
  <c r="L126" i="16"/>
  <c r="D127" i="16"/>
  <c r="J127" i="16" s="1"/>
  <c r="E127" i="16"/>
  <c r="F127" i="16"/>
  <c r="G127" i="16"/>
  <c r="H127" i="16"/>
  <c r="I127" i="16"/>
  <c r="K127" i="16"/>
  <c r="L127" i="16"/>
  <c r="E128" i="16"/>
  <c r="F128" i="16"/>
  <c r="G128" i="16"/>
  <c r="H128" i="16"/>
  <c r="I128" i="16"/>
  <c r="K128" i="16"/>
  <c r="L128" i="16"/>
  <c r="D129" i="16"/>
  <c r="J129" i="16" s="1"/>
  <c r="E129" i="16"/>
  <c r="F129" i="16"/>
  <c r="G129" i="16"/>
  <c r="H129" i="16"/>
  <c r="I129" i="16"/>
  <c r="K129" i="16"/>
  <c r="L129" i="16"/>
  <c r="D130" i="16"/>
  <c r="J130" i="16" s="1"/>
  <c r="E130" i="16"/>
  <c r="F130" i="16"/>
  <c r="G130" i="16"/>
  <c r="H130" i="16"/>
  <c r="I130" i="16"/>
  <c r="K130" i="16"/>
  <c r="L130" i="16"/>
  <c r="D131" i="16"/>
  <c r="E131" i="16"/>
  <c r="F131" i="16"/>
  <c r="G131" i="16"/>
  <c r="H131" i="16"/>
  <c r="I131" i="16"/>
  <c r="K131" i="16"/>
  <c r="L131" i="16"/>
  <c r="D132" i="16"/>
  <c r="E132" i="16"/>
  <c r="F132" i="16"/>
  <c r="G132" i="16"/>
  <c r="H132" i="16"/>
  <c r="I132" i="16"/>
  <c r="K132" i="16"/>
  <c r="L132" i="16"/>
  <c r="D133" i="16"/>
  <c r="E133" i="16"/>
  <c r="F133" i="16"/>
  <c r="G133" i="16"/>
  <c r="H133" i="16"/>
  <c r="I133" i="16"/>
  <c r="K133" i="16"/>
  <c r="L133" i="16"/>
  <c r="D134" i="16"/>
  <c r="J134" i="16" s="1"/>
  <c r="E134" i="16"/>
  <c r="F134" i="16"/>
  <c r="G134" i="16"/>
  <c r="H134" i="16"/>
  <c r="I134" i="16"/>
  <c r="K134" i="16"/>
  <c r="L134" i="16"/>
  <c r="D135" i="16"/>
  <c r="J135" i="16" s="1"/>
  <c r="E135" i="16"/>
  <c r="F135" i="16"/>
  <c r="G135" i="16"/>
  <c r="H135" i="16"/>
  <c r="I135" i="16"/>
  <c r="K135" i="16"/>
  <c r="L135" i="16"/>
  <c r="D136" i="16"/>
  <c r="J136" i="16" s="1"/>
  <c r="E136" i="16"/>
  <c r="F136" i="16"/>
  <c r="G136" i="16"/>
  <c r="H136" i="16"/>
  <c r="I136" i="16"/>
  <c r="K136" i="16"/>
  <c r="L136" i="16"/>
  <c r="D137" i="16"/>
  <c r="E137" i="16"/>
  <c r="F137" i="16"/>
  <c r="G137" i="16"/>
  <c r="H137" i="16"/>
  <c r="I137" i="16"/>
  <c r="K137" i="16"/>
  <c r="L137" i="16"/>
  <c r="D138" i="16"/>
  <c r="E138" i="16"/>
  <c r="F138" i="16"/>
  <c r="G138" i="16"/>
  <c r="H138" i="16"/>
  <c r="I138" i="16"/>
  <c r="K138" i="16"/>
  <c r="L138" i="16"/>
  <c r="D139" i="16"/>
  <c r="E139" i="16"/>
  <c r="F139" i="16"/>
  <c r="G139" i="16"/>
  <c r="H139" i="16"/>
  <c r="I139" i="16"/>
  <c r="K139" i="16"/>
  <c r="L139" i="16"/>
  <c r="D140" i="16"/>
  <c r="J140" i="16" s="1"/>
  <c r="E140" i="16"/>
  <c r="F140" i="16"/>
  <c r="G140" i="16"/>
  <c r="H140" i="16"/>
  <c r="I140" i="16"/>
  <c r="K140" i="16"/>
  <c r="L140" i="16"/>
  <c r="D141" i="16"/>
  <c r="J141" i="16" s="1"/>
  <c r="E141" i="16"/>
  <c r="F141" i="16"/>
  <c r="G141" i="16"/>
  <c r="H141" i="16"/>
  <c r="I141" i="16"/>
  <c r="K141" i="16"/>
  <c r="L141" i="16"/>
  <c r="D142" i="16"/>
  <c r="J142" i="16" s="1"/>
  <c r="E142" i="16"/>
  <c r="F142" i="16"/>
  <c r="G142" i="16"/>
  <c r="H142" i="16"/>
  <c r="I142" i="16"/>
  <c r="K142" i="16"/>
  <c r="L142" i="16"/>
  <c r="D143" i="16"/>
  <c r="E143" i="16"/>
  <c r="F143" i="16"/>
  <c r="G143" i="16"/>
  <c r="H143" i="16"/>
  <c r="I143" i="16"/>
  <c r="K143" i="16"/>
  <c r="L143" i="16"/>
  <c r="D144" i="16"/>
  <c r="E144" i="16"/>
  <c r="F144" i="16"/>
  <c r="G144" i="16"/>
  <c r="H144" i="16"/>
  <c r="I144" i="16"/>
  <c r="K144" i="16"/>
  <c r="L144" i="16"/>
  <c r="D145" i="16"/>
  <c r="E145" i="16"/>
  <c r="F145" i="16"/>
  <c r="G145" i="16"/>
  <c r="H145" i="16"/>
  <c r="I145" i="16"/>
  <c r="K145" i="16"/>
  <c r="L145" i="16"/>
  <c r="D146" i="16"/>
  <c r="J146" i="16" s="1"/>
  <c r="E146" i="16"/>
  <c r="F146" i="16"/>
  <c r="G146" i="16"/>
  <c r="H146" i="16"/>
  <c r="I146" i="16"/>
  <c r="K146" i="16"/>
  <c r="L146" i="16"/>
  <c r="D147" i="16"/>
  <c r="J147" i="16" s="1"/>
  <c r="E147" i="16"/>
  <c r="F147" i="16"/>
  <c r="G147" i="16"/>
  <c r="H147" i="16"/>
  <c r="I147" i="16"/>
  <c r="K147" i="16"/>
  <c r="L147" i="16"/>
  <c r="D148" i="16"/>
  <c r="J148" i="16" s="1"/>
  <c r="E148" i="16"/>
  <c r="F148" i="16"/>
  <c r="G148" i="16"/>
  <c r="H148" i="16"/>
  <c r="I148" i="16"/>
  <c r="K148" i="16"/>
  <c r="L148" i="16"/>
  <c r="D149" i="16"/>
  <c r="E149" i="16"/>
  <c r="F149" i="16"/>
  <c r="G149" i="16"/>
  <c r="H149" i="16"/>
  <c r="I149" i="16"/>
  <c r="K149" i="16"/>
  <c r="L149" i="16"/>
  <c r="D150" i="16"/>
  <c r="E150" i="16"/>
  <c r="F150" i="16"/>
  <c r="G150" i="16"/>
  <c r="H150" i="16"/>
  <c r="I150" i="16"/>
  <c r="K150" i="16"/>
  <c r="L150" i="16"/>
  <c r="D151" i="16"/>
  <c r="E151" i="16"/>
  <c r="F151" i="16"/>
  <c r="G151" i="16"/>
  <c r="H151" i="16"/>
  <c r="I151" i="16"/>
  <c r="K151" i="16"/>
  <c r="L151" i="16"/>
  <c r="D152" i="16"/>
  <c r="J152" i="16" s="1"/>
  <c r="E152" i="16"/>
  <c r="F152" i="16"/>
  <c r="G152" i="16"/>
  <c r="H152" i="16"/>
  <c r="I152" i="16"/>
  <c r="K152" i="16"/>
  <c r="L152" i="16"/>
  <c r="D153" i="16"/>
  <c r="J153" i="16" s="1"/>
  <c r="E153" i="16"/>
  <c r="F153" i="16"/>
  <c r="G153" i="16"/>
  <c r="H153" i="16"/>
  <c r="I153" i="16"/>
  <c r="K153" i="16"/>
  <c r="L153" i="16"/>
  <c r="D154" i="16"/>
  <c r="J154" i="16" s="1"/>
  <c r="E154" i="16"/>
  <c r="F154" i="16"/>
  <c r="G154" i="16"/>
  <c r="H154" i="16"/>
  <c r="I154" i="16"/>
  <c r="K154" i="16"/>
  <c r="L154" i="16"/>
  <c r="D155" i="16"/>
  <c r="E155" i="16"/>
  <c r="F155" i="16"/>
  <c r="G155" i="16"/>
  <c r="H155" i="16"/>
  <c r="I155" i="16"/>
  <c r="K155" i="16"/>
  <c r="L155" i="16"/>
  <c r="D156" i="16"/>
  <c r="E156" i="16"/>
  <c r="F156" i="16"/>
  <c r="G156" i="16"/>
  <c r="H156" i="16"/>
  <c r="I156" i="16"/>
  <c r="K156" i="16"/>
  <c r="L156" i="16"/>
  <c r="D157" i="16"/>
  <c r="E157" i="16"/>
  <c r="F157" i="16"/>
  <c r="G157" i="16"/>
  <c r="H157" i="16"/>
  <c r="I157" i="16"/>
  <c r="K157" i="16"/>
  <c r="L157" i="16"/>
  <c r="D158" i="16"/>
  <c r="J158" i="16" s="1"/>
  <c r="E158" i="16"/>
  <c r="F158" i="16"/>
  <c r="G158" i="16"/>
  <c r="H158" i="16"/>
  <c r="I158" i="16"/>
  <c r="K158" i="16"/>
  <c r="L158" i="16"/>
  <c r="D159" i="16"/>
  <c r="J159" i="16" s="1"/>
  <c r="E159" i="16"/>
  <c r="F159" i="16"/>
  <c r="G159" i="16"/>
  <c r="H159" i="16"/>
  <c r="I159" i="16"/>
  <c r="K159" i="16"/>
  <c r="L159" i="16"/>
  <c r="D160" i="16"/>
  <c r="J160" i="16" s="1"/>
  <c r="E160" i="16"/>
  <c r="F160" i="16"/>
  <c r="G160" i="16"/>
  <c r="H160" i="16"/>
  <c r="I160" i="16"/>
  <c r="K160" i="16"/>
  <c r="L160" i="16"/>
  <c r="D161" i="16"/>
  <c r="E161" i="16"/>
  <c r="F161" i="16"/>
  <c r="G161" i="16"/>
  <c r="H161" i="16"/>
  <c r="I161" i="16"/>
  <c r="K161" i="16"/>
  <c r="L161" i="16"/>
  <c r="D162" i="16"/>
  <c r="E162" i="16"/>
  <c r="F162" i="16"/>
  <c r="G162" i="16"/>
  <c r="H162" i="16"/>
  <c r="I162" i="16"/>
  <c r="K162" i="16"/>
  <c r="M162" i="16" s="1"/>
  <c r="L162" i="16"/>
  <c r="D163" i="16"/>
  <c r="E163" i="16"/>
  <c r="F163" i="16"/>
  <c r="G163" i="16"/>
  <c r="H163" i="16"/>
  <c r="I163" i="16"/>
  <c r="K163" i="16"/>
  <c r="L163" i="16"/>
  <c r="D164" i="16"/>
  <c r="J164" i="16" s="1"/>
  <c r="E164" i="16"/>
  <c r="F164" i="16"/>
  <c r="G164" i="16"/>
  <c r="H164" i="16"/>
  <c r="I164" i="16"/>
  <c r="K164" i="16"/>
  <c r="L164" i="16"/>
  <c r="D165" i="16"/>
  <c r="J165" i="16" s="1"/>
  <c r="E165" i="16"/>
  <c r="F165" i="16"/>
  <c r="G165" i="16"/>
  <c r="H165" i="16"/>
  <c r="I165" i="16"/>
  <c r="K165" i="16"/>
  <c r="L165" i="16"/>
  <c r="D166" i="16"/>
  <c r="J166" i="16" s="1"/>
  <c r="E166" i="16"/>
  <c r="F166" i="16"/>
  <c r="G166" i="16"/>
  <c r="H166" i="16"/>
  <c r="I166" i="16"/>
  <c r="K166" i="16"/>
  <c r="L166" i="16"/>
  <c r="D167" i="16"/>
  <c r="E167" i="16"/>
  <c r="F167" i="16"/>
  <c r="G167" i="16"/>
  <c r="H167" i="16"/>
  <c r="I167" i="16"/>
  <c r="K167" i="16"/>
  <c r="L167" i="16"/>
  <c r="D168" i="16"/>
  <c r="E168" i="16"/>
  <c r="F168" i="16"/>
  <c r="G168" i="16"/>
  <c r="H168" i="16"/>
  <c r="I168" i="16"/>
  <c r="K168" i="16"/>
  <c r="M168" i="16" s="1"/>
  <c r="L168" i="16"/>
  <c r="D169" i="16"/>
  <c r="E169" i="16"/>
  <c r="F169" i="16"/>
  <c r="G169" i="16"/>
  <c r="H169" i="16"/>
  <c r="I169" i="16"/>
  <c r="K169" i="16"/>
  <c r="L169" i="16"/>
  <c r="D170" i="16"/>
  <c r="J170" i="16" s="1"/>
  <c r="E170" i="16"/>
  <c r="F170" i="16"/>
  <c r="G170" i="16"/>
  <c r="H170" i="16"/>
  <c r="I170" i="16"/>
  <c r="K170" i="16"/>
  <c r="L170" i="16"/>
  <c r="D171" i="16"/>
  <c r="J171" i="16" s="1"/>
  <c r="E171" i="16"/>
  <c r="F171" i="16"/>
  <c r="G171" i="16"/>
  <c r="H171" i="16"/>
  <c r="I171" i="16"/>
  <c r="K171" i="16"/>
  <c r="L171" i="16"/>
  <c r="D7" i="11"/>
  <c r="I7" i="11" s="1"/>
  <c r="C7" i="11" s="1"/>
  <c r="H7" i="11"/>
  <c r="D8" i="11"/>
  <c r="I8" i="11" s="1"/>
  <c r="C8" i="11" s="1"/>
  <c r="H8" i="11"/>
  <c r="D9" i="11"/>
  <c r="H9" i="11"/>
  <c r="I9" i="11"/>
  <c r="C9" i="11" s="1"/>
  <c r="D10" i="11"/>
  <c r="I10" i="11" s="1"/>
  <c r="C10" i="11" s="1"/>
  <c r="H10" i="11"/>
  <c r="D11" i="11"/>
  <c r="I11" i="11" s="1"/>
  <c r="C11" i="11" s="1"/>
  <c r="H11" i="11"/>
  <c r="D12" i="11"/>
  <c r="H12" i="11"/>
  <c r="I12" i="11"/>
  <c r="C12" i="11" s="1"/>
  <c r="D13" i="11"/>
  <c r="I13" i="11" s="1"/>
  <c r="C13" i="11" s="1"/>
  <c r="H13" i="11"/>
  <c r="D14" i="11"/>
  <c r="I14" i="11" s="1"/>
  <c r="C14" i="11" s="1"/>
  <c r="H14" i="11"/>
  <c r="D15" i="11"/>
  <c r="H15" i="11"/>
  <c r="I15" i="11"/>
  <c r="C15" i="11" s="1"/>
  <c r="D16" i="11"/>
  <c r="I16" i="11" s="1"/>
  <c r="C16" i="11" s="1"/>
  <c r="H16" i="11"/>
  <c r="D17" i="11"/>
  <c r="I17" i="11" s="1"/>
  <c r="C17" i="11" s="1"/>
  <c r="H17" i="11"/>
  <c r="D18" i="11"/>
  <c r="H18" i="11"/>
  <c r="I18" i="11"/>
  <c r="C18" i="11" s="1"/>
  <c r="D19" i="11"/>
  <c r="I19" i="11" s="1"/>
  <c r="C19" i="11" s="1"/>
  <c r="H19" i="11"/>
  <c r="D20" i="11"/>
  <c r="I20" i="11" s="1"/>
  <c r="C20" i="11" s="1"/>
  <c r="H20" i="11"/>
  <c r="D21" i="11"/>
  <c r="H21" i="11"/>
  <c r="I21" i="11"/>
  <c r="C21" i="11" s="1"/>
  <c r="D22" i="11"/>
  <c r="I22" i="11" s="1"/>
  <c r="C22" i="11" s="1"/>
  <c r="H22" i="11"/>
  <c r="D23" i="11"/>
  <c r="I23" i="11" s="1"/>
  <c r="C23" i="11" s="1"/>
  <c r="H23" i="11"/>
  <c r="D24" i="11"/>
  <c r="H24" i="11"/>
  <c r="I24" i="11"/>
  <c r="C24" i="11" s="1"/>
  <c r="D25" i="11"/>
  <c r="I25" i="11" s="1"/>
  <c r="C25" i="11" s="1"/>
  <c r="H25" i="11"/>
  <c r="D26" i="11"/>
  <c r="I26" i="11" s="1"/>
  <c r="C26" i="11" s="1"/>
  <c r="H26" i="11"/>
  <c r="D27" i="11"/>
  <c r="H27" i="11"/>
  <c r="I27" i="11"/>
  <c r="C27" i="11" s="1"/>
  <c r="D28" i="11"/>
  <c r="I28" i="11" s="1"/>
  <c r="C28" i="11" s="1"/>
  <c r="H28" i="11"/>
  <c r="D29" i="11"/>
  <c r="I29" i="11" s="1"/>
  <c r="C29" i="11" s="1"/>
  <c r="H29" i="11"/>
  <c r="D30" i="11"/>
  <c r="H30" i="11"/>
  <c r="I30" i="11"/>
  <c r="C30" i="11" s="1"/>
  <c r="D31" i="11"/>
  <c r="I31" i="11" s="1"/>
  <c r="C31" i="11" s="1"/>
  <c r="H31" i="11"/>
  <c r="D32" i="11"/>
  <c r="I32" i="11" s="1"/>
  <c r="C32" i="11" s="1"/>
  <c r="H32" i="11"/>
  <c r="D33" i="11"/>
  <c r="H33" i="11"/>
  <c r="I33" i="11"/>
  <c r="C33" i="11" s="1"/>
  <c r="D34" i="11"/>
  <c r="I34" i="11" s="1"/>
  <c r="C34" i="11" s="1"/>
  <c r="H34" i="11"/>
  <c r="D35" i="11"/>
  <c r="I35" i="11" s="1"/>
  <c r="C35" i="11" s="1"/>
  <c r="H35" i="11"/>
  <c r="D36" i="11"/>
  <c r="H36" i="11"/>
  <c r="I36" i="11"/>
  <c r="C36" i="11" s="1"/>
  <c r="D37" i="11"/>
  <c r="I37" i="11" s="1"/>
  <c r="C37" i="11" s="1"/>
  <c r="H37" i="11"/>
  <c r="D38" i="11"/>
  <c r="I38" i="11" s="1"/>
  <c r="C38" i="11" s="1"/>
  <c r="H38" i="11"/>
  <c r="D39" i="11"/>
  <c r="H39" i="11"/>
  <c r="I39" i="11"/>
  <c r="C39" i="11" s="1"/>
  <c r="D40" i="11"/>
  <c r="I40" i="11" s="1"/>
  <c r="C40" i="11" s="1"/>
  <c r="H40" i="11"/>
  <c r="D41" i="11"/>
  <c r="I41" i="11" s="1"/>
  <c r="C41" i="11" s="1"/>
  <c r="H41" i="11"/>
  <c r="D42" i="11"/>
  <c r="H42" i="11"/>
  <c r="I42" i="11"/>
  <c r="C42" i="11" s="1"/>
  <c r="D43" i="11"/>
  <c r="I43" i="11" s="1"/>
  <c r="C43" i="11" s="1"/>
  <c r="H43" i="11"/>
  <c r="D44" i="11"/>
  <c r="I44" i="11" s="1"/>
  <c r="C44" i="11" s="1"/>
  <c r="H44" i="11"/>
  <c r="D45" i="11"/>
  <c r="H45" i="11"/>
  <c r="I45" i="11"/>
  <c r="C45" i="11" s="1"/>
  <c r="D46" i="11"/>
  <c r="I46" i="11" s="1"/>
  <c r="C46" i="11" s="1"/>
  <c r="H46" i="11"/>
  <c r="D47" i="11"/>
  <c r="I47" i="11" s="1"/>
  <c r="C47" i="11" s="1"/>
  <c r="H47" i="11"/>
  <c r="D48" i="11"/>
  <c r="H48" i="11"/>
  <c r="I48" i="11"/>
  <c r="C48" i="11" s="1"/>
  <c r="D49" i="11"/>
  <c r="I49" i="11" s="1"/>
  <c r="C49" i="11" s="1"/>
  <c r="H49" i="11"/>
  <c r="D50" i="11"/>
  <c r="I50" i="11" s="1"/>
  <c r="C50" i="11" s="1"/>
  <c r="H50" i="11"/>
  <c r="D51" i="11"/>
  <c r="H51" i="11"/>
  <c r="I51" i="11"/>
  <c r="C51" i="11" s="1"/>
  <c r="D52" i="11"/>
  <c r="I52" i="11" s="1"/>
  <c r="C52" i="11" s="1"/>
  <c r="H52" i="11"/>
  <c r="D53" i="11"/>
  <c r="I53" i="11" s="1"/>
  <c r="C53" i="11" s="1"/>
  <c r="H53" i="11"/>
  <c r="D54" i="11"/>
  <c r="H54" i="11"/>
  <c r="I54" i="11"/>
  <c r="C54" i="11" s="1"/>
  <c r="D55" i="11"/>
  <c r="I55" i="11" s="1"/>
  <c r="C55" i="11" s="1"/>
  <c r="H55" i="11"/>
  <c r="D56" i="11"/>
  <c r="I56" i="11" s="1"/>
  <c r="C56" i="11" s="1"/>
  <c r="H56" i="11"/>
  <c r="D57" i="11"/>
  <c r="H57" i="11"/>
  <c r="I57" i="11"/>
  <c r="C57" i="11" s="1"/>
  <c r="D58" i="11"/>
  <c r="I58" i="11" s="1"/>
  <c r="C58" i="11" s="1"/>
  <c r="H58" i="11"/>
  <c r="D59" i="11"/>
  <c r="I59" i="11" s="1"/>
  <c r="C59" i="11" s="1"/>
  <c r="H59" i="11"/>
  <c r="D60" i="11"/>
  <c r="H60" i="11"/>
  <c r="I60" i="11"/>
  <c r="C60" i="11" s="1"/>
  <c r="D61" i="11"/>
  <c r="I61" i="11" s="1"/>
  <c r="C61" i="11" s="1"/>
  <c r="H61" i="11"/>
  <c r="D62" i="11"/>
  <c r="I62" i="11" s="1"/>
  <c r="C62" i="11" s="1"/>
  <c r="H62" i="11"/>
  <c r="D63" i="11"/>
  <c r="H63" i="11"/>
  <c r="I63" i="11"/>
  <c r="C63" i="11" s="1"/>
  <c r="D64" i="11"/>
  <c r="I64" i="11" s="1"/>
  <c r="C64" i="11" s="1"/>
  <c r="H64" i="11"/>
  <c r="D65" i="11"/>
  <c r="I65" i="11" s="1"/>
  <c r="C65" i="11" s="1"/>
  <c r="H65" i="11"/>
  <c r="D66" i="11"/>
  <c r="H66" i="11"/>
  <c r="I66" i="11"/>
  <c r="C66" i="11" s="1"/>
  <c r="D67" i="11"/>
  <c r="I67" i="11" s="1"/>
  <c r="C67" i="11" s="1"/>
  <c r="H67" i="11"/>
  <c r="D68" i="11"/>
  <c r="I68" i="11" s="1"/>
  <c r="C68" i="11" s="1"/>
  <c r="H68" i="11"/>
  <c r="D69" i="11"/>
  <c r="H69" i="11"/>
  <c r="I69" i="11"/>
  <c r="C69" i="11" s="1"/>
  <c r="D70" i="11"/>
  <c r="I70" i="11" s="1"/>
  <c r="C70" i="11" s="1"/>
  <c r="H70" i="11"/>
  <c r="D71" i="11"/>
  <c r="I71" i="11" s="1"/>
  <c r="C71" i="11" s="1"/>
  <c r="H71" i="11"/>
  <c r="D72" i="11"/>
  <c r="H72" i="11"/>
  <c r="I72" i="11"/>
  <c r="C72" i="11" s="1"/>
  <c r="D73" i="11"/>
  <c r="I73" i="11" s="1"/>
  <c r="C73" i="11" s="1"/>
  <c r="H73" i="11"/>
  <c r="D74" i="11"/>
  <c r="I74" i="11" s="1"/>
  <c r="C74" i="11" s="1"/>
  <c r="H74" i="11"/>
  <c r="D75" i="11"/>
  <c r="H75" i="11"/>
  <c r="I75" i="11"/>
  <c r="C75" i="11" s="1"/>
  <c r="D76" i="11"/>
  <c r="I76" i="11" s="1"/>
  <c r="C76" i="11" s="1"/>
  <c r="H76" i="11"/>
  <c r="D77" i="11"/>
  <c r="I77" i="11" s="1"/>
  <c r="C77" i="11" s="1"/>
  <c r="H77" i="11"/>
  <c r="D78" i="11"/>
  <c r="H78" i="11"/>
  <c r="I78" i="11"/>
  <c r="C78" i="11" s="1"/>
  <c r="D79" i="11"/>
  <c r="I79" i="11" s="1"/>
  <c r="C79" i="11" s="1"/>
  <c r="H79" i="11"/>
  <c r="D80" i="11"/>
  <c r="I80" i="11" s="1"/>
  <c r="C80" i="11" s="1"/>
  <c r="H80" i="11"/>
  <c r="D81" i="11"/>
  <c r="H81" i="11"/>
  <c r="I81" i="11"/>
  <c r="C81" i="11" s="1"/>
  <c r="D82" i="11"/>
  <c r="I82" i="11" s="1"/>
  <c r="C82" i="11" s="1"/>
  <c r="H82" i="11"/>
  <c r="D83" i="11"/>
  <c r="I83" i="11" s="1"/>
  <c r="C83" i="11" s="1"/>
  <c r="H83" i="11"/>
  <c r="D84" i="11"/>
  <c r="H84" i="11"/>
  <c r="I84" i="11"/>
  <c r="C84" i="11" s="1"/>
  <c r="D85" i="11"/>
  <c r="I85" i="11" s="1"/>
  <c r="C85" i="11" s="1"/>
  <c r="H85" i="11"/>
  <c r="D86" i="11"/>
  <c r="I86" i="11" s="1"/>
  <c r="C86" i="11" s="1"/>
  <c r="H86" i="11"/>
  <c r="D87" i="11"/>
  <c r="H87" i="11"/>
  <c r="I87" i="11"/>
  <c r="C87" i="11" s="1"/>
  <c r="D88" i="11"/>
  <c r="I88" i="11" s="1"/>
  <c r="C88" i="11" s="1"/>
  <c r="H88" i="11"/>
  <c r="D89" i="11"/>
  <c r="I89" i="11" s="1"/>
  <c r="C89" i="11" s="1"/>
  <c r="H89" i="11"/>
  <c r="D90" i="11"/>
  <c r="H90" i="11"/>
  <c r="I90" i="11"/>
  <c r="C90" i="11" s="1"/>
  <c r="D91" i="11"/>
  <c r="I91" i="11" s="1"/>
  <c r="C91" i="11" s="1"/>
  <c r="H91" i="11"/>
  <c r="D92" i="11"/>
  <c r="I92" i="11" s="1"/>
  <c r="C92" i="11" s="1"/>
  <c r="H92" i="11"/>
  <c r="D93" i="11"/>
  <c r="H93" i="11"/>
  <c r="I93" i="11"/>
  <c r="C93" i="11" s="1"/>
  <c r="D94" i="11"/>
  <c r="I94" i="11" s="1"/>
  <c r="C94" i="11" s="1"/>
  <c r="H94" i="11"/>
  <c r="D95" i="11"/>
  <c r="I95" i="11" s="1"/>
  <c r="C95" i="11" s="1"/>
  <c r="H95" i="11"/>
  <c r="D96" i="11"/>
  <c r="H96" i="11"/>
  <c r="I96" i="11"/>
  <c r="C96" i="11" s="1"/>
  <c r="D97" i="11"/>
  <c r="I97" i="11" s="1"/>
  <c r="C97" i="11" s="1"/>
  <c r="H97" i="11"/>
  <c r="D98" i="11"/>
  <c r="I98" i="11" s="1"/>
  <c r="C98" i="11" s="1"/>
  <c r="H98" i="11"/>
  <c r="D99" i="11"/>
  <c r="H99" i="11"/>
  <c r="I99" i="11"/>
  <c r="C99" i="11" s="1"/>
  <c r="D100" i="11"/>
  <c r="I100" i="11" s="1"/>
  <c r="C100" i="11" s="1"/>
  <c r="H100" i="11"/>
  <c r="D101" i="11"/>
  <c r="I101" i="11" s="1"/>
  <c r="C101" i="11" s="1"/>
  <c r="H101" i="11"/>
  <c r="D102" i="11"/>
  <c r="H102" i="11"/>
  <c r="I102" i="11"/>
  <c r="C102" i="11" s="1"/>
  <c r="D103" i="11"/>
  <c r="I103" i="11" s="1"/>
  <c r="C103" i="11" s="1"/>
  <c r="H103" i="11"/>
  <c r="D104" i="11"/>
  <c r="I104" i="11" s="1"/>
  <c r="C104" i="11" s="1"/>
  <c r="H104" i="11"/>
  <c r="D105" i="11"/>
  <c r="H105" i="11"/>
  <c r="I105" i="11"/>
  <c r="C105" i="11" s="1"/>
  <c r="D106" i="11"/>
  <c r="I106" i="11" s="1"/>
  <c r="C106" i="11" s="1"/>
  <c r="H106" i="11"/>
  <c r="D107" i="11"/>
  <c r="I107" i="11" s="1"/>
  <c r="C107" i="11" s="1"/>
  <c r="H107" i="11"/>
  <c r="D108" i="11"/>
  <c r="H108" i="11"/>
  <c r="I108" i="11"/>
  <c r="C108" i="11" s="1"/>
  <c r="D109" i="11"/>
  <c r="I109" i="11" s="1"/>
  <c r="C109" i="11" s="1"/>
  <c r="H109" i="11"/>
  <c r="D110" i="11"/>
  <c r="I110" i="11" s="1"/>
  <c r="C110" i="11" s="1"/>
  <c r="H110" i="11"/>
  <c r="D111" i="11"/>
  <c r="H111" i="11"/>
  <c r="I111" i="11"/>
  <c r="C111" i="11" s="1"/>
  <c r="D112" i="11"/>
  <c r="I112" i="11" s="1"/>
  <c r="C112" i="11" s="1"/>
  <c r="H112" i="11"/>
  <c r="D113" i="11"/>
  <c r="I113" i="11" s="1"/>
  <c r="C113" i="11" s="1"/>
  <c r="H113" i="11"/>
  <c r="D114" i="11"/>
  <c r="H114" i="11"/>
  <c r="I114" i="11"/>
  <c r="C114" i="11" s="1"/>
  <c r="D115" i="11"/>
  <c r="I115" i="11" s="1"/>
  <c r="C115" i="11" s="1"/>
  <c r="H115" i="11"/>
  <c r="D116" i="11"/>
  <c r="I116" i="11" s="1"/>
  <c r="C116" i="11" s="1"/>
  <c r="H116" i="11"/>
  <c r="D117" i="11"/>
  <c r="H117" i="11"/>
  <c r="I117" i="11"/>
  <c r="C117" i="11" s="1"/>
  <c r="D118" i="11"/>
  <c r="I118" i="11" s="1"/>
  <c r="C118" i="11" s="1"/>
  <c r="H118" i="11"/>
  <c r="D119" i="11"/>
  <c r="I119" i="11" s="1"/>
  <c r="C119" i="11" s="1"/>
  <c r="H119" i="11"/>
  <c r="D120" i="11"/>
  <c r="H120" i="11"/>
  <c r="I120" i="11"/>
  <c r="C120" i="11" s="1"/>
  <c r="D121" i="11"/>
  <c r="I121" i="11" s="1"/>
  <c r="C121" i="11" s="1"/>
  <c r="H121" i="11"/>
  <c r="D122" i="11"/>
  <c r="I122" i="11" s="1"/>
  <c r="C122" i="11" s="1"/>
  <c r="H122" i="11"/>
  <c r="D123" i="11"/>
  <c r="H123" i="11"/>
  <c r="I123" i="11"/>
  <c r="C123" i="11" s="1"/>
  <c r="D124" i="11"/>
  <c r="I124" i="11" s="1"/>
  <c r="C124" i="11" s="1"/>
  <c r="H124" i="11"/>
  <c r="D125" i="11"/>
  <c r="I125" i="11" s="1"/>
  <c r="C125" i="11" s="1"/>
  <c r="H125" i="11"/>
  <c r="D126" i="11"/>
  <c r="H126" i="11"/>
  <c r="I126" i="11"/>
  <c r="C126" i="11" s="1"/>
  <c r="D127" i="11"/>
  <c r="I127" i="11" s="1"/>
  <c r="C127" i="11" s="1"/>
  <c r="H127" i="11"/>
  <c r="D128" i="11"/>
  <c r="I128" i="11" s="1"/>
  <c r="C128" i="11" s="1"/>
  <c r="H128" i="11"/>
  <c r="D129" i="11"/>
  <c r="H129" i="11"/>
  <c r="I129" i="11"/>
  <c r="C129" i="11" s="1"/>
  <c r="D130" i="11"/>
  <c r="I130" i="11" s="1"/>
  <c r="C130" i="11" s="1"/>
  <c r="H130" i="11"/>
  <c r="D131" i="11"/>
  <c r="I131" i="11" s="1"/>
  <c r="C131" i="11" s="1"/>
  <c r="H131" i="11"/>
  <c r="D132" i="11"/>
  <c r="H132" i="11"/>
  <c r="I132" i="11"/>
  <c r="C132" i="11" s="1"/>
  <c r="D133" i="11"/>
  <c r="I133" i="11" s="1"/>
  <c r="C133" i="11" s="1"/>
  <c r="H133" i="11"/>
  <c r="D134" i="11"/>
  <c r="I134" i="11" s="1"/>
  <c r="C134" i="11" s="1"/>
  <c r="H134" i="11"/>
  <c r="D135" i="11"/>
  <c r="H135" i="11"/>
  <c r="I135" i="11"/>
  <c r="C135" i="11" s="1"/>
  <c r="D136" i="11"/>
  <c r="I136" i="11" s="1"/>
  <c r="C136" i="11" s="1"/>
  <c r="H136" i="11"/>
  <c r="D137" i="11"/>
  <c r="I137" i="11" s="1"/>
  <c r="C137" i="11" s="1"/>
  <c r="H137" i="11"/>
  <c r="D138" i="11"/>
  <c r="H138" i="11"/>
  <c r="I138" i="11"/>
  <c r="C138" i="11" s="1"/>
  <c r="D139" i="11"/>
  <c r="I139" i="11" s="1"/>
  <c r="C139" i="11" s="1"/>
  <c r="H139" i="11"/>
  <c r="D140" i="11"/>
  <c r="I140" i="11" s="1"/>
  <c r="C140" i="11" s="1"/>
  <c r="H140" i="11"/>
  <c r="D141" i="11"/>
  <c r="H141" i="11"/>
  <c r="I141" i="11"/>
  <c r="C141" i="11" s="1"/>
  <c r="D142" i="11"/>
  <c r="I142" i="11" s="1"/>
  <c r="C142" i="11" s="1"/>
  <c r="H142" i="11"/>
  <c r="D143" i="11"/>
  <c r="I143" i="11" s="1"/>
  <c r="C143" i="11" s="1"/>
  <c r="H143" i="11"/>
  <c r="D144" i="11"/>
  <c r="H144" i="11"/>
  <c r="I144" i="11"/>
  <c r="C144" i="11" s="1"/>
  <c r="D145" i="11"/>
  <c r="I145" i="11" s="1"/>
  <c r="C145" i="11" s="1"/>
  <c r="H145" i="11"/>
  <c r="D146" i="11"/>
  <c r="I146" i="11" s="1"/>
  <c r="C146" i="11" s="1"/>
  <c r="H146" i="11"/>
  <c r="D147" i="11"/>
  <c r="H147" i="11"/>
  <c r="I147" i="11"/>
  <c r="C147" i="11" s="1"/>
  <c r="D148" i="11"/>
  <c r="I148" i="11" s="1"/>
  <c r="C148" i="11" s="1"/>
  <c r="H148" i="11"/>
  <c r="D149" i="11"/>
  <c r="I149" i="11" s="1"/>
  <c r="C149" i="11" s="1"/>
  <c r="H149" i="11"/>
  <c r="D150" i="11"/>
  <c r="H150" i="11"/>
  <c r="I150" i="11"/>
  <c r="C150" i="11" s="1"/>
  <c r="D151" i="11"/>
  <c r="I151" i="11" s="1"/>
  <c r="C151" i="11" s="1"/>
  <c r="H151" i="11"/>
  <c r="D152" i="11"/>
  <c r="I152" i="11" s="1"/>
  <c r="C152" i="11" s="1"/>
  <c r="H152" i="11"/>
  <c r="D153" i="11"/>
  <c r="H153" i="11"/>
  <c r="I153" i="11"/>
  <c r="C153" i="11" s="1"/>
  <c r="D154" i="11"/>
  <c r="I154" i="11" s="1"/>
  <c r="C154" i="11" s="1"/>
  <c r="H154" i="11"/>
  <c r="D155" i="11"/>
  <c r="I155" i="11" s="1"/>
  <c r="C155" i="11" s="1"/>
  <c r="H155" i="11"/>
  <c r="D156" i="11"/>
  <c r="H156" i="11"/>
  <c r="I156" i="11"/>
  <c r="C156" i="11" s="1"/>
  <c r="D157" i="11"/>
  <c r="I157" i="11" s="1"/>
  <c r="C157" i="11" s="1"/>
  <c r="H157" i="11"/>
  <c r="D158" i="11"/>
  <c r="I158" i="11" s="1"/>
  <c r="C158" i="11" s="1"/>
  <c r="H158" i="11"/>
  <c r="D159" i="11"/>
  <c r="H159" i="11"/>
  <c r="I159" i="11"/>
  <c r="C159" i="11" s="1"/>
  <c r="D160" i="11"/>
  <c r="I160" i="11" s="1"/>
  <c r="C160" i="11" s="1"/>
  <c r="H160" i="11"/>
  <c r="D161" i="11"/>
  <c r="I161" i="11" s="1"/>
  <c r="C161" i="11" s="1"/>
  <c r="H161" i="11"/>
  <c r="D162" i="11"/>
  <c r="H162" i="11"/>
  <c r="I162" i="11"/>
  <c r="C162" i="11" s="1"/>
  <c r="D163" i="11"/>
  <c r="I163" i="11" s="1"/>
  <c r="C163" i="11" s="1"/>
  <c r="H163" i="11"/>
  <c r="D164" i="11"/>
  <c r="I164" i="11" s="1"/>
  <c r="C164" i="11" s="1"/>
  <c r="H164" i="11"/>
  <c r="D165" i="11"/>
  <c r="H165" i="11"/>
  <c r="I165" i="11"/>
  <c r="C165" i="11" s="1"/>
  <c r="D166" i="11"/>
  <c r="I166" i="11" s="1"/>
  <c r="C166" i="11" s="1"/>
  <c r="H166" i="11"/>
  <c r="D167" i="11"/>
  <c r="I167" i="11" s="1"/>
  <c r="C167" i="11" s="1"/>
  <c r="H167" i="11"/>
  <c r="D168" i="11"/>
  <c r="H168" i="11"/>
  <c r="I168" i="11"/>
  <c r="C168" i="11" s="1"/>
  <c r="D169" i="11"/>
  <c r="I169" i="11" s="1"/>
  <c r="C169" i="11" s="1"/>
  <c r="H169" i="11"/>
  <c r="D170" i="11"/>
  <c r="I170" i="11" s="1"/>
  <c r="C170" i="11" s="1"/>
  <c r="H170" i="11"/>
  <c r="D171" i="11"/>
  <c r="H171" i="11"/>
  <c r="I171" i="11"/>
  <c r="C171" i="11" s="1"/>
  <c r="D172" i="11"/>
  <c r="I172" i="11" s="1"/>
  <c r="C172" i="11" s="1"/>
  <c r="H172" i="11"/>
  <c r="D173" i="11"/>
  <c r="I173" i="11" s="1"/>
  <c r="C173" i="11" s="1"/>
  <c r="H173" i="11"/>
  <c r="D174" i="11"/>
  <c r="H174" i="11"/>
  <c r="I174" i="11"/>
  <c r="C174" i="11" s="1"/>
  <c r="D175" i="11"/>
  <c r="I175" i="11" s="1"/>
  <c r="C175" i="11" s="1"/>
  <c r="H175" i="11"/>
  <c r="D176" i="11"/>
  <c r="I176" i="11" s="1"/>
  <c r="C176" i="11" s="1"/>
  <c r="H176" i="11"/>
  <c r="D177" i="11"/>
  <c r="H177" i="11"/>
  <c r="I177" i="11"/>
  <c r="C177" i="11" s="1"/>
  <c r="D178" i="11"/>
  <c r="I178" i="11" s="1"/>
  <c r="C178" i="11" s="1"/>
  <c r="H178" i="11"/>
  <c r="D44" i="1"/>
  <c r="D49" i="1"/>
  <c r="D94" i="1"/>
  <c r="D114" i="1"/>
  <c r="D125" i="1"/>
  <c r="D132" i="1"/>
  <c r="D137" i="1"/>
  <c r="D150" i="1"/>
  <c r="D164" i="1"/>
  <c r="D165" i="1"/>
  <c r="J124" i="16" l="1"/>
  <c r="M156" i="16"/>
  <c r="M150" i="16"/>
  <c r="M49" i="16"/>
  <c r="M31" i="16"/>
  <c r="M25" i="16"/>
  <c r="M19" i="16"/>
  <c r="M166" i="16"/>
  <c r="M160" i="16"/>
  <c r="M154" i="16"/>
  <c r="M117" i="16"/>
  <c r="M15" i="16"/>
  <c r="M144" i="16"/>
  <c r="M138" i="16"/>
  <c r="M148" i="16"/>
  <c r="M142" i="16"/>
  <c r="M132" i="16"/>
  <c r="M74" i="16"/>
  <c r="J108" i="16"/>
  <c r="J84" i="16"/>
  <c r="M119" i="16"/>
  <c r="M113" i="16"/>
  <c r="M101" i="16"/>
  <c r="M85" i="16"/>
  <c r="M34" i="16"/>
  <c r="M10" i="16"/>
  <c r="M114" i="16"/>
  <c r="M111" i="16"/>
  <c r="M99" i="16"/>
  <c r="M96" i="16"/>
  <c r="M93" i="16"/>
  <c r="M81" i="16"/>
  <c r="M73" i="16"/>
  <c r="M67" i="16"/>
  <c r="M116" i="16"/>
  <c r="M110" i="16"/>
  <c r="M104" i="16"/>
  <c r="M98" i="16"/>
  <c r="M76" i="16"/>
  <c r="M136" i="16"/>
  <c r="M130" i="16"/>
  <c r="M13" i="16"/>
  <c r="M7" i="16"/>
  <c r="J72" i="16"/>
  <c r="J42" i="16"/>
  <c r="J36" i="16"/>
  <c r="J30" i="16"/>
  <c r="J24" i="16"/>
  <c r="J18" i="16"/>
  <c r="J12" i="16"/>
  <c r="J6" i="16"/>
  <c r="J76" i="16"/>
  <c r="J167" i="16"/>
  <c r="J161" i="16"/>
  <c r="M161" i="16" s="1"/>
  <c r="J155" i="16"/>
  <c r="J149" i="16"/>
  <c r="J143" i="16"/>
  <c r="J137" i="16"/>
  <c r="J131" i="16"/>
  <c r="M9" i="16"/>
  <c r="J126" i="16"/>
  <c r="M115" i="16"/>
  <c r="M112" i="16"/>
  <c r="M94" i="16"/>
  <c r="M171" i="16"/>
  <c r="M165" i="16"/>
  <c r="M159" i="16"/>
  <c r="M153" i="16"/>
  <c r="M147" i="16"/>
  <c r="M141" i="16"/>
  <c r="M135" i="16"/>
  <c r="M129" i="16"/>
  <c r="J100" i="16"/>
  <c r="M83" i="16"/>
  <c r="M80" i="16"/>
  <c r="J120" i="16"/>
  <c r="J168" i="16"/>
  <c r="J162" i="16"/>
  <c r="J156" i="16"/>
  <c r="J150" i="16"/>
  <c r="J144" i="16"/>
  <c r="J138" i="16"/>
  <c r="J132" i="16"/>
  <c r="J114" i="16"/>
  <c r="M106" i="16"/>
  <c r="M90" i="16"/>
  <c r="M87" i="16"/>
  <c r="M79" i="16"/>
  <c r="J64" i="16"/>
  <c r="M64" i="16" s="1"/>
  <c r="J58" i="16"/>
  <c r="M58" i="16" s="1"/>
  <c r="J52" i="16"/>
  <c r="M52" i="16" s="1"/>
  <c r="J46" i="16"/>
  <c r="M46" i="16" s="1"/>
  <c r="J40" i="16"/>
  <c r="M40" i="16" s="1"/>
  <c r="J28" i="16"/>
  <c r="M28" i="16" s="1"/>
  <c r="J22" i="16"/>
  <c r="M22" i="16" s="1"/>
  <c r="J16" i="16"/>
  <c r="M16" i="16" s="1"/>
  <c r="J13" i="16"/>
  <c r="M78" i="16"/>
  <c r="J65" i="16"/>
  <c r="M170" i="16"/>
  <c r="M164" i="16"/>
  <c r="M152" i="16"/>
  <c r="M134" i="16"/>
  <c r="M122" i="16"/>
  <c r="J96" i="16"/>
  <c r="M69" i="16"/>
  <c r="M63" i="16"/>
  <c r="M57" i="16"/>
  <c r="M51" i="16"/>
  <c r="M45" i="16"/>
  <c r="M39" i="16"/>
  <c r="M33" i="16"/>
  <c r="M27" i="16"/>
  <c r="M21" i="16"/>
  <c r="M158" i="16"/>
  <c r="M146" i="16"/>
  <c r="M140" i="16"/>
  <c r="M128" i="16"/>
  <c r="J118" i="16"/>
  <c r="J169" i="16"/>
  <c r="M169" i="16" s="1"/>
  <c r="J163" i="16"/>
  <c r="M163" i="16" s="1"/>
  <c r="J157" i="16"/>
  <c r="M157" i="16" s="1"/>
  <c r="J151" i="16"/>
  <c r="M151" i="16" s="1"/>
  <c r="J145" i="16"/>
  <c r="M145" i="16" s="1"/>
  <c r="J139" i="16"/>
  <c r="M139" i="16" s="1"/>
  <c r="J133" i="16"/>
  <c r="M133" i="16" s="1"/>
  <c r="J112" i="16"/>
  <c r="J106" i="16"/>
  <c r="J90" i="16"/>
  <c r="J59" i="16"/>
  <c r="J53" i="16"/>
  <c r="J47" i="16"/>
  <c r="J41" i="16"/>
  <c r="J35" i="16"/>
  <c r="J29" i="16"/>
  <c r="J23" i="16"/>
  <c r="J17" i="16"/>
  <c r="J11" i="16"/>
  <c r="M62" i="16"/>
  <c r="M56" i="16"/>
  <c r="M50" i="16"/>
  <c r="M44" i="16"/>
  <c r="M38" i="16"/>
  <c r="M32" i="16"/>
  <c r="M26" i="16"/>
  <c r="M20" i="16"/>
  <c r="M14" i="16"/>
  <c r="J128" i="16"/>
  <c r="M126" i="16"/>
  <c r="J94" i="16"/>
  <c r="M92" i="16"/>
  <c r="J78" i="16"/>
  <c r="M70" i="16"/>
  <c r="M109" i="16"/>
  <c r="M89" i="16"/>
  <c r="J88" i="16"/>
  <c r="M86" i="16"/>
  <c r="M149" i="16"/>
  <c r="M137" i="16"/>
  <c r="M131" i="16"/>
  <c r="M103" i="16"/>
  <c r="J66" i="16"/>
  <c r="J60" i="16"/>
  <c r="M60" i="16" s="1"/>
  <c r="J54" i="16"/>
  <c r="M54" i="16" s="1"/>
  <c r="J48" i="16"/>
  <c r="M48" i="16" s="1"/>
  <c r="M42" i="16"/>
  <c r="M36" i="16"/>
  <c r="M30" i="16"/>
  <c r="M24" i="16"/>
  <c r="M18" i="16"/>
  <c r="M12" i="16"/>
  <c r="M6" i="16"/>
  <c r="M155" i="16"/>
  <c r="M143" i="16"/>
  <c r="J82" i="16"/>
  <c r="M127" i="16"/>
  <c r="M97" i="16"/>
  <c r="M77" i="16"/>
  <c r="M167" i="16"/>
  <c r="M91" i="16"/>
  <c r="J70" i="16"/>
  <c r="M68" i="16"/>
  <c r="F115" i="18"/>
  <c r="D167" i="1"/>
  <c r="D22" i="1"/>
  <c r="D122" i="1"/>
  <c r="D99" i="1"/>
  <c r="D76" i="1"/>
  <c r="M123" i="16"/>
  <c r="M95" i="16"/>
  <c r="M120" i="16"/>
  <c r="M43" i="16"/>
  <c r="M37" i="16"/>
  <c r="M124" i="16"/>
  <c r="M105" i="16"/>
  <c r="M108" i="16"/>
  <c r="M121" i="16"/>
  <c r="M118" i="16"/>
  <c r="M102" i="16"/>
  <c r="M71" i="16"/>
  <c r="M125" i="16"/>
  <c r="M100" i="16"/>
  <c r="M84" i="16"/>
  <c r="M75" i="16"/>
  <c r="M88" i="16"/>
  <c r="M72" i="16"/>
  <c r="M107" i="16"/>
  <c r="M82" i="16"/>
  <c r="M66" i="16"/>
  <c r="F7" i="18"/>
  <c r="D8" i="1"/>
  <c r="S20" i="1" l="1"/>
  <c r="N20" i="1" s="1"/>
  <c r="W20" i="1"/>
  <c r="X20" i="1"/>
  <c r="Y20" i="1"/>
  <c r="I20" i="1" s="1"/>
  <c r="F20" i="1" l="1"/>
  <c r="AA20" i="1" s="1"/>
  <c r="O20" i="1"/>
  <c r="S21" i="1"/>
  <c r="W21" i="1"/>
  <c r="X21" i="1"/>
  <c r="F21" i="1" s="1"/>
  <c r="Y21" i="1"/>
  <c r="I21" i="1" s="1"/>
  <c r="Z20" i="1" l="1"/>
  <c r="AA21" i="1"/>
  <c r="N21" i="1"/>
  <c r="O21" i="1"/>
  <c r="S22" i="1"/>
  <c r="V22" i="1"/>
  <c r="W22" i="1"/>
  <c r="X22" i="1"/>
  <c r="Y22" i="1"/>
  <c r="I22" i="1" s="1"/>
  <c r="F22" i="1" l="1"/>
  <c r="N22" i="1"/>
  <c r="Z21" i="1"/>
  <c r="AA22" i="1"/>
  <c r="Z22" i="1"/>
  <c r="O22" i="1"/>
  <c r="U22" i="1"/>
  <c r="S23" i="1"/>
  <c r="W23" i="1"/>
  <c r="X23" i="1"/>
  <c r="Y23" i="1"/>
  <c r="I23" i="1" s="1"/>
  <c r="F23" i="1" l="1"/>
  <c r="AA23" i="1" s="1"/>
  <c r="O23" i="1"/>
  <c r="N23" i="1"/>
  <c r="S24" i="1"/>
  <c r="W24" i="1"/>
  <c r="X24" i="1"/>
  <c r="Y24" i="1"/>
  <c r="I24" i="1" s="1"/>
  <c r="F24" i="1" l="1"/>
  <c r="AA24" i="1" s="1"/>
  <c r="N24" i="1"/>
  <c r="Z23" i="1"/>
  <c r="O24" i="1"/>
  <c r="S25" i="1"/>
  <c r="W25" i="1"/>
  <c r="X25" i="1"/>
  <c r="F25" i="1" s="1"/>
  <c r="Y25" i="1"/>
  <c r="I25" i="1" s="1"/>
  <c r="Z24" i="1" l="1"/>
  <c r="AA25" i="1"/>
  <c r="O25" i="1"/>
  <c r="N25" i="1"/>
  <c r="S26" i="1"/>
  <c r="W26" i="1"/>
  <c r="X26" i="1"/>
  <c r="Y26" i="1"/>
  <c r="I26" i="1" s="1"/>
  <c r="F26" i="1" l="1"/>
  <c r="AA26" i="1" s="1"/>
  <c r="N26" i="1"/>
  <c r="Z25" i="1"/>
  <c r="O26" i="1"/>
  <c r="S27" i="1"/>
  <c r="W27" i="1"/>
  <c r="X27" i="1"/>
  <c r="Y27" i="1"/>
  <c r="I27" i="1" s="1"/>
  <c r="F27" i="1" l="1"/>
  <c r="AA27" i="1" s="1"/>
  <c r="O27" i="1"/>
  <c r="N27" i="1"/>
  <c r="Z26" i="1"/>
  <c r="Z27" i="1"/>
  <c r="S28" i="1"/>
  <c r="W28" i="1"/>
  <c r="X28" i="1"/>
  <c r="Y28" i="1"/>
  <c r="I28" i="1" s="1"/>
  <c r="F28" i="1" l="1"/>
  <c r="AA28" i="1" s="1"/>
  <c r="N28" i="1"/>
  <c r="O28" i="1"/>
  <c r="S29" i="1"/>
  <c r="W29" i="1"/>
  <c r="X29" i="1"/>
  <c r="F29" i="1" s="1"/>
  <c r="Y29" i="1"/>
  <c r="I29" i="1" s="1"/>
  <c r="N29" i="1" l="1"/>
  <c r="Z28" i="1"/>
  <c r="AA29" i="1"/>
  <c r="O29" i="1"/>
  <c r="S30" i="1"/>
  <c r="W30" i="1"/>
  <c r="X30" i="1"/>
  <c r="Y30" i="1"/>
  <c r="I30" i="1" s="1"/>
  <c r="F30" i="1" l="1"/>
  <c r="AA30" i="1" s="1"/>
  <c r="N30" i="1"/>
  <c r="Z29" i="1"/>
  <c r="O30" i="1"/>
  <c r="S31" i="1"/>
  <c r="W31" i="1"/>
  <c r="X31" i="1"/>
  <c r="Y31" i="1"/>
  <c r="I31" i="1" s="1"/>
  <c r="F31" i="1" l="1"/>
  <c r="AA31" i="1" s="1"/>
  <c r="N31" i="1"/>
  <c r="Z30" i="1"/>
  <c r="O31" i="1"/>
  <c r="S32" i="1"/>
  <c r="W32" i="1"/>
  <c r="X32" i="1"/>
  <c r="Y32" i="1"/>
  <c r="I32" i="1" s="1"/>
  <c r="F32" i="1" l="1"/>
  <c r="AA32" i="1" s="1"/>
  <c r="Z31" i="1"/>
  <c r="N32" i="1"/>
  <c r="O32" i="1"/>
  <c r="S33" i="1"/>
  <c r="W33" i="1"/>
  <c r="X33" i="1"/>
  <c r="Y33" i="1"/>
  <c r="I33" i="1" s="1"/>
  <c r="F33" i="1" l="1"/>
  <c r="AA33" i="1" s="1"/>
  <c r="N33" i="1"/>
  <c r="Z32" i="1"/>
  <c r="O33" i="1"/>
  <c r="S34" i="1"/>
  <c r="W34" i="1"/>
  <c r="X34" i="1"/>
  <c r="Y34" i="1"/>
  <c r="I34" i="1" s="1"/>
  <c r="F34" i="1" l="1"/>
  <c r="AA34" i="1" s="1"/>
  <c r="N34" i="1"/>
  <c r="Z33" i="1"/>
  <c r="Z34" i="1"/>
  <c r="O34" i="1"/>
  <c r="S35" i="1"/>
  <c r="W35" i="1"/>
  <c r="X35" i="1"/>
  <c r="Y35" i="1"/>
  <c r="I35" i="1" s="1"/>
  <c r="F35" i="1" l="1"/>
  <c r="AA35" i="1" s="1"/>
  <c r="O35" i="1"/>
  <c r="N35" i="1"/>
  <c r="S36" i="1"/>
  <c r="W36" i="1"/>
  <c r="X36" i="1"/>
  <c r="Y36" i="1"/>
  <c r="I36" i="1" s="1"/>
  <c r="F36" i="1" l="1"/>
  <c r="AA36" i="1" s="1"/>
  <c r="N36" i="1"/>
  <c r="Z35" i="1"/>
  <c r="O36" i="1"/>
  <c r="S37" i="1"/>
  <c r="W37" i="1"/>
  <c r="X37" i="1"/>
  <c r="Y37" i="1"/>
  <c r="I37" i="1" s="1"/>
  <c r="F37" i="1" l="1"/>
  <c r="AA37" i="1" s="1"/>
  <c r="N37" i="1"/>
  <c r="O37" i="1"/>
  <c r="Z36" i="1"/>
  <c r="S38" i="1"/>
  <c r="W38" i="1"/>
  <c r="X38" i="1"/>
  <c r="Y38" i="1"/>
  <c r="I38" i="1" s="1"/>
  <c r="F38" i="1" l="1"/>
  <c r="AA38" i="1" s="1"/>
  <c r="Z37" i="1"/>
  <c r="O38" i="1"/>
  <c r="N38" i="1"/>
  <c r="N39" i="1"/>
  <c r="O39" i="1"/>
  <c r="S39" i="1"/>
  <c r="V39" i="1"/>
  <c r="W39" i="1"/>
  <c r="X39" i="1"/>
  <c r="Y39" i="1"/>
  <c r="I39" i="1" s="1"/>
  <c r="F39" i="1" l="1"/>
  <c r="AA39" i="1" s="1"/>
  <c r="U39" i="1"/>
  <c r="Z38" i="1"/>
  <c r="S40" i="1"/>
  <c r="W40" i="1"/>
  <c r="X40" i="1"/>
  <c r="Y40" i="1"/>
  <c r="I40" i="1" s="1"/>
  <c r="F40" i="1" l="1"/>
  <c r="AA40" i="1" s="1"/>
  <c r="N40" i="1"/>
  <c r="Z39" i="1"/>
  <c r="Z40" i="1"/>
  <c r="O40" i="1"/>
  <c r="S41" i="1"/>
  <c r="W41" i="1"/>
  <c r="X41" i="1"/>
  <c r="Y41" i="1"/>
  <c r="I41" i="1" s="1"/>
  <c r="F41" i="1" l="1"/>
  <c r="AA41" i="1" s="1"/>
  <c r="O41" i="1"/>
  <c r="N41" i="1"/>
  <c r="S42" i="1"/>
  <c r="W42" i="1"/>
  <c r="X42" i="1"/>
  <c r="Y42" i="1"/>
  <c r="I42" i="1" s="1"/>
  <c r="F42" i="1" l="1"/>
  <c r="AA42" i="1" s="1"/>
  <c r="N42" i="1"/>
  <c r="Z41" i="1"/>
  <c r="O42" i="1"/>
  <c r="Z42" i="1" l="1"/>
  <c r="A217" i="43"/>
  <c r="A216" i="43"/>
  <c r="A215" i="43"/>
  <c r="A214" i="43"/>
  <c r="A213" i="43"/>
  <c r="A212" i="43"/>
  <c r="A211" i="43"/>
  <c r="A210" i="43"/>
  <c r="A209" i="43"/>
  <c r="A208" i="43"/>
  <c r="A207" i="43"/>
  <c r="A206" i="43"/>
  <c r="A205" i="43"/>
  <c r="A204" i="43"/>
  <c r="A203" i="43"/>
  <c r="A202" i="43"/>
  <c r="A201" i="43"/>
  <c r="A200" i="43"/>
  <c r="A199" i="43"/>
  <c r="A198" i="43"/>
  <c r="A197" i="43"/>
  <c r="A196" i="43"/>
  <c r="A195" i="43"/>
  <c r="A194" i="43"/>
  <c r="A193" i="43"/>
  <c r="A192" i="43"/>
  <c r="A191" i="43"/>
  <c r="A190" i="43"/>
  <c r="A189" i="43"/>
  <c r="A188" i="43"/>
  <c r="A187" i="43"/>
  <c r="A186" i="43"/>
  <c r="A185" i="43"/>
  <c r="A184" i="43"/>
  <c r="A183" i="43"/>
  <c r="A182" i="43"/>
  <c r="A181" i="43"/>
  <c r="A180" i="43"/>
  <c r="A179" i="43"/>
  <c r="A178" i="43"/>
  <c r="A177" i="43"/>
  <c r="A176" i="43"/>
  <c r="A175" i="43"/>
  <c r="A174" i="43"/>
  <c r="A173" i="43"/>
  <c r="A172" i="43"/>
  <c r="A171" i="43"/>
  <c r="A170" i="43"/>
  <c r="A169" i="43"/>
  <c r="A168" i="43"/>
  <c r="A167" i="43"/>
  <c r="A166" i="43"/>
  <c r="A165" i="43"/>
  <c r="A164" i="43"/>
  <c r="A163" i="43"/>
  <c r="A162" i="43"/>
  <c r="A161" i="43"/>
  <c r="A160" i="43"/>
  <c r="A159" i="43"/>
  <c r="A158" i="43"/>
  <c r="A157" i="43"/>
  <c r="A156" i="43"/>
  <c r="A155" i="43"/>
  <c r="A154" i="43"/>
  <c r="A153" i="43"/>
  <c r="A152" i="43"/>
  <c r="A151" i="43"/>
  <c r="A150" i="43"/>
  <c r="A149" i="43"/>
  <c r="A148" i="43"/>
  <c r="A147" i="43"/>
  <c r="A146" i="43"/>
  <c r="A145" i="43"/>
  <c r="A144" i="43"/>
  <c r="A143" i="43"/>
  <c r="A142" i="43"/>
  <c r="A141" i="43"/>
  <c r="A140" i="43"/>
  <c r="A139" i="43"/>
  <c r="A138" i="43"/>
  <c r="A137" i="43"/>
  <c r="A136" i="43"/>
  <c r="A135" i="43"/>
  <c r="A134" i="43"/>
  <c r="A133" i="43"/>
  <c r="A132" i="43"/>
  <c r="A131" i="43"/>
  <c r="A130" i="43"/>
  <c r="A129" i="43"/>
  <c r="A128" i="43"/>
  <c r="A127" i="43"/>
  <c r="A126" i="43"/>
  <c r="A125" i="43"/>
  <c r="A124" i="43"/>
  <c r="A123" i="43"/>
  <c r="A122" i="43"/>
  <c r="A121" i="43"/>
  <c r="A120" i="43"/>
  <c r="A119" i="43"/>
  <c r="A118" i="43"/>
  <c r="A117" i="43"/>
  <c r="A116" i="43"/>
  <c r="A115" i="43"/>
  <c r="A114" i="43"/>
  <c r="A113" i="43"/>
  <c r="A112" i="43"/>
  <c r="A111" i="43"/>
  <c r="A110" i="43"/>
  <c r="A109" i="43"/>
  <c r="A108" i="43"/>
  <c r="A107" i="43"/>
  <c r="A106" i="43"/>
  <c r="A105" i="43"/>
  <c r="A104" i="43"/>
  <c r="A103" i="43"/>
  <c r="A102" i="43"/>
  <c r="A101" i="43"/>
  <c r="A100" i="43"/>
  <c r="A99" i="43"/>
  <c r="A98" i="43"/>
  <c r="A97" i="43"/>
  <c r="A96" i="43"/>
  <c r="A95" i="43"/>
  <c r="A94" i="43"/>
  <c r="A93" i="43"/>
  <c r="A92" i="43"/>
  <c r="A91" i="43"/>
  <c r="A90" i="43"/>
  <c r="A89" i="43"/>
  <c r="A88" i="43"/>
  <c r="A87" i="43"/>
  <c r="A86" i="43"/>
  <c r="A85" i="43"/>
  <c r="A84" i="43"/>
  <c r="A83" i="43"/>
  <c r="A82" i="43"/>
  <c r="A81" i="43"/>
  <c r="A80" i="43"/>
  <c r="A79" i="43"/>
  <c r="A78" i="43"/>
  <c r="A77" i="43"/>
  <c r="A76" i="43"/>
  <c r="A75" i="43"/>
  <c r="A74" i="43"/>
  <c r="A73" i="43"/>
  <c r="A72" i="43"/>
  <c r="A71" i="43"/>
  <c r="A70" i="43"/>
  <c r="A69" i="43"/>
  <c r="A68" i="43"/>
  <c r="A67" i="43"/>
  <c r="A66" i="43"/>
  <c r="A65" i="43"/>
  <c r="A64" i="43"/>
  <c r="A63" i="43"/>
  <c r="A62" i="43"/>
  <c r="A61" i="43"/>
  <c r="A60" i="43"/>
  <c r="A59" i="43"/>
  <c r="A58" i="43"/>
  <c r="A57" i="43"/>
  <c r="A56" i="43"/>
  <c r="A55" i="43"/>
  <c r="A54" i="43"/>
  <c r="A53" i="43"/>
  <c r="A52" i="43"/>
  <c r="A51" i="43"/>
  <c r="A50" i="43"/>
  <c r="A49" i="43"/>
  <c r="A48" i="43"/>
  <c r="A47" i="43"/>
  <c r="A46" i="43"/>
  <c r="A45" i="43"/>
  <c r="A44" i="43"/>
  <c r="A43" i="43"/>
  <c r="A42" i="43"/>
  <c r="A41" i="43"/>
  <c r="A40" i="43"/>
  <c r="A39" i="43"/>
  <c r="A38" i="43"/>
  <c r="A37" i="43"/>
  <c r="A36" i="43"/>
  <c r="A35" i="43"/>
  <c r="A34" i="43"/>
  <c r="A33" i="43"/>
  <c r="A32" i="43"/>
  <c r="A31" i="43"/>
  <c r="A30" i="43"/>
  <c r="A29" i="43"/>
  <c r="A28" i="43"/>
  <c r="A27" i="43"/>
  <c r="A26" i="43"/>
  <c r="A25" i="43"/>
  <c r="A24" i="43"/>
  <c r="A23" i="43"/>
  <c r="A22" i="43"/>
  <c r="A21" i="43"/>
  <c r="A20" i="43"/>
  <c r="A19" i="43"/>
  <c r="A18" i="43"/>
  <c r="A17" i="43"/>
  <c r="A16" i="43"/>
  <c r="A15" i="43"/>
  <c r="A14" i="43"/>
  <c r="A13" i="43"/>
  <c r="A12" i="43"/>
  <c r="A11" i="43"/>
  <c r="A10" i="43"/>
  <c r="A9" i="43"/>
  <c r="A8" i="43"/>
  <c r="A7" i="43"/>
  <c r="A6" i="43"/>
  <c r="A5" i="43"/>
  <c r="A4" i="43"/>
  <c r="A8" i="45" l="1"/>
  <c r="A9" i="45"/>
  <c r="A10" i="45"/>
  <c r="A11" i="45"/>
  <c r="A12" i="45"/>
  <c r="A13" i="45"/>
  <c r="A14" i="45"/>
  <c r="A15" i="45"/>
  <c r="A16" i="45"/>
  <c r="A17" i="45"/>
  <c r="A18" i="45"/>
  <c r="A19" i="45"/>
  <c r="A20" i="45"/>
  <c r="A21" i="45"/>
  <c r="A22" i="45"/>
  <c r="A23" i="45"/>
  <c r="A24" i="45"/>
  <c r="A25" i="45"/>
  <c r="A26" i="45"/>
  <c r="A27" i="45"/>
  <c r="A28" i="45"/>
  <c r="A29" i="45"/>
  <c r="A30" i="45"/>
  <c r="A31" i="45"/>
  <c r="A32" i="45"/>
  <c r="A33" i="45"/>
  <c r="A34" i="45"/>
  <c r="A35" i="45"/>
  <c r="A36" i="45"/>
  <c r="A37" i="45"/>
  <c r="A38" i="45"/>
  <c r="A39" i="45"/>
  <c r="A40" i="45"/>
  <c r="A41" i="45"/>
  <c r="A42" i="45"/>
  <c r="A43" i="45"/>
  <c r="A44" i="45"/>
  <c r="A45" i="45"/>
  <c r="A46" i="45"/>
  <c r="A47" i="45"/>
  <c r="A48" i="45"/>
  <c r="A49" i="45"/>
  <c r="A50" i="45"/>
  <c r="A51" i="45"/>
  <c r="A52" i="45"/>
  <c r="A53" i="45"/>
  <c r="A54" i="45"/>
  <c r="A55" i="45"/>
  <c r="A56" i="45"/>
  <c r="A57" i="45"/>
  <c r="A58" i="45"/>
  <c r="A59" i="45"/>
  <c r="A60" i="45"/>
  <c r="A61" i="45"/>
  <c r="A62" i="45"/>
  <c r="A63" i="45"/>
  <c r="A64" i="45"/>
  <c r="A65" i="45"/>
  <c r="A66" i="45"/>
  <c r="A67" i="45"/>
  <c r="A68" i="45"/>
  <c r="A69" i="45"/>
  <c r="A70" i="45"/>
  <c r="A71" i="45"/>
  <c r="A72" i="45"/>
  <c r="A73" i="45"/>
  <c r="A74" i="45"/>
  <c r="A75" i="45"/>
  <c r="A76" i="45"/>
  <c r="A77" i="45"/>
  <c r="A78" i="45"/>
  <c r="A79" i="45"/>
  <c r="A80" i="45"/>
  <c r="A81" i="45"/>
  <c r="A82" i="45"/>
  <c r="A83" i="45"/>
  <c r="A84" i="45"/>
  <c r="A85" i="45"/>
  <c r="A86" i="45"/>
  <c r="A87" i="45"/>
  <c r="A88" i="45"/>
  <c r="A89" i="45"/>
  <c r="A90" i="45"/>
  <c r="A91" i="45"/>
  <c r="A92" i="45"/>
  <c r="A93" i="45"/>
  <c r="A94" i="45"/>
  <c r="A95" i="45"/>
  <c r="A96" i="45"/>
  <c r="A97" i="45"/>
  <c r="A98" i="45"/>
  <c r="A99" i="45"/>
  <c r="A100" i="45"/>
  <c r="A101" i="45"/>
  <c r="A102" i="45"/>
  <c r="A103" i="45"/>
  <c r="A104" i="45"/>
  <c r="A105" i="45"/>
  <c r="A106" i="45"/>
  <c r="A107" i="45"/>
  <c r="A108" i="45"/>
  <c r="A109" i="45"/>
  <c r="A110" i="45"/>
  <c r="A111" i="45"/>
  <c r="A112" i="45"/>
  <c r="A113" i="45"/>
  <c r="A114" i="45"/>
  <c r="A115" i="45"/>
  <c r="A116" i="45"/>
  <c r="A117" i="45"/>
  <c r="A118" i="45"/>
  <c r="A119" i="45"/>
  <c r="A120" i="45"/>
  <c r="A121" i="45"/>
  <c r="A122" i="45"/>
  <c r="A123" i="45"/>
  <c r="A124" i="45"/>
  <c r="A125" i="45"/>
  <c r="A126" i="45"/>
  <c r="A127" i="45"/>
  <c r="A128" i="45"/>
  <c r="A129" i="45"/>
  <c r="A130" i="45"/>
  <c r="A131" i="45"/>
  <c r="A132" i="45"/>
  <c r="A133" i="45"/>
  <c r="A134" i="45"/>
  <c r="A135" i="45"/>
  <c r="A136" i="45"/>
  <c r="A137" i="45"/>
  <c r="A138" i="45"/>
  <c r="A139" i="45"/>
  <c r="A140" i="45"/>
  <c r="A141" i="45"/>
  <c r="A142" i="45"/>
  <c r="A143" i="45"/>
  <c r="A144" i="45"/>
  <c r="A145" i="45"/>
  <c r="A146" i="45"/>
  <c r="A147" i="45"/>
  <c r="A148" i="45"/>
  <c r="A149" i="45"/>
  <c r="A150" i="45"/>
  <c r="A151" i="45"/>
  <c r="A152" i="45"/>
  <c r="A153" i="45"/>
  <c r="A154" i="45"/>
  <c r="A155" i="45"/>
  <c r="A156" i="45"/>
  <c r="A157" i="45"/>
  <c r="A158" i="45"/>
  <c r="A159" i="45"/>
  <c r="A160" i="45"/>
  <c r="A161" i="45"/>
  <c r="A162" i="45"/>
  <c r="A163" i="45"/>
  <c r="A164" i="45"/>
  <c r="A165" i="45"/>
  <c r="A166" i="45"/>
  <c r="A167" i="45"/>
  <c r="A168" i="45"/>
  <c r="A169" i="45"/>
  <c r="A170" i="45"/>
  <c r="A171" i="45"/>
  <c r="A172" i="45"/>
  <c r="A173" i="45"/>
  <c r="B8" i="45"/>
  <c r="B9" i="45"/>
  <c r="B10" i="45"/>
  <c r="B11" i="45"/>
  <c r="B12" i="45"/>
  <c r="B13" i="45"/>
  <c r="B14" i="45"/>
  <c r="B15" i="45"/>
  <c r="B16" i="45"/>
  <c r="B17" i="45"/>
  <c r="B18" i="45"/>
  <c r="B19" i="45"/>
  <c r="B20" i="45"/>
  <c r="B21" i="45"/>
  <c r="B22" i="45"/>
  <c r="B23" i="45"/>
  <c r="B24" i="45"/>
  <c r="B25" i="45"/>
  <c r="B26" i="45"/>
  <c r="B27" i="45"/>
  <c r="B28" i="45"/>
  <c r="B29" i="45"/>
  <c r="B30" i="45"/>
  <c r="B31" i="45"/>
  <c r="B32" i="45"/>
  <c r="B33" i="45"/>
  <c r="B34" i="45"/>
  <c r="B35" i="45"/>
  <c r="B36" i="45"/>
  <c r="B37" i="45"/>
  <c r="B38" i="45"/>
  <c r="B39" i="45"/>
  <c r="B40" i="45"/>
  <c r="B41" i="45"/>
  <c r="B42" i="45"/>
  <c r="B43" i="45"/>
  <c r="B44" i="45"/>
  <c r="B45" i="45"/>
  <c r="B46" i="45"/>
  <c r="B47" i="45"/>
  <c r="B48" i="45"/>
  <c r="B49" i="45"/>
  <c r="B50" i="45"/>
  <c r="B51" i="45"/>
  <c r="B52" i="45"/>
  <c r="B53" i="45"/>
  <c r="B54" i="45"/>
  <c r="B55" i="45"/>
  <c r="B56" i="45"/>
  <c r="B57" i="45"/>
  <c r="B58" i="45"/>
  <c r="B59" i="45"/>
  <c r="B60" i="45"/>
  <c r="B61" i="45"/>
  <c r="B62" i="45"/>
  <c r="B63" i="45"/>
  <c r="B64" i="45"/>
  <c r="B65" i="45"/>
  <c r="B66" i="45"/>
  <c r="B67" i="45"/>
  <c r="B68" i="45"/>
  <c r="B69" i="45"/>
  <c r="B70" i="45"/>
  <c r="B71" i="45"/>
  <c r="B72" i="45"/>
  <c r="B73" i="45"/>
  <c r="B74" i="45"/>
  <c r="B75" i="45"/>
  <c r="B76" i="45"/>
  <c r="B77" i="45"/>
  <c r="B78" i="45"/>
  <c r="B79" i="45"/>
  <c r="B80" i="45"/>
  <c r="B81" i="45"/>
  <c r="B82" i="45"/>
  <c r="B83" i="45"/>
  <c r="B84" i="45"/>
  <c r="B85" i="45"/>
  <c r="B86" i="45"/>
  <c r="B87" i="45"/>
  <c r="B88" i="45"/>
  <c r="B89" i="45"/>
  <c r="B90" i="45"/>
  <c r="B91" i="45"/>
  <c r="B92" i="45"/>
  <c r="B93" i="45"/>
  <c r="B94" i="45"/>
  <c r="B95" i="45"/>
  <c r="B96" i="45"/>
  <c r="B97" i="45"/>
  <c r="B98" i="45"/>
  <c r="B99" i="45"/>
  <c r="B100" i="45"/>
  <c r="B101" i="45"/>
  <c r="B102" i="45"/>
  <c r="B103" i="45"/>
  <c r="B104" i="45"/>
  <c r="B105" i="45"/>
  <c r="B106" i="45"/>
  <c r="B107" i="45"/>
  <c r="B108" i="45"/>
  <c r="B109" i="45"/>
  <c r="B110" i="45"/>
  <c r="B111" i="45"/>
  <c r="B112" i="45"/>
  <c r="B113" i="45"/>
  <c r="B114" i="45"/>
  <c r="B115" i="45"/>
  <c r="B116" i="45"/>
  <c r="B117" i="45"/>
  <c r="B118" i="45"/>
  <c r="B119" i="45"/>
  <c r="B120" i="45"/>
  <c r="B121" i="45"/>
  <c r="B122" i="45"/>
  <c r="B123" i="45"/>
  <c r="B124" i="45"/>
  <c r="B125" i="45"/>
  <c r="B126" i="45"/>
  <c r="B127" i="45"/>
  <c r="B128" i="45"/>
  <c r="B129" i="45"/>
  <c r="B130" i="45"/>
  <c r="B131" i="45"/>
  <c r="B132" i="45"/>
  <c r="B133" i="45"/>
  <c r="B134" i="45"/>
  <c r="B135" i="45"/>
  <c r="B136" i="45"/>
  <c r="B137" i="45"/>
  <c r="B138" i="45"/>
  <c r="B139" i="45"/>
  <c r="B140" i="45"/>
  <c r="B141" i="45"/>
  <c r="B142" i="45"/>
  <c r="B143" i="45"/>
  <c r="B144" i="45"/>
  <c r="B145" i="45"/>
  <c r="B146" i="45"/>
  <c r="B147" i="45"/>
  <c r="B148" i="45"/>
  <c r="B149" i="45"/>
  <c r="B150" i="45"/>
  <c r="B151" i="45"/>
  <c r="B152" i="45"/>
  <c r="B153" i="45"/>
  <c r="B154" i="45"/>
  <c r="B155" i="45"/>
  <c r="B156" i="45"/>
  <c r="B157" i="45"/>
  <c r="B158" i="45"/>
  <c r="B159" i="45"/>
  <c r="B160" i="45"/>
  <c r="B161" i="45"/>
  <c r="B162" i="45"/>
  <c r="B163" i="45"/>
  <c r="B164" i="45"/>
  <c r="B165" i="45"/>
  <c r="B166" i="45"/>
  <c r="B167" i="45"/>
  <c r="B168" i="45"/>
  <c r="B169" i="45"/>
  <c r="B170" i="45"/>
  <c r="B171" i="45"/>
  <c r="B172" i="45"/>
  <c r="B173" i="45"/>
  <c r="B7" i="45"/>
  <c r="A7" i="45"/>
  <c r="A1" i="45" l="1"/>
  <c r="M135" i="46"/>
  <c r="M134" i="46"/>
  <c r="M133" i="46"/>
  <c r="M132" i="46"/>
  <c r="M131" i="46"/>
  <c r="M130" i="46"/>
  <c r="M129" i="46"/>
  <c r="M128" i="46"/>
  <c r="M127" i="46"/>
  <c r="M126" i="46"/>
  <c r="M125" i="46"/>
  <c r="M124" i="46"/>
  <c r="M123" i="46"/>
  <c r="M122" i="46"/>
  <c r="M121" i="46"/>
  <c r="M120" i="46"/>
  <c r="M119" i="46"/>
  <c r="M118" i="46"/>
  <c r="M117" i="46"/>
  <c r="M116" i="46"/>
  <c r="M115" i="46"/>
  <c r="M114" i="46"/>
  <c r="M113" i="46"/>
  <c r="M112" i="46"/>
  <c r="M111" i="46"/>
  <c r="M110" i="46"/>
  <c r="M109" i="46"/>
  <c r="M108" i="46"/>
  <c r="M107" i="46"/>
  <c r="M106" i="46"/>
  <c r="M105" i="46"/>
  <c r="M104" i="46"/>
  <c r="M103" i="46"/>
  <c r="M102" i="46"/>
  <c r="M101" i="46"/>
  <c r="M100" i="46"/>
  <c r="M99" i="46"/>
  <c r="M98" i="46"/>
  <c r="M97" i="46"/>
  <c r="M96" i="46"/>
  <c r="M95" i="46"/>
  <c r="M94" i="46"/>
  <c r="M93" i="46"/>
  <c r="M92" i="46"/>
  <c r="M91" i="46"/>
  <c r="M90" i="46"/>
  <c r="M89" i="46"/>
  <c r="M88" i="46"/>
  <c r="M87" i="46"/>
  <c r="M86" i="46"/>
  <c r="M85" i="46"/>
  <c r="M84" i="46"/>
  <c r="M83" i="46"/>
  <c r="M82" i="46"/>
  <c r="M81" i="46"/>
  <c r="M80" i="46"/>
  <c r="M79" i="46"/>
  <c r="M78" i="46"/>
  <c r="M77" i="46"/>
  <c r="M76" i="46"/>
  <c r="M75" i="46"/>
  <c r="M74" i="46"/>
  <c r="M73" i="46"/>
  <c r="M72" i="46"/>
  <c r="M71" i="46"/>
  <c r="M70" i="46"/>
  <c r="M69" i="46"/>
  <c r="M68" i="46"/>
  <c r="M67" i="46"/>
  <c r="M66" i="46"/>
  <c r="M65" i="46"/>
  <c r="M64" i="46"/>
  <c r="M63" i="46"/>
  <c r="M62" i="46"/>
  <c r="M61" i="46"/>
  <c r="M60" i="46"/>
  <c r="M59" i="46"/>
  <c r="M58" i="46"/>
  <c r="M57" i="46"/>
  <c r="M56" i="46"/>
  <c r="M55" i="46"/>
  <c r="M54" i="46"/>
  <c r="M53" i="46"/>
  <c r="M52" i="46"/>
  <c r="M51" i="46"/>
  <c r="M50" i="46"/>
  <c r="M49" i="46"/>
  <c r="M48" i="46"/>
  <c r="M47" i="46"/>
  <c r="M46" i="46"/>
  <c r="M45" i="46"/>
  <c r="M44" i="46"/>
  <c r="M43" i="46"/>
  <c r="M42" i="46"/>
  <c r="M41" i="46"/>
  <c r="M40" i="46"/>
  <c r="M39" i="46"/>
  <c r="M38" i="46"/>
  <c r="M37" i="46"/>
  <c r="M36" i="46"/>
  <c r="M35" i="46"/>
  <c r="M34" i="46"/>
  <c r="M33" i="46"/>
  <c r="M32" i="46"/>
  <c r="M31" i="46"/>
  <c r="M30" i="46"/>
  <c r="M29" i="46"/>
  <c r="M28" i="46"/>
  <c r="M27" i="46"/>
  <c r="M26" i="46"/>
  <c r="M25" i="46"/>
  <c r="M24" i="46"/>
  <c r="M23" i="46"/>
  <c r="M22" i="46"/>
  <c r="M21" i="46"/>
  <c r="M20" i="46"/>
  <c r="M19" i="46"/>
  <c r="M18" i="46"/>
  <c r="M17" i="46"/>
  <c r="M16" i="46"/>
  <c r="M15" i="46"/>
  <c r="M14" i="46"/>
  <c r="M13" i="46"/>
  <c r="M12" i="46"/>
  <c r="M11" i="46"/>
  <c r="M10" i="46"/>
  <c r="M9" i="46"/>
  <c r="M8" i="46"/>
  <c r="M7" i="46"/>
  <c r="M6" i="46"/>
  <c r="M5" i="46"/>
  <c r="M4" i="46"/>
  <c r="M3" i="46"/>
  <c r="M2" i="46"/>
  <c r="G4" i="45" l="1"/>
  <c r="V44" i="1" l="1"/>
  <c r="V49" i="1"/>
  <c r="V76" i="1"/>
  <c r="V81" i="1"/>
  <c r="V94" i="1"/>
  <c r="V99" i="1"/>
  <c r="V114" i="1"/>
  <c r="V122" i="1"/>
  <c r="V125" i="1"/>
  <c r="V128" i="1"/>
  <c r="V132" i="1"/>
  <c r="V137" i="1"/>
  <c r="V141" i="1"/>
  <c r="V150" i="1"/>
  <c r="V164" i="1"/>
  <c r="V165" i="1"/>
  <c r="V167" i="1"/>
  <c r="Y173" i="1" l="1"/>
  <c r="I173" i="1" s="1"/>
  <c r="Y171" i="1"/>
  <c r="I171" i="1" s="1"/>
  <c r="Y170" i="1"/>
  <c r="I170" i="1" s="1"/>
  <c r="Y169" i="1"/>
  <c r="I169" i="1" s="1"/>
  <c r="Y167" i="1"/>
  <c r="I167" i="1" s="1"/>
  <c r="Y166" i="1"/>
  <c r="I166" i="1" s="1"/>
  <c r="Y164" i="1"/>
  <c r="I164" i="1" s="1"/>
  <c r="Y163" i="1"/>
  <c r="I163" i="1" s="1"/>
  <c r="Y162" i="1"/>
  <c r="I162" i="1" s="1"/>
  <c r="Y161" i="1"/>
  <c r="I161" i="1" s="1"/>
  <c r="Y160" i="1"/>
  <c r="I160" i="1" s="1"/>
  <c r="Y159" i="1"/>
  <c r="I159" i="1" s="1"/>
  <c r="Y158" i="1"/>
  <c r="I158" i="1" s="1"/>
  <c r="Y155" i="1"/>
  <c r="I155" i="1" s="1"/>
  <c r="Y153" i="1"/>
  <c r="I153" i="1" s="1"/>
  <c r="Y152" i="1"/>
  <c r="I152" i="1" s="1"/>
  <c r="Y150" i="1"/>
  <c r="I150" i="1" s="1"/>
  <c r="Y149" i="1"/>
  <c r="I149" i="1" s="1"/>
  <c r="Y148" i="1"/>
  <c r="I148" i="1" s="1"/>
  <c r="Y147" i="1"/>
  <c r="I147" i="1" s="1"/>
  <c r="Y146" i="1"/>
  <c r="I146" i="1" s="1"/>
  <c r="Y145" i="1"/>
  <c r="I145" i="1" s="1"/>
  <c r="Y144" i="1"/>
  <c r="I144" i="1" s="1"/>
  <c r="Y143" i="1"/>
  <c r="I143" i="1" s="1"/>
  <c r="Y142" i="1"/>
  <c r="I142" i="1" s="1"/>
  <c r="Y141" i="1"/>
  <c r="I141" i="1" s="1"/>
  <c r="Y140" i="1"/>
  <c r="I140" i="1" s="1"/>
  <c r="Y139" i="1"/>
  <c r="I139" i="1" s="1"/>
  <c r="Y138" i="1"/>
  <c r="I138" i="1" s="1"/>
  <c r="Y137" i="1"/>
  <c r="I137" i="1" s="1"/>
  <c r="Y136" i="1"/>
  <c r="I136" i="1" s="1"/>
  <c r="Y135" i="1"/>
  <c r="I135" i="1" s="1"/>
  <c r="Y134" i="1"/>
  <c r="I134" i="1" s="1"/>
  <c r="Y133" i="1"/>
  <c r="I133" i="1" s="1"/>
  <c r="Y132" i="1"/>
  <c r="I132" i="1" s="1"/>
  <c r="Y130" i="1"/>
  <c r="I130" i="1" s="1"/>
  <c r="Y128" i="1"/>
  <c r="I128" i="1" s="1"/>
  <c r="Y125" i="1"/>
  <c r="I125" i="1" s="1"/>
  <c r="Y124" i="1"/>
  <c r="I124" i="1" s="1"/>
  <c r="Y123" i="1"/>
  <c r="I123" i="1" s="1"/>
  <c r="Y122" i="1"/>
  <c r="I122" i="1" s="1"/>
  <c r="Y121" i="1"/>
  <c r="I121" i="1" s="1"/>
  <c r="Y120" i="1"/>
  <c r="I120" i="1" s="1"/>
  <c r="Y119" i="1"/>
  <c r="I119" i="1" s="1"/>
  <c r="Y118" i="1"/>
  <c r="I118" i="1" s="1"/>
  <c r="Y117" i="1"/>
  <c r="I117" i="1" s="1"/>
  <c r="Y116" i="1"/>
  <c r="I116" i="1" s="1"/>
  <c r="Y115" i="1"/>
  <c r="I115" i="1" s="1"/>
  <c r="Y114" i="1"/>
  <c r="I114" i="1" s="1"/>
  <c r="Y113" i="1"/>
  <c r="I113" i="1" s="1"/>
  <c r="Y112" i="1"/>
  <c r="I112" i="1" s="1"/>
  <c r="Y111" i="1"/>
  <c r="I111" i="1" s="1"/>
  <c r="Y110" i="1"/>
  <c r="I110" i="1" s="1"/>
  <c r="Y109" i="1"/>
  <c r="I109" i="1" s="1"/>
  <c r="Y107" i="1"/>
  <c r="I107" i="1" s="1"/>
  <c r="Y106" i="1"/>
  <c r="I106" i="1" s="1"/>
  <c r="Y105" i="1"/>
  <c r="I105" i="1" s="1"/>
  <c r="Y104" i="1"/>
  <c r="I104" i="1" s="1"/>
  <c r="Y102" i="1"/>
  <c r="I102" i="1" s="1"/>
  <c r="Y101" i="1"/>
  <c r="I101" i="1" s="1"/>
  <c r="Y100" i="1"/>
  <c r="I100" i="1" s="1"/>
  <c r="Y99" i="1"/>
  <c r="I99" i="1" s="1"/>
  <c r="Y98" i="1"/>
  <c r="I98" i="1" s="1"/>
  <c r="Y97" i="1"/>
  <c r="I97" i="1" s="1"/>
  <c r="Y96" i="1"/>
  <c r="I96" i="1" s="1"/>
  <c r="Y95" i="1"/>
  <c r="I95" i="1" s="1"/>
  <c r="Y94" i="1"/>
  <c r="I94" i="1" s="1"/>
  <c r="Y93" i="1"/>
  <c r="I93" i="1" s="1"/>
  <c r="Y92" i="1"/>
  <c r="I92" i="1" s="1"/>
  <c r="Y91" i="1"/>
  <c r="I91" i="1" s="1"/>
  <c r="Y90" i="1"/>
  <c r="I90" i="1" s="1"/>
  <c r="Y89" i="1"/>
  <c r="I89" i="1" s="1"/>
  <c r="Y88" i="1"/>
  <c r="I88" i="1" s="1"/>
  <c r="Y86" i="1"/>
  <c r="I86" i="1" s="1"/>
  <c r="Y85" i="1"/>
  <c r="I85" i="1" s="1"/>
  <c r="Y84" i="1"/>
  <c r="I84" i="1" s="1"/>
  <c r="Y83" i="1"/>
  <c r="I83" i="1" s="1"/>
  <c r="Y82" i="1"/>
  <c r="I82" i="1" s="1"/>
  <c r="Y81" i="1"/>
  <c r="I81" i="1" s="1"/>
  <c r="Y80" i="1"/>
  <c r="I80" i="1" s="1"/>
  <c r="Y78" i="1"/>
  <c r="I78" i="1" s="1"/>
  <c r="Y77" i="1"/>
  <c r="I77" i="1" s="1"/>
  <c r="Y76" i="1"/>
  <c r="I76" i="1" s="1"/>
  <c r="Y74" i="1"/>
  <c r="I74" i="1" s="1"/>
  <c r="Y73" i="1"/>
  <c r="I73" i="1" s="1"/>
  <c r="Y72" i="1"/>
  <c r="I72" i="1" s="1"/>
  <c r="Y71" i="1"/>
  <c r="I71" i="1" s="1"/>
  <c r="Y69" i="1"/>
  <c r="I69" i="1" s="1"/>
  <c r="Y67" i="1"/>
  <c r="I67" i="1" s="1"/>
  <c r="Y66" i="1"/>
  <c r="I66" i="1" s="1"/>
  <c r="Y65" i="1"/>
  <c r="I65" i="1" s="1"/>
  <c r="Y64" i="1"/>
  <c r="I64" i="1" s="1"/>
  <c r="Y63" i="1"/>
  <c r="I63" i="1" s="1"/>
  <c r="Y62" i="1"/>
  <c r="I62" i="1" s="1"/>
  <c r="Y61" i="1"/>
  <c r="I61" i="1" s="1"/>
  <c r="Y60" i="1"/>
  <c r="I60" i="1" s="1"/>
  <c r="Y59" i="1"/>
  <c r="I59" i="1" s="1"/>
  <c r="Y58" i="1"/>
  <c r="I58" i="1" s="1"/>
  <c r="Y57" i="1"/>
  <c r="I57" i="1" s="1"/>
  <c r="Y56" i="1"/>
  <c r="I56" i="1" s="1"/>
  <c r="Y55" i="1"/>
  <c r="I55" i="1" s="1"/>
  <c r="Y53" i="1"/>
  <c r="I53" i="1" s="1"/>
  <c r="Y52" i="1"/>
  <c r="I52" i="1" s="1"/>
  <c r="Y51" i="1"/>
  <c r="I51" i="1" s="1"/>
  <c r="Y50" i="1"/>
  <c r="I50" i="1" s="1"/>
  <c r="Y48" i="1"/>
  <c r="I48" i="1" s="1"/>
  <c r="Y47" i="1"/>
  <c r="I47" i="1" s="1"/>
  <c r="Y46" i="1"/>
  <c r="I46" i="1" s="1"/>
  <c r="Y45" i="1"/>
  <c r="I45" i="1" s="1"/>
  <c r="Y44" i="1"/>
  <c r="I44" i="1" s="1"/>
  <c r="Y43" i="1"/>
  <c r="I43" i="1" s="1"/>
  <c r="Y19" i="1"/>
  <c r="I19" i="1" s="1"/>
  <c r="Y18" i="1"/>
  <c r="I18" i="1" s="1"/>
  <c r="Y17" i="1"/>
  <c r="I17" i="1" s="1"/>
  <c r="Y16" i="1"/>
  <c r="I16" i="1" s="1"/>
  <c r="Y15" i="1"/>
  <c r="I15" i="1" s="1"/>
  <c r="Y14" i="1"/>
  <c r="I14" i="1" s="1"/>
  <c r="Y13" i="1"/>
  <c r="I13" i="1" s="1"/>
  <c r="Y12" i="1"/>
  <c r="I12" i="1" s="1"/>
  <c r="Y11" i="1"/>
  <c r="I11" i="1" s="1"/>
  <c r="Y10" i="1"/>
  <c r="I10" i="1" s="1"/>
  <c r="Y8" i="1"/>
  <c r="I8" i="1" s="1"/>
  <c r="Y103" i="1" l="1"/>
  <c r="I103" i="1" s="1"/>
  <c r="Y79" i="1"/>
  <c r="I79" i="1" s="1"/>
  <c r="Y129" i="1"/>
  <c r="I129" i="1" s="1"/>
  <c r="Y151" i="1"/>
  <c r="I151" i="1" s="1"/>
  <c r="Y126" i="1"/>
  <c r="I126" i="1" s="1"/>
  <c r="Y108" i="1"/>
  <c r="I108" i="1" s="1"/>
  <c r="Y154" i="1"/>
  <c r="I154" i="1" s="1"/>
  <c r="Y131" i="1"/>
  <c r="I131" i="1" s="1"/>
  <c r="Y165" i="1"/>
  <c r="I165" i="1" s="1"/>
  <c r="Y157" i="1"/>
  <c r="I157" i="1" s="1"/>
  <c r="Y70" i="1"/>
  <c r="I70" i="1" s="1"/>
  <c r="Y172" i="1"/>
  <c r="I172" i="1" s="1"/>
  <c r="Y68" i="1"/>
  <c r="I68" i="1" s="1"/>
  <c r="Y54" i="1"/>
  <c r="I54" i="1" s="1"/>
  <c r="Y127" i="1"/>
  <c r="I127" i="1" s="1"/>
  <c r="Y87" i="1"/>
  <c r="I87" i="1" s="1"/>
  <c r="Y156" i="1"/>
  <c r="I156" i="1" s="1"/>
  <c r="Y75" i="1"/>
  <c r="I75" i="1" s="1"/>
  <c r="Y168" i="1"/>
  <c r="I168" i="1" s="1"/>
  <c r="J57" i="45"/>
  <c r="J105" i="45"/>
  <c r="J11" i="45"/>
  <c r="J35" i="45"/>
  <c r="J59" i="45"/>
  <c r="J107" i="45"/>
  <c r="J167" i="45"/>
  <c r="J8" i="45"/>
  <c r="J33" i="45"/>
  <c r="J10" i="45"/>
  <c r="J34" i="45"/>
  <c r="J23" i="45"/>
  <c r="J47" i="45"/>
  <c r="J71" i="45"/>
  <c r="J95" i="45"/>
  <c r="J119" i="45"/>
  <c r="J143" i="45"/>
  <c r="J155" i="45"/>
  <c r="J12" i="45"/>
  <c r="J24" i="45"/>
  <c r="J36" i="45"/>
  <c r="J48" i="45"/>
  <c r="J60" i="45"/>
  <c r="J72" i="45"/>
  <c r="J84" i="45"/>
  <c r="J96" i="45"/>
  <c r="J120" i="45"/>
  <c r="J132" i="45"/>
  <c r="J144" i="45"/>
  <c r="J25" i="45"/>
  <c r="J97" i="45"/>
  <c r="J38" i="45"/>
  <c r="J74" i="45"/>
  <c r="J86" i="45"/>
  <c r="J98" i="45"/>
  <c r="J110" i="45"/>
  <c r="J134" i="45"/>
  <c r="J146" i="45"/>
  <c r="J158" i="45"/>
  <c r="J170" i="45"/>
  <c r="J15" i="45"/>
  <c r="J27" i="45"/>
  <c r="J39" i="45"/>
  <c r="J51" i="45"/>
  <c r="J63" i="45"/>
  <c r="J99" i="45"/>
  <c r="J111" i="45"/>
  <c r="J123" i="45"/>
  <c r="J135" i="45"/>
  <c r="J159" i="45"/>
  <c r="J171" i="45"/>
  <c r="J73" i="45"/>
  <c r="J169" i="45"/>
  <c r="J16" i="45"/>
  <c r="J52" i="45"/>
  <c r="J76" i="45"/>
  <c r="J100" i="45"/>
  <c r="J124" i="45"/>
  <c r="J148" i="45"/>
  <c r="J160" i="45"/>
  <c r="J13" i="45"/>
  <c r="J61" i="45"/>
  <c r="J157" i="45"/>
  <c r="J62" i="45"/>
  <c r="J40" i="45"/>
  <c r="J88" i="45"/>
  <c r="J112" i="45"/>
  <c r="J136" i="45"/>
  <c r="J17" i="45"/>
  <c r="J29" i="45"/>
  <c r="J53" i="45"/>
  <c r="J65" i="45"/>
  <c r="J77" i="45"/>
  <c r="J89" i="45"/>
  <c r="J101" i="45"/>
  <c r="J113" i="45"/>
  <c r="J125" i="45"/>
  <c r="J137" i="45"/>
  <c r="J149" i="45"/>
  <c r="J173" i="45"/>
  <c r="J37" i="45"/>
  <c r="J109" i="45"/>
  <c r="J14" i="45"/>
  <c r="J18" i="45"/>
  <c r="J66" i="45"/>
  <c r="J78" i="45"/>
  <c r="J90" i="45"/>
  <c r="J102" i="45"/>
  <c r="J114" i="45"/>
  <c r="J138" i="45"/>
  <c r="J150" i="45"/>
  <c r="J162" i="45"/>
  <c r="J85" i="45"/>
  <c r="J50" i="45"/>
  <c r="J30" i="45"/>
  <c r="J31" i="45"/>
  <c r="J55" i="45"/>
  <c r="J67" i="45"/>
  <c r="J91" i="45"/>
  <c r="J115" i="45"/>
  <c r="J139" i="45"/>
  <c r="J163" i="45"/>
  <c r="J121" i="45"/>
  <c r="J28" i="45"/>
  <c r="J42" i="45"/>
  <c r="J19" i="45"/>
  <c r="J43" i="45"/>
  <c r="J20" i="45"/>
  <c r="J32" i="45"/>
  <c r="J44" i="45"/>
  <c r="J80" i="45"/>
  <c r="J92" i="45"/>
  <c r="J104" i="45"/>
  <c r="J116" i="45"/>
  <c r="J128" i="45"/>
  <c r="J140" i="45"/>
  <c r="J21" i="45"/>
  <c r="J69" i="45"/>
  <c r="J93" i="45"/>
  <c r="J117" i="45"/>
  <c r="J141" i="45"/>
  <c r="J153" i="45"/>
  <c r="J81" i="45"/>
  <c r="J22" i="45"/>
  <c r="J46" i="45"/>
  <c r="J58" i="45"/>
  <c r="J82" i="45"/>
  <c r="J94" i="45"/>
  <c r="J118" i="45"/>
  <c r="J130" i="45"/>
  <c r="J166" i="45"/>
  <c r="A6" i="34"/>
  <c r="A7" i="34"/>
  <c r="A8" i="34"/>
  <c r="A9" i="34"/>
  <c r="A10" i="34"/>
  <c r="A11" i="34"/>
  <c r="A12" i="34"/>
  <c r="A13" i="34"/>
  <c r="A14" i="34"/>
  <c r="A15" i="34"/>
  <c r="A16" i="34"/>
  <c r="A17" i="34"/>
  <c r="A18" i="34"/>
  <c r="A19" i="34"/>
  <c r="A20" i="34"/>
  <c r="A21" i="34"/>
  <c r="A22" i="34"/>
  <c r="A23" i="34"/>
  <c r="A24" i="34"/>
  <c r="A25" i="34"/>
  <c r="A26" i="34"/>
  <c r="A27" i="34"/>
  <c r="A28" i="34"/>
  <c r="A29" i="34"/>
  <c r="A30"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63" i="34"/>
  <c r="A64" i="34"/>
  <c r="A65" i="34"/>
  <c r="A66" i="34"/>
  <c r="A67" i="34"/>
  <c r="A68" i="34"/>
  <c r="A69" i="34"/>
  <c r="A70" i="34"/>
  <c r="A71" i="34"/>
  <c r="A72" i="34"/>
  <c r="A73" i="34"/>
  <c r="A74" i="34"/>
  <c r="A75" i="34"/>
  <c r="A76" i="34"/>
  <c r="A77" i="34"/>
  <c r="A78" i="34"/>
  <c r="A79" i="34"/>
  <c r="A80" i="34"/>
  <c r="A81" i="34"/>
  <c r="A82" i="34"/>
  <c r="A83" i="34"/>
  <c r="A84" i="34"/>
  <c r="A85" i="34"/>
  <c r="A86" i="34"/>
  <c r="A87" i="34"/>
  <c r="A88" i="34"/>
  <c r="A89" i="34"/>
  <c r="A90" i="34"/>
  <c r="A91" i="34"/>
  <c r="A92" i="34"/>
  <c r="A93" i="34"/>
  <c r="A94" i="34"/>
  <c r="A95" i="34"/>
  <c r="A96" i="34"/>
  <c r="A97" i="34"/>
  <c r="A98" i="34"/>
  <c r="A99" i="34"/>
  <c r="A100" i="34"/>
  <c r="A101" i="34"/>
  <c r="A102" i="34"/>
  <c r="A103" i="34"/>
  <c r="A104" i="34"/>
  <c r="A105" i="34"/>
  <c r="A106" i="34"/>
  <c r="A107" i="34"/>
  <c r="A108" i="34"/>
  <c r="A109" i="34"/>
  <c r="A110" i="34"/>
  <c r="A111" i="34"/>
  <c r="A112" i="34"/>
  <c r="A113" i="34"/>
  <c r="A114" i="34"/>
  <c r="A115" i="34"/>
  <c r="A116" i="34"/>
  <c r="A117" i="34"/>
  <c r="A118" i="34"/>
  <c r="A119" i="34"/>
  <c r="A120" i="34"/>
  <c r="A121" i="34"/>
  <c r="A122" i="34"/>
  <c r="A123" i="34"/>
  <c r="A124" i="34"/>
  <c r="A125" i="34"/>
  <c r="A126" i="34"/>
  <c r="A127" i="34"/>
  <c r="A128" i="34"/>
  <c r="A129" i="34"/>
  <c r="A130" i="34"/>
  <c r="A131" i="34"/>
  <c r="A132" i="34"/>
  <c r="A133" i="34"/>
  <c r="A134" i="34"/>
  <c r="A135" i="34"/>
  <c r="A136" i="34"/>
  <c r="A137" i="34"/>
  <c r="A138" i="34"/>
  <c r="A139" i="34"/>
  <c r="A140" i="34"/>
  <c r="A141" i="34"/>
  <c r="A142" i="34"/>
  <c r="A143" i="34"/>
  <c r="A144" i="34"/>
  <c r="A145" i="34"/>
  <c r="A146" i="34"/>
  <c r="A147" i="34"/>
  <c r="A148" i="34"/>
  <c r="A149" i="34"/>
  <c r="A150" i="34"/>
  <c r="A151" i="34"/>
  <c r="A152" i="34"/>
  <c r="A153" i="34"/>
  <c r="A154" i="34"/>
  <c r="A155" i="34"/>
  <c r="A156" i="34"/>
  <c r="A157" i="34"/>
  <c r="A158" i="34"/>
  <c r="A159" i="34"/>
  <c r="A160" i="34"/>
  <c r="A161" i="34"/>
  <c r="A162" i="34"/>
  <c r="A163" i="34"/>
  <c r="A164" i="34"/>
  <c r="A165" i="34"/>
  <c r="A166" i="34"/>
  <c r="A167" i="34"/>
  <c r="A168" i="34"/>
  <c r="A169" i="34"/>
  <c r="A170" i="34"/>
  <c r="A171" i="34"/>
  <c r="A172" i="34"/>
  <c r="J87" i="45" l="1"/>
  <c r="J129" i="45"/>
  <c r="J126" i="45"/>
  <c r="J83" i="45"/>
  <c r="J79" i="45"/>
  <c r="J54" i="45"/>
  <c r="J151" i="45"/>
  <c r="J68" i="45"/>
  <c r="J172" i="45"/>
  <c r="J70" i="45"/>
  <c r="J168" i="45"/>
  <c r="J154" i="45"/>
  <c r="J106" i="45"/>
  <c r="J122" i="45"/>
  <c r="J64" i="45"/>
  <c r="J164" i="45"/>
  <c r="J147" i="45"/>
  <c r="J145" i="45"/>
  <c r="J103" i="45"/>
  <c r="J56" i="45"/>
  <c r="J108" i="45"/>
  <c r="J41" i="45"/>
  <c r="J75" i="45"/>
  <c r="J156" i="45"/>
  <c r="Y49" i="1"/>
  <c r="I49" i="1" s="1"/>
  <c r="Y9" i="1"/>
  <c r="I9" i="1" s="1"/>
  <c r="Y7" i="1"/>
  <c r="M2" i="38"/>
  <c r="M3" i="38"/>
  <c r="M4" i="38"/>
  <c r="M5" i="38"/>
  <c r="M6" i="38"/>
  <c r="M7" i="38"/>
  <c r="M8" i="38"/>
  <c r="M9" i="38"/>
  <c r="M10" i="38"/>
  <c r="M11" i="38"/>
  <c r="M12" i="38"/>
  <c r="M13" i="38"/>
  <c r="M14" i="38"/>
  <c r="M15" i="38"/>
  <c r="M16" i="38"/>
  <c r="M17" i="38"/>
  <c r="M18" i="38"/>
  <c r="M19" i="38"/>
  <c r="M20" i="38"/>
  <c r="M21" i="38"/>
  <c r="M22" i="38"/>
  <c r="M23" i="38"/>
  <c r="M24" i="38"/>
  <c r="M25" i="38"/>
  <c r="M26" i="38"/>
  <c r="M27" i="38"/>
  <c r="M28" i="38"/>
  <c r="M29" i="38"/>
  <c r="M30" i="38"/>
  <c r="M31" i="38"/>
  <c r="M32" i="38"/>
  <c r="M33" i="38"/>
  <c r="M34" i="38"/>
  <c r="M35" i="38"/>
  <c r="M36" i="38"/>
  <c r="M37" i="38"/>
  <c r="M38" i="38"/>
  <c r="M39" i="38"/>
  <c r="M40" i="38"/>
  <c r="M41" i="38"/>
  <c r="M42" i="38"/>
  <c r="M43" i="38"/>
  <c r="M44" i="38"/>
  <c r="M45" i="38"/>
  <c r="M46" i="38"/>
  <c r="M47" i="38"/>
  <c r="M48" i="38"/>
  <c r="M49" i="38"/>
  <c r="M50" i="38"/>
  <c r="M51" i="38"/>
  <c r="M52" i="38"/>
  <c r="M53" i="38"/>
  <c r="M54" i="38"/>
  <c r="M55" i="38"/>
  <c r="M56" i="38"/>
  <c r="M57" i="38"/>
  <c r="M58" i="38"/>
  <c r="M59" i="38"/>
  <c r="M60" i="38"/>
  <c r="M61" i="38"/>
  <c r="M62" i="38"/>
  <c r="M63" i="38"/>
  <c r="M64" i="38"/>
  <c r="M65" i="38"/>
  <c r="M66" i="38"/>
  <c r="M67" i="38"/>
  <c r="M68" i="38"/>
  <c r="M69" i="38"/>
  <c r="M70" i="38"/>
  <c r="M71" i="38"/>
  <c r="M72" i="38"/>
  <c r="M73" i="38"/>
  <c r="M74" i="38"/>
  <c r="M75" i="38"/>
  <c r="M76" i="38"/>
  <c r="M77" i="38"/>
  <c r="M78" i="38"/>
  <c r="M79" i="38"/>
  <c r="M80" i="38"/>
  <c r="M81" i="38"/>
  <c r="M82" i="38"/>
  <c r="M83" i="38"/>
  <c r="M84" i="38"/>
  <c r="M85" i="38"/>
  <c r="M86" i="38"/>
  <c r="M87" i="38"/>
  <c r="M88" i="38"/>
  <c r="M89" i="38"/>
  <c r="M90" i="38"/>
  <c r="M91" i="38"/>
  <c r="M92" i="38"/>
  <c r="M93" i="38"/>
  <c r="M94" i="38"/>
  <c r="M95" i="38"/>
  <c r="M96" i="38"/>
  <c r="M97" i="38"/>
  <c r="M98" i="38"/>
  <c r="M99" i="38"/>
  <c r="M100" i="38"/>
  <c r="M101" i="38"/>
  <c r="M102" i="38"/>
  <c r="M103" i="38"/>
  <c r="M104" i="38"/>
  <c r="M105" i="38"/>
  <c r="M106" i="38"/>
  <c r="M107" i="38"/>
  <c r="M108" i="38"/>
  <c r="M109" i="38"/>
  <c r="M110" i="38"/>
  <c r="M111" i="38"/>
  <c r="M112" i="38"/>
  <c r="M113" i="38"/>
  <c r="M114" i="38"/>
  <c r="M115" i="38"/>
  <c r="M116" i="38"/>
  <c r="M117" i="38"/>
  <c r="M118" i="38"/>
  <c r="M119" i="38"/>
  <c r="M120" i="38"/>
  <c r="M121" i="38"/>
  <c r="M122" i="38"/>
  <c r="M123" i="38"/>
  <c r="M124" i="38"/>
  <c r="M125" i="38"/>
  <c r="M126" i="38"/>
  <c r="M127" i="38"/>
  <c r="M128" i="38"/>
  <c r="M129" i="38"/>
  <c r="M130" i="38"/>
  <c r="M131" i="38"/>
  <c r="M132" i="38"/>
  <c r="M133" i="38"/>
  <c r="M134" i="38"/>
  <c r="M135" i="38"/>
  <c r="J131" i="45" l="1"/>
  <c r="J45" i="45"/>
  <c r="J127" i="45"/>
  <c r="I7" i="1"/>
  <c r="Y174" i="1"/>
  <c r="J165" i="45"/>
  <c r="J161" i="45"/>
  <c r="J152" i="45"/>
  <c r="J49" i="45"/>
  <c r="J26" i="45"/>
  <c r="J142" i="45"/>
  <c r="J133" i="45"/>
  <c r="J9" i="45"/>
  <c r="J7" i="45"/>
  <c r="H5" i="11"/>
  <c r="I3" i="11" l="1"/>
  <c r="S167" i="1" l="1"/>
  <c r="N167" i="1" l="1"/>
  <c r="O167" i="1"/>
  <c r="S49" i="1"/>
  <c r="S12" i="1"/>
  <c r="S142" i="1"/>
  <c r="S165" i="1"/>
  <c r="S149" i="1"/>
  <c r="S170" i="1"/>
  <c r="S114" i="1"/>
  <c r="S110" i="1"/>
  <c r="S43" i="1"/>
  <c r="S138" i="1"/>
  <c r="S153" i="1"/>
  <c r="S125" i="1"/>
  <c r="S85" i="1"/>
  <c r="S73" i="1"/>
  <c r="S69" i="1"/>
  <c r="S57" i="1"/>
  <c r="S53" i="1"/>
  <c r="S134" i="1"/>
  <c r="S106" i="1"/>
  <c r="S90" i="1"/>
  <c r="S137" i="1"/>
  <c r="S120" i="1"/>
  <c r="S45" i="1"/>
  <c r="S100" i="1"/>
  <c r="S96" i="1"/>
  <c r="S76" i="1"/>
  <c r="S68" i="1"/>
  <c r="S64" i="1"/>
  <c r="S102" i="1"/>
  <c r="S92" i="1"/>
  <c r="S52" i="1"/>
  <c r="S146" i="1"/>
  <c r="S157" i="1"/>
  <c r="S133" i="1"/>
  <c r="S115" i="1"/>
  <c r="S111" i="1"/>
  <c r="S48" i="1"/>
  <c r="S154" i="1"/>
  <c r="S122" i="1"/>
  <c r="S155" i="1"/>
  <c r="S147" i="1"/>
  <c r="S99" i="1"/>
  <c r="S91" i="1"/>
  <c r="S87" i="1"/>
  <c r="S83" i="1"/>
  <c r="S79" i="1"/>
  <c r="S67" i="1"/>
  <c r="S59" i="1"/>
  <c r="S16" i="1"/>
  <c r="S104" i="1"/>
  <c r="S172" i="1"/>
  <c r="S71" i="1"/>
  <c r="S63" i="1"/>
  <c r="S113" i="1"/>
  <c r="S17" i="1"/>
  <c r="S151" i="1"/>
  <c r="S164" i="1"/>
  <c r="S161" i="1"/>
  <c r="S107" i="1"/>
  <c r="S9" i="1"/>
  <c r="S44" i="1"/>
  <c r="S119" i="1"/>
  <c r="S84" i="1"/>
  <c r="S47" i="1"/>
  <c r="S15" i="1"/>
  <c r="S98" i="1"/>
  <c r="S168" i="1"/>
  <c r="S141" i="1"/>
  <c r="S112" i="1"/>
  <c r="S72" i="1"/>
  <c r="S13" i="1"/>
  <c r="S95" i="1"/>
  <c r="S55" i="1"/>
  <c r="S46" i="1"/>
  <c r="S126" i="1"/>
  <c r="S80" i="1"/>
  <c r="S145" i="1"/>
  <c r="S139" i="1"/>
  <c r="S103" i="1"/>
  <c r="S86" i="1"/>
  <c r="S51" i="1"/>
  <c r="S158" i="1"/>
  <c r="S127" i="1"/>
  <c r="S121" i="1"/>
  <c r="S93" i="1"/>
  <c r="S61" i="1"/>
  <c r="S160" i="1"/>
  <c r="S129" i="1"/>
  <c r="S58" i="1"/>
  <c r="S131" i="1"/>
  <c r="S109" i="1"/>
  <c r="S11" i="1"/>
  <c r="S88" i="1"/>
  <c r="S136" i="1"/>
  <c r="S97" i="1"/>
  <c r="S94" i="1"/>
  <c r="S132" i="1"/>
  <c r="S105" i="1"/>
  <c r="S75" i="1"/>
  <c r="S19" i="1"/>
  <c r="S10" i="1"/>
  <c r="S162" i="1"/>
  <c r="S148" i="1"/>
  <c r="S70" i="1"/>
  <c r="S54" i="1"/>
  <c r="S8" i="1"/>
  <c r="S50" i="1"/>
  <c r="S150" i="1"/>
  <c r="S144" i="1"/>
  <c r="S78" i="1"/>
  <c r="S62" i="1"/>
  <c r="S56" i="1"/>
  <c r="S18" i="1"/>
  <c r="S14" i="1"/>
  <c r="S89" i="1"/>
  <c r="S173" i="1"/>
  <c r="S166" i="1"/>
  <c r="S152" i="1"/>
  <c r="S156" i="1"/>
  <c r="S116" i="1"/>
  <c r="S143" i="1"/>
  <c r="S163" i="1"/>
  <c r="S159" i="1"/>
  <c r="S171" i="1"/>
  <c r="S140" i="1"/>
  <c r="S117" i="1"/>
  <c r="S169" i="1"/>
  <c r="S135" i="1"/>
  <c r="S101" i="1"/>
  <c r="S128" i="1"/>
  <c r="S108" i="1"/>
  <c r="S130" i="1"/>
  <c r="S118" i="1"/>
  <c r="S124" i="1"/>
  <c r="S123" i="1"/>
  <c r="S81" i="1"/>
  <c r="S77" i="1"/>
  <c r="S60" i="1"/>
  <c r="S74" i="1"/>
  <c r="S82" i="1"/>
  <c r="S65" i="1"/>
  <c r="S66" i="1"/>
  <c r="N78" i="1" l="1"/>
  <c r="O78" i="1"/>
  <c r="O116" i="1"/>
  <c r="N116" i="1"/>
  <c r="O75" i="1"/>
  <c r="N75" i="1"/>
  <c r="O127" i="1"/>
  <c r="N127" i="1"/>
  <c r="N119" i="1"/>
  <c r="O119" i="1"/>
  <c r="N155" i="1"/>
  <c r="O155" i="1"/>
  <c r="N106" i="1"/>
  <c r="O106" i="1"/>
  <c r="N108" i="1"/>
  <c r="O108" i="1"/>
  <c r="N156" i="1"/>
  <c r="O156" i="1"/>
  <c r="N150" i="1"/>
  <c r="O150" i="1"/>
  <c r="N105" i="1"/>
  <c r="O105" i="1"/>
  <c r="N11" i="1"/>
  <c r="O11" i="1"/>
  <c r="N158" i="1"/>
  <c r="O158" i="1"/>
  <c r="N13" i="1"/>
  <c r="O13" i="1"/>
  <c r="O44" i="1"/>
  <c r="N44" i="1"/>
  <c r="O104" i="1"/>
  <c r="N104" i="1"/>
  <c r="N122" i="1"/>
  <c r="O122" i="1"/>
  <c r="N102" i="1"/>
  <c r="O102" i="1"/>
  <c r="N134" i="1"/>
  <c r="O134" i="1"/>
  <c r="N110" i="1"/>
  <c r="O110" i="1"/>
  <c r="O163" i="1"/>
  <c r="N163" i="1"/>
  <c r="N144" i="1"/>
  <c r="O144" i="1"/>
  <c r="N95" i="1"/>
  <c r="O95" i="1"/>
  <c r="N172" i="1"/>
  <c r="O172" i="1"/>
  <c r="O92" i="1"/>
  <c r="N92" i="1"/>
  <c r="O43" i="1"/>
  <c r="N43" i="1"/>
  <c r="N66" i="1"/>
  <c r="O66" i="1"/>
  <c r="O128" i="1"/>
  <c r="N128" i="1"/>
  <c r="O152" i="1"/>
  <c r="N152" i="1"/>
  <c r="N132" i="1"/>
  <c r="O132" i="1"/>
  <c r="N109" i="1"/>
  <c r="O109" i="1"/>
  <c r="O51" i="1"/>
  <c r="N51" i="1"/>
  <c r="N72" i="1"/>
  <c r="O72" i="1"/>
  <c r="N9" i="1"/>
  <c r="O9" i="1"/>
  <c r="O16" i="1"/>
  <c r="N16" i="1"/>
  <c r="O154" i="1"/>
  <c r="N154" i="1"/>
  <c r="N53" i="1"/>
  <c r="O53" i="1"/>
  <c r="N114" i="1"/>
  <c r="O114" i="1"/>
  <c r="N46" i="1"/>
  <c r="O46" i="1"/>
  <c r="N82" i="1"/>
  <c r="O82" i="1"/>
  <c r="O135" i="1"/>
  <c r="N135" i="1"/>
  <c r="N173" i="1"/>
  <c r="O173" i="1"/>
  <c r="O8" i="1"/>
  <c r="N8" i="1"/>
  <c r="N58" i="1"/>
  <c r="O58" i="1"/>
  <c r="O103" i="1"/>
  <c r="N103" i="1"/>
  <c r="N141" i="1"/>
  <c r="O141" i="1"/>
  <c r="N107" i="1"/>
  <c r="O107" i="1"/>
  <c r="N59" i="1"/>
  <c r="O59" i="1"/>
  <c r="N48" i="1"/>
  <c r="O48" i="1"/>
  <c r="O68" i="1"/>
  <c r="N68" i="1"/>
  <c r="N69" i="1"/>
  <c r="O69" i="1"/>
  <c r="N149" i="1"/>
  <c r="O149" i="1"/>
  <c r="N93" i="1"/>
  <c r="O93" i="1"/>
  <c r="N65" i="1"/>
  <c r="O65" i="1"/>
  <c r="N131" i="1"/>
  <c r="O131" i="1"/>
  <c r="N168" i="1"/>
  <c r="O168" i="1"/>
  <c r="O111" i="1"/>
  <c r="N111" i="1"/>
  <c r="N14" i="1"/>
  <c r="O14" i="1"/>
  <c r="N94" i="1"/>
  <c r="O94" i="1"/>
  <c r="N160" i="1"/>
  <c r="O160" i="1"/>
  <c r="N145" i="1"/>
  <c r="O145" i="1"/>
  <c r="N98" i="1"/>
  <c r="O98" i="1"/>
  <c r="O164" i="1"/>
  <c r="N164" i="1"/>
  <c r="O79" i="1"/>
  <c r="N79" i="1"/>
  <c r="O115" i="1"/>
  <c r="N115" i="1"/>
  <c r="N96" i="1"/>
  <c r="O96" i="1"/>
  <c r="N85" i="1"/>
  <c r="O85" i="1"/>
  <c r="O142" i="1"/>
  <c r="N142" i="1"/>
  <c r="N10" i="1"/>
  <c r="O10" i="1"/>
  <c r="N130" i="1"/>
  <c r="O130" i="1"/>
  <c r="O166" i="1"/>
  <c r="N166" i="1"/>
  <c r="O112" i="1"/>
  <c r="N112" i="1"/>
  <c r="O64" i="1"/>
  <c r="N64" i="1"/>
  <c r="N74" i="1"/>
  <c r="O74" i="1"/>
  <c r="N161" i="1"/>
  <c r="O161" i="1"/>
  <c r="N165" i="1"/>
  <c r="O165" i="1"/>
  <c r="N77" i="1"/>
  <c r="O77" i="1"/>
  <c r="N18" i="1"/>
  <c r="O18" i="1"/>
  <c r="N70" i="1"/>
  <c r="O70" i="1"/>
  <c r="N97" i="1"/>
  <c r="O97" i="1"/>
  <c r="O80" i="1"/>
  <c r="N80" i="1"/>
  <c r="N15" i="1"/>
  <c r="O15" i="1"/>
  <c r="O151" i="1"/>
  <c r="N151" i="1"/>
  <c r="N83" i="1"/>
  <c r="O83" i="1"/>
  <c r="N133" i="1"/>
  <c r="O133" i="1"/>
  <c r="O100" i="1"/>
  <c r="N100" i="1"/>
  <c r="N12" i="1"/>
  <c r="O12" i="1"/>
  <c r="O124" i="1"/>
  <c r="N124" i="1"/>
  <c r="N63" i="1"/>
  <c r="O63" i="1"/>
  <c r="N50" i="1"/>
  <c r="O50" i="1"/>
  <c r="N57" i="1"/>
  <c r="O57" i="1"/>
  <c r="N169" i="1"/>
  <c r="O169" i="1"/>
  <c r="N129" i="1"/>
  <c r="O129" i="1"/>
  <c r="O67" i="1"/>
  <c r="N67" i="1"/>
  <c r="N73" i="1"/>
  <c r="O73" i="1"/>
  <c r="N117" i="1"/>
  <c r="O117" i="1"/>
  <c r="N81" i="1"/>
  <c r="O81" i="1"/>
  <c r="O148" i="1"/>
  <c r="N148" i="1"/>
  <c r="N126" i="1"/>
  <c r="O126" i="1"/>
  <c r="N17" i="1"/>
  <c r="O17" i="1"/>
  <c r="O87" i="1"/>
  <c r="N87" i="1"/>
  <c r="N157" i="1"/>
  <c r="O157" i="1"/>
  <c r="N45" i="1"/>
  <c r="O45" i="1"/>
  <c r="N125" i="1"/>
  <c r="O125" i="1"/>
  <c r="N88" i="1"/>
  <c r="O88" i="1"/>
  <c r="N101" i="1"/>
  <c r="O101" i="1"/>
  <c r="N86" i="1"/>
  <c r="O86" i="1"/>
  <c r="N170" i="1"/>
  <c r="O170" i="1"/>
  <c r="N89" i="1"/>
  <c r="O89" i="1"/>
  <c r="O139" i="1"/>
  <c r="N139" i="1"/>
  <c r="O76" i="1"/>
  <c r="N76" i="1"/>
  <c r="N60" i="1"/>
  <c r="O60" i="1"/>
  <c r="N54" i="1"/>
  <c r="O54" i="1"/>
  <c r="O140" i="1"/>
  <c r="N140" i="1"/>
  <c r="O171" i="1"/>
  <c r="N171" i="1"/>
  <c r="O56" i="1"/>
  <c r="N56" i="1"/>
  <c r="N136" i="1"/>
  <c r="O136" i="1"/>
  <c r="O123" i="1"/>
  <c r="N123" i="1"/>
  <c r="O159" i="1"/>
  <c r="N159" i="1"/>
  <c r="N62" i="1"/>
  <c r="O62" i="1"/>
  <c r="N162" i="1"/>
  <c r="O162" i="1"/>
  <c r="N61" i="1"/>
  <c r="O61" i="1"/>
  <c r="N113" i="1"/>
  <c r="O113" i="1"/>
  <c r="O91" i="1"/>
  <c r="N91" i="1"/>
  <c r="N120" i="1"/>
  <c r="O120" i="1"/>
  <c r="N153" i="1"/>
  <c r="O153" i="1"/>
  <c r="N49" i="1"/>
  <c r="O49" i="1"/>
  <c r="N47" i="1"/>
  <c r="O47" i="1"/>
  <c r="O99" i="1"/>
  <c r="N99" i="1"/>
  <c r="N146" i="1"/>
  <c r="O146" i="1"/>
  <c r="N137" i="1"/>
  <c r="O137" i="1"/>
  <c r="N138" i="1"/>
  <c r="O138" i="1"/>
  <c r="N118" i="1"/>
  <c r="O118" i="1"/>
  <c r="N143" i="1"/>
  <c r="O143" i="1"/>
  <c r="O19" i="1"/>
  <c r="N19" i="1"/>
  <c r="N121" i="1"/>
  <c r="O121" i="1"/>
  <c r="O55" i="1"/>
  <c r="N55" i="1"/>
  <c r="N84" i="1"/>
  <c r="O84" i="1"/>
  <c r="N71" i="1"/>
  <c r="O71" i="1"/>
  <c r="N147" i="1"/>
  <c r="O147" i="1"/>
  <c r="O52" i="1"/>
  <c r="N52" i="1"/>
  <c r="N90" i="1"/>
  <c r="O90" i="1"/>
  <c r="S7" i="1"/>
  <c r="O7" i="1" l="1"/>
  <c r="D7" i="1"/>
  <c r="S174" i="1"/>
  <c r="N7" i="1"/>
  <c r="C120" i="16" l="1"/>
  <c r="E122" i="1" s="1"/>
  <c r="C121" i="16" l="1"/>
  <c r="E123" i="1" s="1"/>
  <c r="C66" i="16"/>
  <c r="E68" i="1" s="1"/>
  <c r="C55" i="16"/>
  <c r="E57" i="1" s="1"/>
  <c r="C77" i="16"/>
  <c r="E79" i="1" s="1"/>
  <c r="C170" i="16"/>
  <c r="E172" i="1" s="1"/>
  <c r="C122" i="16"/>
  <c r="E124" i="1" s="1"/>
  <c r="C68" i="16"/>
  <c r="E70" i="1" s="1"/>
  <c r="C124" i="16"/>
  <c r="E126" i="1" s="1"/>
  <c r="C37" i="16"/>
  <c r="E39" i="1" s="1"/>
  <c r="C103" i="16"/>
  <c r="E105" i="1" s="1"/>
  <c r="C162" i="16"/>
  <c r="E164" i="1" s="1"/>
  <c r="C70" i="16"/>
  <c r="E72" i="1" s="1"/>
  <c r="C87" i="16"/>
  <c r="E89" i="1" s="1"/>
  <c r="C129" i="16"/>
  <c r="E131" i="1" s="1"/>
  <c r="C161" i="16"/>
  <c r="E163" i="1" s="1"/>
  <c r="C160" i="16"/>
  <c r="E162" i="1" s="1"/>
  <c r="C85" i="16"/>
  <c r="E87" i="1" s="1"/>
  <c r="C143" i="16"/>
  <c r="E145" i="1" s="1"/>
  <c r="C91" i="16"/>
  <c r="E93" i="1" s="1"/>
  <c r="C60" i="16"/>
  <c r="E62" i="1" s="1"/>
  <c r="C59" i="16"/>
  <c r="E61" i="1" s="1"/>
  <c r="C109" i="16"/>
  <c r="E111" i="1" s="1"/>
  <c r="C168" i="16"/>
  <c r="E170" i="1" s="1"/>
  <c r="C88" i="16"/>
  <c r="E90" i="1" s="1"/>
  <c r="C21" i="16"/>
  <c r="E23" i="1" s="1"/>
  <c r="C81" i="16"/>
  <c r="E83" i="1" s="1"/>
  <c r="C102" i="16"/>
  <c r="E104" i="1" s="1"/>
  <c r="C147" i="16"/>
  <c r="E149" i="1" s="1"/>
  <c r="C24" i="16"/>
  <c r="E26" i="1" s="1"/>
  <c r="C50" i="16"/>
  <c r="E52" i="1" s="1"/>
  <c r="C137" i="16"/>
  <c r="E139" i="1" s="1"/>
  <c r="C44" i="16"/>
  <c r="E46" i="1" s="1"/>
  <c r="C104" i="16"/>
  <c r="E106" i="1" s="1"/>
  <c r="C105" i="16"/>
  <c r="E107" i="1" s="1"/>
  <c r="C96" i="16"/>
  <c r="E98" i="1" s="1"/>
  <c r="C128" i="16"/>
  <c r="E130" i="1" s="1"/>
  <c r="C94" i="16"/>
  <c r="E96" i="1" s="1"/>
  <c r="C57" i="16"/>
  <c r="E59" i="1" s="1"/>
  <c r="C153" i="16"/>
  <c r="E155" i="1" s="1"/>
  <c r="C136" i="16"/>
  <c r="E138" i="1" s="1"/>
  <c r="C13" i="16"/>
  <c r="E15" i="1" s="1"/>
  <c r="C83" i="16"/>
  <c r="E85" i="1" s="1"/>
  <c r="C80" i="16"/>
  <c r="E82" i="1" s="1"/>
  <c r="C167" i="16"/>
  <c r="E169" i="1" s="1"/>
  <c r="C22" i="16"/>
  <c r="E24" i="1" s="1"/>
  <c r="C146" i="16"/>
  <c r="E148" i="1" s="1"/>
  <c r="C97" i="16"/>
  <c r="E99" i="1" s="1"/>
  <c r="C52" i="16"/>
  <c r="E54" i="1" s="1"/>
  <c r="C135" i="16"/>
  <c r="E137" i="1" s="1"/>
  <c r="C63" i="16"/>
  <c r="E65" i="1" s="1"/>
  <c r="C7" i="16"/>
  <c r="E9" i="1" s="1"/>
  <c r="C145" i="16"/>
  <c r="E147" i="1" s="1"/>
  <c r="C154" i="16"/>
  <c r="E156" i="1" s="1"/>
  <c r="C75" i="16"/>
  <c r="E77" i="1" s="1"/>
  <c r="C93" i="16"/>
  <c r="E95" i="1" s="1"/>
  <c r="C58" i="16"/>
  <c r="E60" i="1" s="1"/>
  <c r="C99" i="16"/>
  <c r="E101" i="1" s="1"/>
  <c r="C43" i="16"/>
  <c r="E45" i="1" s="1"/>
  <c r="C140" i="16"/>
  <c r="E142" i="1" s="1"/>
  <c r="C74" i="16"/>
  <c r="E76" i="1" s="1"/>
  <c r="C12" i="16"/>
  <c r="E14" i="1" s="1"/>
  <c r="C18" i="16"/>
  <c r="E20" i="1" s="1"/>
  <c r="C164" i="16"/>
  <c r="E166" i="1" s="1"/>
  <c r="C69" i="16"/>
  <c r="E71" i="1" s="1"/>
  <c r="C152" i="16"/>
  <c r="E154" i="1" s="1"/>
  <c r="C155" i="16"/>
  <c r="E157" i="1" s="1"/>
  <c r="C106" i="16"/>
  <c r="E108" i="1" s="1"/>
  <c r="C67" i="16"/>
  <c r="E69" i="1" s="1"/>
  <c r="C17" i="16"/>
  <c r="E19" i="1" s="1"/>
  <c r="C171" i="16"/>
  <c r="E173" i="1" s="1"/>
  <c r="C32" i="16"/>
  <c r="E34" i="1" s="1"/>
  <c r="C62" i="16"/>
  <c r="E64" i="1" s="1"/>
  <c r="C138" i="16"/>
  <c r="E140" i="1" s="1"/>
  <c r="C127" i="16"/>
  <c r="E129" i="1" s="1"/>
  <c r="C156" i="16"/>
  <c r="E158" i="1" s="1"/>
  <c r="C28" i="16"/>
  <c r="E30" i="1" s="1"/>
  <c r="C40" i="16"/>
  <c r="E42" i="1" s="1"/>
  <c r="C166" i="16"/>
  <c r="E168" i="1" s="1"/>
  <c r="C149" i="16"/>
  <c r="E151" i="1" s="1"/>
  <c r="C51" i="16"/>
  <c r="E53" i="1" s="1"/>
  <c r="C114" i="16"/>
  <c r="E116" i="1" s="1"/>
  <c r="C118" i="16"/>
  <c r="E120" i="1" s="1"/>
  <c r="C82" i="16"/>
  <c r="E84" i="1" s="1"/>
  <c r="C48" i="16"/>
  <c r="E50" i="1" s="1"/>
  <c r="C142" i="16"/>
  <c r="E144" i="1" s="1"/>
  <c r="C54" i="16"/>
  <c r="E56" i="1" s="1"/>
  <c r="C19" i="16"/>
  <c r="E21" i="1" s="1"/>
  <c r="C110" i="16"/>
  <c r="E112" i="1" s="1"/>
  <c r="C14" i="16"/>
  <c r="E16" i="1" s="1"/>
  <c r="C35" i="16"/>
  <c r="E37" i="1" s="1"/>
  <c r="C61" i="16"/>
  <c r="E63" i="1" s="1"/>
  <c r="C151" i="16"/>
  <c r="E153" i="1" s="1"/>
  <c r="C15" i="16"/>
  <c r="E17" i="1" s="1"/>
  <c r="C79" i="16"/>
  <c r="E81" i="1" s="1"/>
  <c r="C84" i="16"/>
  <c r="E86" i="1" s="1"/>
  <c r="C157" i="16"/>
  <c r="E159" i="1" s="1"/>
  <c r="C123" i="16"/>
  <c r="E125" i="1" s="1"/>
  <c r="C165" i="16"/>
  <c r="E167" i="1" s="1"/>
  <c r="C126" i="16"/>
  <c r="E128" i="1" s="1"/>
  <c r="C150" i="16"/>
  <c r="E152" i="1" s="1"/>
  <c r="C45" i="16"/>
  <c r="E47" i="1" s="1"/>
  <c r="C159" i="16"/>
  <c r="E161" i="1" s="1"/>
  <c r="C42" i="16"/>
  <c r="E44" i="1" s="1"/>
  <c r="C86" i="16"/>
  <c r="E88" i="1" s="1"/>
  <c r="C112" i="16"/>
  <c r="E114" i="1" s="1"/>
  <c r="C144" i="16"/>
  <c r="E146" i="1" s="1"/>
  <c r="C30" i="16"/>
  <c r="E32" i="1" s="1"/>
  <c r="C98" i="16"/>
  <c r="E100" i="1" s="1"/>
  <c r="C65" i="16"/>
  <c r="E67" i="1" s="1"/>
  <c r="C169" i="16"/>
  <c r="E171" i="1" s="1"/>
  <c r="C100" i="16"/>
  <c r="E102" i="1" s="1"/>
  <c r="C141" i="16"/>
  <c r="E143" i="1" s="1"/>
  <c r="C49" i="16"/>
  <c r="E51" i="1" s="1"/>
  <c r="C53" i="16"/>
  <c r="E55" i="1" s="1"/>
  <c r="C31" i="16"/>
  <c r="E33" i="1" s="1"/>
  <c r="C39" i="16"/>
  <c r="E41" i="1" s="1"/>
  <c r="C38" i="16"/>
  <c r="E40" i="1" s="1"/>
  <c r="C36" i="16"/>
  <c r="E38" i="1" s="1"/>
  <c r="C47" i="16"/>
  <c r="E49" i="1" s="1"/>
  <c r="C113" i="16"/>
  <c r="E115" i="1" s="1"/>
  <c r="C9" i="16"/>
  <c r="E11" i="1" s="1"/>
  <c r="C139" i="16"/>
  <c r="E141" i="1" s="1"/>
  <c r="C148" i="16"/>
  <c r="E150" i="1" s="1"/>
  <c r="C111" i="16"/>
  <c r="E113" i="1" s="1"/>
  <c r="C76" i="16"/>
  <c r="E78" i="1" s="1"/>
  <c r="C64" i="16"/>
  <c r="E66" i="1" s="1"/>
  <c r="C20" i="16"/>
  <c r="E22" i="1" s="1"/>
  <c r="C158" i="16"/>
  <c r="E160" i="1" s="1"/>
  <c r="C163" i="16"/>
  <c r="E165" i="1" s="1"/>
  <c r="C95" i="16"/>
  <c r="E97" i="1" s="1"/>
  <c r="C41" i="16"/>
  <c r="E43" i="1" s="1"/>
  <c r="C90" i="16"/>
  <c r="E92" i="1" s="1"/>
  <c r="C23" i="16"/>
  <c r="E25" i="1" s="1"/>
  <c r="C25" i="16"/>
  <c r="E27" i="1" s="1"/>
  <c r="C78" i="16"/>
  <c r="E80" i="1" s="1"/>
  <c r="C6" i="16"/>
  <c r="E8" i="1" s="1"/>
  <c r="C133" i="16"/>
  <c r="E135" i="1" s="1"/>
  <c r="C131" i="16"/>
  <c r="E133" i="1" s="1"/>
  <c r="C89" i="16"/>
  <c r="E91" i="1" s="1"/>
  <c r="C34" i="16"/>
  <c r="E36" i="1" s="1"/>
  <c r="C11" i="16"/>
  <c r="E13" i="1" s="1"/>
  <c r="C73" i="16"/>
  <c r="E75" i="1" s="1"/>
  <c r="C71" i="16"/>
  <c r="E73" i="1" s="1"/>
  <c r="C72" i="16"/>
  <c r="E74" i="1" s="1"/>
  <c r="C10" i="16"/>
  <c r="E12" i="1" s="1"/>
  <c r="C56" i="16"/>
  <c r="E58" i="1" s="1"/>
  <c r="C8" i="16"/>
  <c r="E10" i="1" s="1"/>
  <c r="C117" i="16"/>
  <c r="E119" i="1" s="1"/>
  <c r="C130" i="16"/>
  <c r="E132" i="1" s="1"/>
  <c r="C27" i="16"/>
  <c r="E29" i="1" s="1"/>
  <c r="C16" i="16"/>
  <c r="E18" i="1" s="1"/>
  <c r="C26" i="16"/>
  <c r="E28" i="1" s="1"/>
  <c r="C134" i="16"/>
  <c r="E136" i="1" s="1"/>
  <c r="C132" i="16"/>
  <c r="E134" i="1" s="1"/>
  <c r="C119" i="16"/>
  <c r="E121" i="1" s="1"/>
  <c r="C116" i="16"/>
  <c r="E118" i="1" s="1"/>
  <c r="C101" i="16"/>
  <c r="E103" i="1" s="1"/>
  <c r="C125" i="16"/>
  <c r="E127" i="1" s="1"/>
  <c r="C115" i="16"/>
  <c r="E117" i="1" s="1"/>
  <c r="C107" i="16"/>
  <c r="E109" i="1" s="1"/>
  <c r="C33" i="16"/>
  <c r="E35" i="1" s="1"/>
  <c r="C29" i="16"/>
  <c r="E31" i="1" s="1"/>
  <c r="C108" i="16"/>
  <c r="E110" i="1" s="1"/>
  <c r="C92" i="16"/>
  <c r="E94" i="1" s="1"/>
  <c r="C46" i="16"/>
  <c r="E48" i="1" s="1"/>
  <c r="C5" i="16" l="1"/>
  <c r="E7" i="1" s="1"/>
  <c r="E173" i="45"/>
  <c r="E15" i="45"/>
  <c r="E12" i="45"/>
  <c r="E169" i="45"/>
  <c r="B6" i="34"/>
  <c r="B7" i="34"/>
  <c r="B8" i="34"/>
  <c r="B9" i="34"/>
  <c r="B10" i="34"/>
  <c r="B11" i="34"/>
  <c r="B12" i="34"/>
  <c r="B13" i="34"/>
  <c r="B14" i="34"/>
  <c r="B15" i="34"/>
  <c r="B16" i="34"/>
  <c r="B17" i="34"/>
  <c r="B18" i="34"/>
  <c r="B19" i="34"/>
  <c r="B20" i="34"/>
  <c r="B21" i="34"/>
  <c r="B22" i="34"/>
  <c r="B23" i="34"/>
  <c r="B24" i="34"/>
  <c r="B25" i="34"/>
  <c r="B26" i="34"/>
  <c r="B27" i="34"/>
  <c r="B28" i="34"/>
  <c r="B29" i="34"/>
  <c r="B30" i="34"/>
  <c r="B31" i="34"/>
  <c r="B32" i="34"/>
  <c r="B33" i="34"/>
  <c r="B34" i="34"/>
  <c r="B35" i="34"/>
  <c r="B36" i="34"/>
  <c r="B37" i="34"/>
  <c r="B38" i="34"/>
  <c r="B39" i="34"/>
  <c r="B40" i="34"/>
  <c r="B41" i="34"/>
  <c r="B42" i="34"/>
  <c r="B43" i="34"/>
  <c r="B44" i="34"/>
  <c r="B45" i="34"/>
  <c r="B46" i="34"/>
  <c r="B47" i="34"/>
  <c r="B48" i="34"/>
  <c r="B49" i="34"/>
  <c r="B50" i="34"/>
  <c r="B51" i="34"/>
  <c r="B52" i="34"/>
  <c r="B53" i="34"/>
  <c r="B54" i="34"/>
  <c r="B55" i="34"/>
  <c r="B56" i="34"/>
  <c r="B57" i="34"/>
  <c r="B58" i="34"/>
  <c r="B59" i="34"/>
  <c r="B60" i="34"/>
  <c r="B61" i="34"/>
  <c r="B62" i="34"/>
  <c r="B63" i="34"/>
  <c r="B64" i="34"/>
  <c r="B65" i="34"/>
  <c r="B66" i="34"/>
  <c r="B67" i="34"/>
  <c r="B68" i="34"/>
  <c r="B69" i="34"/>
  <c r="B70" i="34"/>
  <c r="B71" i="34"/>
  <c r="B72" i="34"/>
  <c r="B73" i="34"/>
  <c r="B74" i="34"/>
  <c r="B75" i="34"/>
  <c r="B76" i="34"/>
  <c r="B77" i="34"/>
  <c r="B78" i="34"/>
  <c r="B79" i="34"/>
  <c r="B80" i="34"/>
  <c r="B81" i="34"/>
  <c r="B82" i="34"/>
  <c r="B83" i="34"/>
  <c r="B84" i="34"/>
  <c r="B85" i="34"/>
  <c r="B86" i="34"/>
  <c r="B87" i="34"/>
  <c r="B88" i="34"/>
  <c r="B89" i="34"/>
  <c r="B90" i="34"/>
  <c r="B91" i="34"/>
  <c r="B92" i="34"/>
  <c r="B93" i="34"/>
  <c r="B94" i="34"/>
  <c r="B95" i="34"/>
  <c r="B96" i="34"/>
  <c r="B97" i="34"/>
  <c r="B98" i="34"/>
  <c r="B99" i="34"/>
  <c r="B100" i="34"/>
  <c r="B101" i="34"/>
  <c r="B102" i="34"/>
  <c r="B103" i="34"/>
  <c r="B104" i="34"/>
  <c r="B105" i="34"/>
  <c r="B106" i="34"/>
  <c r="B107" i="34"/>
  <c r="B108" i="34"/>
  <c r="B109" i="34"/>
  <c r="B110" i="34"/>
  <c r="B111" i="34"/>
  <c r="B112" i="34"/>
  <c r="B113" i="34"/>
  <c r="B114" i="34"/>
  <c r="B115" i="34"/>
  <c r="B116" i="34"/>
  <c r="B117" i="34"/>
  <c r="B118" i="34"/>
  <c r="B119" i="34"/>
  <c r="B120" i="34"/>
  <c r="B121" i="34"/>
  <c r="B122" i="34"/>
  <c r="B123" i="34"/>
  <c r="B124" i="34"/>
  <c r="B125" i="34"/>
  <c r="B126" i="34"/>
  <c r="B127" i="34"/>
  <c r="B128" i="34"/>
  <c r="B129" i="34"/>
  <c r="B130" i="34"/>
  <c r="B131" i="34"/>
  <c r="B132" i="34"/>
  <c r="B133" i="34"/>
  <c r="B134" i="34"/>
  <c r="B135" i="34"/>
  <c r="B136" i="34"/>
  <c r="B137" i="34"/>
  <c r="B138" i="34"/>
  <c r="B139" i="34"/>
  <c r="B140" i="34"/>
  <c r="B141" i="34"/>
  <c r="B142" i="34"/>
  <c r="B143" i="34"/>
  <c r="B144" i="34"/>
  <c r="B145" i="34"/>
  <c r="B146" i="34"/>
  <c r="B147" i="34"/>
  <c r="B148" i="34"/>
  <c r="B149" i="34"/>
  <c r="B150" i="34"/>
  <c r="B151" i="34"/>
  <c r="B152" i="34"/>
  <c r="B153" i="34"/>
  <c r="B154" i="34"/>
  <c r="B155" i="34"/>
  <c r="B156" i="34"/>
  <c r="B157" i="34"/>
  <c r="B158" i="34"/>
  <c r="B159" i="34"/>
  <c r="B160" i="34"/>
  <c r="B161" i="34"/>
  <c r="B162" i="34"/>
  <c r="B163" i="34"/>
  <c r="B164" i="34"/>
  <c r="B165" i="34"/>
  <c r="B166" i="34"/>
  <c r="B167" i="34"/>
  <c r="B168" i="34"/>
  <c r="B169" i="34"/>
  <c r="B170" i="34"/>
  <c r="B171" i="34"/>
  <c r="B172" i="34"/>
  <c r="A221" i="21"/>
  <c r="G221" i="21" s="1"/>
  <c r="B221" i="21"/>
  <c r="C221" i="21"/>
  <c r="D221" i="21"/>
  <c r="E221" i="21"/>
  <c r="F221" i="21"/>
  <c r="A222" i="21"/>
  <c r="K222" i="21" s="1"/>
  <c r="B222" i="21"/>
  <c r="C222" i="21"/>
  <c r="D222" i="21"/>
  <c r="E222" i="21"/>
  <c r="F222" i="21"/>
  <c r="J222" i="21"/>
  <c r="A223" i="21"/>
  <c r="G223" i="21" s="1"/>
  <c r="B223" i="21"/>
  <c r="C223" i="21"/>
  <c r="D223" i="21"/>
  <c r="E223" i="21"/>
  <c r="F223" i="21"/>
  <c r="J223" i="21"/>
  <c r="A224" i="21"/>
  <c r="G224" i="21" s="1"/>
  <c r="B224" i="21"/>
  <c r="C224" i="21"/>
  <c r="D224" i="21"/>
  <c r="E224" i="21"/>
  <c r="F224" i="21"/>
  <c r="A225" i="21"/>
  <c r="H225" i="21" s="1"/>
  <c r="B225" i="21"/>
  <c r="C225" i="21"/>
  <c r="D225" i="21"/>
  <c r="E225" i="21"/>
  <c r="F225" i="21"/>
  <c r="A226" i="21"/>
  <c r="G226" i="21" s="1"/>
  <c r="B226" i="21"/>
  <c r="C226" i="21"/>
  <c r="D226" i="21"/>
  <c r="E226" i="21"/>
  <c r="F226" i="21"/>
  <c r="J226" i="21"/>
  <c r="A227" i="21"/>
  <c r="G227" i="21" s="1"/>
  <c r="B227" i="21"/>
  <c r="C227" i="21"/>
  <c r="D227" i="21"/>
  <c r="E227" i="21"/>
  <c r="F227" i="21"/>
  <c r="A228" i="21"/>
  <c r="K228" i="21" s="1"/>
  <c r="B228" i="21"/>
  <c r="C228" i="21"/>
  <c r="D228" i="21"/>
  <c r="E228" i="21"/>
  <c r="F228" i="21"/>
  <c r="A229" i="21"/>
  <c r="G229" i="21" s="1"/>
  <c r="B229" i="21"/>
  <c r="C229" i="21"/>
  <c r="D229" i="21"/>
  <c r="E229" i="21"/>
  <c r="F229" i="21"/>
  <c r="H229" i="21"/>
  <c r="A230" i="21"/>
  <c r="G230" i="21" s="1"/>
  <c r="B230" i="21"/>
  <c r="C230" i="21"/>
  <c r="D230" i="21"/>
  <c r="E230" i="21"/>
  <c r="F230" i="21"/>
  <c r="A231" i="21"/>
  <c r="H231" i="21" s="1"/>
  <c r="B231" i="21"/>
  <c r="C231" i="21"/>
  <c r="D231" i="21"/>
  <c r="E231" i="21"/>
  <c r="F231" i="21"/>
  <c r="A232" i="21"/>
  <c r="G232" i="21" s="1"/>
  <c r="B232" i="21"/>
  <c r="C232" i="21"/>
  <c r="D232" i="21"/>
  <c r="E232" i="21"/>
  <c r="F232" i="21"/>
  <c r="J232" i="21"/>
  <c r="A233" i="21"/>
  <c r="G233" i="21" s="1"/>
  <c r="B233" i="21"/>
  <c r="C233" i="21"/>
  <c r="D233" i="21"/>
  <c r="E233" i="21"/>
  <c r="F233" i="21"/>
  <c r="A234" i="21"/>
  <c r="K234" i="21" s="1"/>
  <c r="B234" i="21"/>
  <c r="C234" i="21"/>
  <c r="D234" i="21"/>
  <c r="E234" i="21"/>
  <c r="F234" i="21"/>
  <c r="A235" i="21"/>
  <c r="I235" i="21" s="1"/>
  <c r="B235" i="21"/>
  <c r="C235" i="21"/>
  <c r="D235" i="21"/>
  <c r="E235" i="21"/>
  <c r="F235" i="21"/>
  <c r="H235" i="21"/>
  <c r="J235" i="21"/>
  <c r="A236" i="21"/>
  <c r="G236" i="21" s="1"/>
  <c r="B236" i="21"/>
  <c r="C236" i="21"/>
  <c r="D236" i="21"/>
  <c r="E236" i="21"/>
  <c r="F236" i="21"/>
  <c r="A237" i="21"/>
  <c r="H237" i="21" s="1"/>
  <c r="B237" i="21"/>
  <c r="C237" i="21"/>
  <c r="D237" i="21"/>
  <c r="E237" i="21"/>
  <c r="F237" i="21"/>
  <c r="A238" i="21"/>
  <c r="G238" i="21" s="1"/>
  <c r="B238" i="21"/>
  <c r="C238" i="21"/>
  <c r="D238" i="21"/>
  <c r="E238" i="21"/>
  <c r="F238" i="21"/>
  <c r="A239" i="21"/>
  <c r="H239" i="21" s="1"/>
  <c r="B239" i="21"/>
  <c r="C239" i="21"/>
  <c r="D239" i="21"/>
  <c r="E239" i="21"/>
  <c r="F239" i="21"/>
  <c r="A240" i="21"/>
  <c r="K240" i="21" s="1"/>
  <c r="B240" i="21"/>
  <c r="C240" i="21"/>
  <c r="D240" i="21"/>
  <c r="E240" i="21"/>
  <c r="F240" i="21"/>
  <c r="J240" i="21"/>
  <c r="A241" i="21"/>
  <c r="H241" i="21" s="1"/>
  <c r="B241" i="21"/>
  <c r="C241" i="21"/>
  <c r="D241" i="21"/>
  <c r="E241" i="21"/>
  <c r="F241" i="21"/>
  <c r="A242" i="21"/>
  <c r="G242" i="21" s="1"/>
  <c r="B242" i="21"/>
  <c r="C242" i="21"/>
  <c r="D242" i="21"/>
  <c r="E242" i="21"/>
  <c r="F242" i="21"/>
  <c r="A243" i="21"/>
  <c r="H243" i="21" s="1"/>
  <c r="B243" i="21"/>
  <c r="C243" i="21"/>
  <c r="D243" i="21"/>
  <c r="E243" i="21"/>
  <c r="F243" i="21"/>
  <c r="G243" i="21"/>
  <c r="A244" i="21"/>
  <c r="G244" i="21" s="1"/>
  <c r="B244" i="21"/>
  <c r="C244" i="21"/>
  <c r="D244" i="21"/>
  <c r="E244" i="21"/>
  <c r="F244" i="21"/>
  <c r="A245" i="21"/>
  <c r="G245" i="21" s="1"/>
  <c r="B245" i="21"/>
  <c r="C245" i="21"/>
  <c r="D245" i="21"/>
  <c r="E245" i="21"/>
  <c r="F245" i="21"/>
  <c r="A246" i="21"/>
  <c r="K246" i="21" s="1"/>
  <c r="B246" i="21"/>
  <c r="C246" i="21"/>
  <c r="D246" i="21"/>
  <c r="E246" i="21"/>
  <c r="F246" i="21"/>
  <c r="A247" i="21"/>
  <c r="K247" i="21" s="1"/>
  <c r="B247" i="21"/>
  <c r="C247" i="21"/>
  <c r="D247" i="21"/>
  <c r="E247" i="21"/>
  <c r="F247" i="21"/>
  <c r="G247" i="21"/>
  <c r="H247" i="21"/>
  <c r="A248" i="21"/>
  <c r="G248" i="21" s="1"/>
  <c r="B248" i="21"/>
  <c r="C248" i="21"/>
  <c r="D248" i="21"/>
  <c r="E248" i="21"/>
  <c r="F248" i="21"/>
  <c r="I248" i="21"/>
  <c r="A249" i="21"/>
  <c r="H249" i="21" s="1"/>
  <c r="B249" i="21"/>
  <c r="C249" i="21"/>
  <c r="D249" i="21"/>
  <c r="E249" i="21"/>
  <c r="F249" i="21"/>
  <c r="A250" i="21"/>
  <c r="G250" i="21" s="1"/>
  <c r="B250" i="21"/>
  <c r="C250" i="21"/>
  <c r="D250" i="21"/>
  <c r="E250" i="21"/>
  <c r="F250" i="21"/>
  <c r="J250" i="21"/>
  <c r="J244" i="21" l="1"/>
  <c r="K229" i="21"/>
  <c r="I229" i="21"/>
  <c r="G225" i="21"/>
  <c r="K223" i="21"/>
  <c r="I223" i="21"/>
  <c r="J247" i="21"/>
  <c r="I247" i="21"/>
  <c r="K235" i="21"/>
  <c r="J229" i="21"/>
  <c r="I224" i="21"/>
  <c r="H248" i="21"/>
  <c r="G235" i="21"/>
  <c r="I230" i="21"/>
  <c r="K233" i="21"/>
  <c r="H230" i="21"/>
  <c r="K241" i="21"/>
  <c r="H236" i="21"/>
  <c r="J233" i="21"/>
  <c r="J241" i="21"/>
  <c r="I233" i="21"/>
  <c r="G241" i="21"/>
  <c r="H233" i="21"/>
  <c r="K237" i="21"/>
  <c r="G237" i="21"/>
  <c r="I242" i="21"/>
  <c r="G239" i="21"/>
  <c r="K245" i="21"/>
  <c r="I241" i="21"/>
  <c r="K227" i="21"/>
  <c r="H223" i="21"/>
  <c r="J245" i="21"/>
  <c r="J234" i="21"/>
  <c r="J227" i="21"/>
  <c r="I227" i="21"/>
  <c r="K249" i="21"/>
  <c r="G249" i="21"/>
  <c r="H245" i="21"/>
  <c r="H242" i="21"/>
  <c r="J238" i="21"/>
  <c r="G231" i="21"/>
  <c r="H227" i="21"/>
  <c r="K221" i="21"/>
  <c r="I245" i="21"/>
  <c r="K231" i="21"/>
  <c r="K239" i="21"/>
  <c r="J221" i="21"/>
  <c r="J246" i="21"/>
  <c r="J239" i="21"/>
  <c r="J228" i="21"/>
  <c r="I221" i="21"/>
  <c r="K243" i="21"/>
  <c r="I239" i="21"/>
  <c r="I236" i="21"/>
  <c r="K225" i="21"/>
  <c r="H221" i="21"/>
  <c r="I246" i="21"/>
  <c r="I240" i="21"/>
  <c r="I234" i="21"/>
  <c r="I228" i="21"/>
  <c r="I222" i="21"/>
  <c r="H246" i="21"/>
  <c r="H240" i="21"/>
  <c r="H234" i="21"/>
  <c r="H228" i="21"/>
  <c r="H222" i="21"/>
  <c r="K250" i="21"/>
  <c r="G246" i="21"/>
  <c r="K244" i="21"/>
  <c r="G240" i="21"/>
  <c r="K238" i="21"/>
  <c r="G234" i="21"/>
  <c r="K232" i="21"/>
  <c r="G228" i="21"/>
  <c r="K226" i="21"/>
  <c r="G222" i="21"/>
  <c r="I250" i="21"/>
  <c r="I244" i="21"/>
  <c r="I238" i="21"/>
  <c r="I232" i="21"/>
  <c r="I226" i="21"/>
  <c r="H250" i="21"/>
  <c r="J249" i="21"/>
  <c r="H244" i="21"/>
  <c r="J243" i="21"/>
  <c r="H238" i="21"/>
  <c r="J237" i="21"/>
  <c r="H232" i="21"/>
  <c r="J231" i="21"/>
  <c r="H226" i="21"/>
  <c r="J225" i="21"/>
  <c r="I249" i="21"/>
  <c r="K248" i="21"/>
  <c r="I243" i="21"/>
  <c r="K242" i="21"/>
  <c r="I237" i="21"/>
  <c r="K236" i="21"/>
  <c r="I231" i="21"/>
  <c r="K230" i="21"/>
  <c r="I225" i="21"/>
  <c r="K224" i="21"/>
  <c r="J248" i="21"/>
  <c r="J242" i="21"/>
  <c r="J236" i="21"/>
  <c r="J230" i="21"/>
  <c r="J224" i="21"/>
  <c r="H224" i="21"/>
  <c r="A178" i="21"/>
  <c r="B178" i="21"/>
  <c r="C178" i="21"/>
  <c r="D178" i="21"/>
  <c r="E178" i="21"/>
  <c r="F178" i="21"/>
  <c r="A179" i="21"/>
  <c r="B179" i="21"/>
  <c r="C179" i="21"/>
  <c r="D179" i="21"/>
  <c r="E179" i="21"/>
  <c r="F179" i="21"/>
  <c r="A180" i="21"/>
  <c r="B180" i="21"/>
  <c r="C180" i="21"/>
  <c r="D180" i="21"/>
  <c r="E180" i="21"/>
  <c r="F180" i="21"/>
  <c r="A181" i="21"/>
  <c r="B181" i="21"/>
  <c r="C181" i="21"/>
  <c r="D181" i="21"/>
  <c r="E181" i="21"/>
  <c r="F181" i="21"/>
  <c r="A182" i="21"/>
  <c r="B182" i="21"/>
  <c r="C182" i="21"/>
  <c r="D182" i="21"/>
  <c r="E182" i="21"/>
  <c r="F182" i="21"/>
  <c r="A183" i="21"/>
  <c r="B183" i="21"/>
  <c r="C183" i="21"/>
  <c r="D183" i="21"/>
  <c r="E183" i="21"/>
  <c r="F183" i="21"/>
  <c r="A184" i="21"/>
  <c r="B184" i="21"/>
  <c r="C184" i="21"/>
  <c r="D184" i="21"/>
  <c r="E184" i="21"/>
  <c r="F184" i="21"/>
  <c r="A185" i="21"/>
  <c r="B185" i="21"/>
  <c r="C185" i="21"/>
  <c r="D185" i="21"/>
  <c r="E185" i="21"/>
  <c r="F185" i="21"/>
  <c r="A186" i="21"/>
  <c r="B186" i="21"/>
  <c r="C186" i="21"/>
  <c r="D186" i="21"/>
  <c r="E186" i="21"/>
  <c r="F186" i="21"/>
  <c r="A187" i="21"/>
  <c r="B187" i="21"/>
  <c r="C187" i="21"/>
  <c r="D187" i="21"/>
  <c r="E187" i="21"/>
  <c r="F187" i="21"/>
  <c r="A188" i="21"/>
  <c r="B188" i="21"/>
  <c r="C188" i="21"/>
  <c r="D188" i="21"/>
  <c r="E188" i="21"/>
  <c r="F188" i="21"/>
  <c r="A189" i="21"/>
  <c r="B189" i="21"/>
  <c r="C189" i="21"/>
  <c r="D189" i="21"/>
  <c r="E189" i="21"/>
  <c r="F189" i="21"/>
  <c r="A190" i="21"/>
  <c r="B190" i="21"/>
  <c r="C190" i="21"/>
  <c r="D190" i="21"/>
  <c r="E190" i="21"/>
  <c r="F190" i="21"/>
  <c r="A191" i="21"/>
  <c r="B191" i="21"/>
  <c r="C191" i="21"/>
  <c r="D191" i="21"/>
  <c r="E191" i="21"/>
  <c r="F191" i="21"/>
  <c r="A192" i="21"/>
  <c r="B192" i="21"/>
  <c r="C192" i="21"/>
  <c r="D192" i="21"/>
  <c r="E192" i="21"/>
  <c r="F192" i="21"/>
  <c r="A193" i="21"/>
  <c r="B193" i="21"/>
  <c r="C193" i="21"/>
  <c r="D193" i="21"/>
  <c r="E193" i="21"/>
  <c r="F193" i="21"/>
  <c r="A194" i="21"/>
  <c r="B194" i="21"/>
  <c r="C194" i="21"/>
  <c r="D194" i="21"/>
  <c r="E194" i="21"/>
  <c r="F194" i="21"/>
  <c r="A195" i="21"/>
  <c r="B195" i="21"/>
  <c r="C195" i="21"/>
  <c r="D195" i="21"/>
  <c r="E195" i="21"/>
  <c r="F195" i="21"/>
  <c r="A196" i="21"/>
  <c r="B196" i="21"/>
  <c r="C196" i="21"/>
  <c r="D196" i="21"/>
  <c r="E196" i="21"/>
  <c r="F196" i="21"/>
  <c r="A197" i="21"/>
  <c r="B197" i="21"/>
  <c r="C197" i="21"/>
  <c r="D197" i="21"/>
  <c r="E197" i="21"/>
  <c r="F197" i="21"/>
  <c r="A198" i="21"/>
  <c r="B198" i="21"/>
  <c r="C198" i="21"/>
  <c r="D198" i="21"/>
  <c r="E198" i="21"/>
  <c r="F198" i="21"/>
  <c r="A199" i="21"/>
  <c r="B199" i="21"/>
  <c r="C199" i="21"/>
  <c r="D199" i="21"/>
  <c r="E199" i="21"/>
  <c r="F199" i="21"/>
  <c r="A200" i="21"/>
  <c r="B200" i="21"/>
  <c r="C200" i="21"/>
  <c r="D200" i="21"/>
  <c r="E200" i="21"/>
  <c r="F200" i="21"/>
  <c r="A201" i="21"/>
  <c r="B201" i="21"/>
  <c r="C201" i="21"/>
  <c r="D201" i="21"/>
  <c r="E201" i="21"/>
  <c r="F201" i="21"/>
  <c r="A202" i="21"/>
  <c r="B202" i="21"/>
  <c r="C202" i="21"/>
  <c r="D202" i="21"/>
  <c r="E202" i="21"/>
  <c r="F202" i="21"/>
  <c r="A203" i="21"/>
  <c r="B203" i="21"/>
  <c r="C203" i="21"/>
  <c r="D203" i="21"/>
  <c r="E203" i="21"/>
  <c r="F203" i="21"/>
  <c r="A204" i="21"/>
  <c r="B204" i="21"/>
  <c r="C204" i="21"/>
  <c r="D204" i="21"/>
  <c r="E204" i="21"/>
  <c r="F204" i="21"/>
  <c r="A205" i="21"/>
  <c r="B205" i="21"/>
  <c r="C205" i="21"/>
  <c r="D205" i="21"/>
  <c r="E205" i="21"/>
  <c r="F205" i="21"/>
  <c r="A206" i="21"/>
  <c r="B206" i="21"/>
  <c r="C206" i="21"/>
  <c r="D206" i="21"/>
  <c r="E206" i="21"/>
  <c r="F206" i="21"/>
  <c r="A207" i="21"/>
  <c r="B207" i="21"/>
  <c r="C207" i="21"/>
  <c r="D207" i="21"/>
  <c r="E207" i="21"/>
  <c r="F207" i="21"/>
  <c r="A208" i="21"/>
  <c r="B208" i="21"/>
  <c r="C208" i="21"/>
  <c r="D208" i="21"/>
  <c r="E208" i="21"/>
  <c r="F208" i="21"/>
  <c r="A209" i="21"/>
  <c r="B209" i="21"/>
  <c r="C209" i="21"/>
  <c r="D209" i="21"/>
  <c r="E209" i="21"/>
  <c r="F209" i="21"/>
  <c r="A210" i="21"/>
  <c r="B210" i="21"/>
  <c r="C210" i="21"/>
  <c r="D210" i="21"/>
  <c r="E210" i="21"/>
  <c r="F210" i="21"/>
  <c r="A211" i="21"/>
  <c r="B211" i="21"/>
  <c r="C211" i="21"/>
  <c r="D211" i="21"/>
  <c r="E211" i="21"/>
  <c r="F211" i="21"/>
  <c r="A212" i="21"/>
  <c r="B212" i="21"/>
  <c r="C212" i="21"/>
  <c r="D212" i="21"/>
  <c r="E212" i="21"/>
  <c r="F212" i="21"/>
  <c r="A213" i="21"/>
  <c r="B213" i="21"/>
  <c r="C213" i="21"/>
  <c r="D213" i="21"/>
  <c r="E213" i="21"/>
  <c r="F213" i="21"/>
  <c r="A214" i="21"/>
  <c r="B214" i="21"/>
  <c r="C214" i="21"/>
  <c r="D214" i="21"/>
  <c r="E214" i="21"/>
  <c r="F214" i="21"/>
  <c r="A215" i="21"/>
  <c r="B215" i="21"/>
  <c r="C215" i="21"/>
  <c r="D215" i="21"/>
  <c r="E215" i="21"/>
  <c r="F215" i="21"/>
  <c r="A216" i="21"/>
  <c r="B216" i="21"/>
  <c r="C216" i="21"/>
  <c r="D216" i="21"/>
  <c r="E216" i="21"/>
  <c r="F216" i="21"/>
  <c r="A217" i="21"/>
  <c r="B217" i="21"/>
  <c r="C217" i="21"/>
  <c r="D217" i="21"/>
  <c r="E217" i="21"/>
  <c r="F217" i="21"/>
  <c r="A218" i="21"/>
  <c r="B218" i="21"/>
  <c r="C218" i="21"/>
  <c r="D218" i="21"/>
  <c r="E218" i="21"/>
  <c r="F218" i="21"/>
  <c r="A219" i="21"/>
  <c r="B219" i="21"/>
  <c r="C219" i="21"/>
  <c r="D219" i="21"/>
  <c r="E219" i="21"/>
  <c r="F219" i="21"/>
  <c r="A220" i="21"/>
  <c r="B220" i="21"/>
  <c r="C220" i="21"/>
  <c r="D220" i="21"/>
  <c r="E220" i="21"/>
  <c r="F220" i="21"/>
  <c r="A173" i="21"/>
  <c r="A174" i="21"/>
  <c r="A175" i="21"/>
  <c r="A176" i="21"/>
  <c r="A177"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B173" i="21"/>
  <c r="C173" i="21"/>
  <c r="D173" i="21"/>
  <c r="E173" i="21"/>
  <c r="F173" i="21"/>
  <c r="B174" i="21"/>
  <c r="C174" i="21"/>
  <c r="D174" i="21"/>
  <c r="E174" i="21"/>
  <c r="F174" i="21"/>
  <c r="B175" i="21"/>
  <c r="C175" i="21"/>
  <c r="D175" i="21"/>
  <c r="E175" i="21"/>
  <c r="F175" i="21"/>
  <c r="B176" i="21"/>
  <c r="C176" i="21"/>
  <c r="D176" i="21"/>
  <c r="E176" i="21"/>
  <c r="F176" i="21"/>
  <c r="B177" i="21"/>
  <c r="C177" i="21"/>
  <c r="D177" i="21"/>
  <c r="E177" i="21"/>
  <c r="F177" i="21"/>
  <c r="K220" i="21" l="1"/>
  <c r="I220" i="21"/>
  <c r="H220" i="21"/>
  <c r="G220" i="21"/>
  <c r="J220" i="21"/>
  <c r="I218" i="21"/>
  <c r="J218" i="21"/>
  <c r="K218" i="21"/>
  <c r="G218" i="21"/>
  <c r="H218" i="21"/>
  <c r="G216" i="21"/>
  <c r="H216" i="21"/>
  <c r="I216" i="21"/>
  <c r="J216" i="21"/>
  <c r="K216" i="21"/>
  <c r="G214" i="21"/>
  <c r="J214" i="21"/>
  <c r="H214" i="21"/>
  <c r="I214" i="21"/>
  <c r="K214" i="21"/>
  <c r="K212" i="21"/>
  <c r="G212" i="21"/>
  <c r="I212" i="21"/>
  <c r="J212" i="21"/>
  <c r="H212" i="21"/>
  <c r="G210" i="21"/>
  <c r="K210" i="21"/>
  <c r="H210" i="21"/>
  <c r="J210" i="21"/>
  <c r="I210" i="21"/>
  <c r="K208" i="21"/>
  <c r="I208" i="21"/>
  <c r="G208" i="21"/>
  <c r="J208" i="21"/>
  <c r="H208" i="21"/>
  <c r="I206" i="21"/>
  <c r="G206" i="21"/>
  <c r="J206" i="21"/>
  <c r="K206" i="21"/>
  <c r="H206" i="21"/>
  <c r="G204" i="21"/>
  <c r="H204" i="21"/>
  <c r="I204" i="21"/>
  <c r="J204" i="21"/>
  <c r="K204" i="21"/>
  <c r="G202" i="21"/>
  <c r="H202" i="21"/>
  <c r="I202" i="21"/>
  <c r="K202" i="21"/>
  <c r="J202" i="21"/>
  <c r="H200" i="21"/>
  <c r="K200" i="21"/>
  <c r="G200" i="21"/>
  <c r="I200" i="21"/>
  <c r="J200" i="21"/>
  <c r="I198" i="21"/>
  <c r="K198" i="21"/>
  <c r="G198" i="21"/>
  <c r="J198" i="21"/>
  <c r="H198" i="21"/>
  <c r="K196" i="21"/>
  <c r="G196" i="21"/>
  <c r="H196" i="21"/>
  <c r="I196" i="21"/>
  <c r="J196" i="21"/>
  <c r="I194" i="21"/>
  <c r="J194" i="21"/>
  <c r="K194" i="21"/>
  <c r="G194" i="21"/>
  <c r="H194" i="21"/>
  <c r="G192" i="21"/>
  <c r="H192" i="21"/>
  <c r="I192" i="21"/>
  <c r="J192" i="21"/>
  <c r="K192" i="21"/>
  <c r="G190" i="21"/>
  <c r="J190" i="21"/>
  <c r="H190" i="21"/>
  <c r="I190" i="21"/>
  <c r="K190" i="21"/>
  <c r="K188" i="21"/>
  <c r="G188" i="21"/>
  <c r="I188" i="21"/>
  <c r="J188" i="21"/>
  <c r="H188" i="21"/>
  <c r="J186" i="21"/>
  <c r="I186" i="21"/>
  <c r="G186" i="21"/>
  <c r="H186" i="21"/>
  <c r="K186" i="21"/>
  <c r="K184" i="21"/>
  <c r="G184" i="21"/>
  <c r="H184" i="21"/>
  <c r="J184" i="21"/>
  <c r="I184" i="21"/>
  <c r="I182" i="21"/>
  <c r="G182" i="21"/>
  <c r="J182" i="21"/>
  <c r="K182" i="21"/>
  <c r="H182" i="21"/>
  <c r="G180" i="21"/>
  <c r="H180" i="21"/>
  <c r="I180" i="21"/>
  <c r="J180" i="21"/>
  <c r="K180" i="21"/>
  <c r="G178" i="21"/>
  <c r="H178" i="21"/>
  <c r="I178" i="21"/>
  <c r="K178" i="21"/>
  <c r="J178" i="21"/>
  <c r="H176" i="21"/>
  <c r="K176" i="21"/>
  <c r="G176" i="21"/>
  <c r="I176" i="21"/>
  <c r="J176" i="21"/>
  <c r="J177" i="21"/>
  <c r="K177" i="21"/>
  <c r="G177" i="21"/>
  <c r="H177" i="21"/>
  <c r="I177" i="21"/>
  <c r="H175" i="21"/>
  <c r="I175" i="21"/>
  <c r="J175" i="21"/>
  <c r="K175" i="21"/>
  <c r="G175" i="21"/>
  <c r="J174" i="21"/>
  <c r="G174" i="21"/>
  <c r="H174" i="21"/>
  <c r="K174" i="21"/>
  <c r="I174" i="21"/>
  <c r="K173" i="21"/>
  <c r="G173" i="21"/>
  <c r="H173" i="21"/>
  <c r="I173" i="21"/>
  <c r="J173" i="21"/>
  <c r="I219" i="21"/>
  <c r="G219" i="21"/>
  <c r="H219" i="21"/>
  <c r="J219" i="21"/>
  <c r="K219" i="21"/>
  <c r="J217" i="21"/>
  <c r="G217" i="21"/>
  <c r="H217" i="21"/>
  <c r="K217" i="21"/>
  <c r="I217" i="21"/>
  <c r="I215" i="21"/>
  <c r="H215" i="21"/>
  <c r="J215" i="21"/>
  <c r="G215" i="21"/>
  <c r="K215" i="21"/>
  <c r="J213" i="21"/>
  <c r="K213" i="21"/>
  <c r="G213" i="21"/>
  <c r="I213" i="21"/>
  <c r="H213" i="21"/>
  <c r="H211" i="21"/>
  <c r="I211" i="21"/>
  <c r="J211" i="21"/>
  <c r="K211" i="21"/>
  <c r="G211" i="21"/>
  <c r="G209" i="21"/>
  <c r="H209" i="21"/>
  <c r="I209" i="21"/>
  <c r="J209" i="21"/>
  <c r="K209" i="21"/>
  <c r="I207" i="21"/>
  <c r="G207" i="21"/>
  <c r="H207" i="21"/>
  <c r="J207" i="21"/>
  <c r="K207" i="21"/>
  <c r="G205" i="21"/>
  <c r="K205" i="21"/>
  <c r="J205" i="21"/>
  <c r="H205" i="21"/>
  <c r="I205" i="21"/>
  <c r="I203" i="21"/>
  <c r="J203" i="21"/>
  <c r="H203" i="21"/>
  <c r="G203" i="21"/>
  <c r="K203" i="21"/>
  <c r="J201" i="21"/>
  <c r="K201" i="21"/>
  <c r="G201" i="21"/>
  <c r="H201" i="21"/>
  <c r="I201" i="21"/>
  <c r="H199" i="21"/>
  <c r="I199" i="21"/>
  <c r="J199" i="21"/>
  <c r="K199" i="21"/>
  <c r="G199" i="21"/>
  <c r="K197" i="21"/>
  <c r="G197" i="21"/>
  <c r="H197" i="21"/>
  <c r="I197" i="21"/>
  <c r="J197" i="21"/>
  <c r="G195" i="21"/>
  <c r="H195" i="21"/>
  <c r="I195" i="21"/>
  <c r="J195" i="21"/>
  <c r="K195" i="21"/>
  <c r="G193" i="21"/>
  <c r="H193" i="21"/>
  <c r="I193" i="21"/>
  <c r="J193" i="21"/>
  <c r="K193" i="21"/>
  <c r="J191" i="21"/>
  <c r="I191" i="21"/>
  <c r="H191" i="21"/>
  <c r="G191" i="21"/>
  <c r="K191" i="21"/>
  <c r="J189" i="21"/>
  <c r="K189" i="21"/>
  <c r="H189" i="21"/>
  <c r="G189" i="21"/>
  <c r="I189" i="21"/>
  <c r="H187" i="21"/>
  <c r="I187" i="21"/>
  <c r="J187" i="21"/>
  <c r="K187" i="21"/>
  <c r="G187" i="21"/>
  <c r="K185" i="21"/>
  <c r="G185" i="21"/>
  <c r="H185" i="21"/>
  <c r="I185" i="21"/>
  <c r="J185" i="21"/>
  <c r="G183" i="21"/>
  <c r="H183" i="21"/>
  <c r="I183" i="21"/>
  <c r="J183" i="21"/>
  <c r="K183" i="21"/>
  <c r="K181" i="21"/>
  <c r="G181" i="21"/>
  <c r="J181" i="21"/>
  <c r="H181" i="21"/>
  <c r="I181" i="21"/>
  <c r="J179" i="21"/>
  <c r="H179" i="21"/>
  <c r="G179" i="21"/>
  <c r="K179" i="21"/>
  <c r="I179" i="21"/>
  <c r="B7" i="21"/>
  <c r="C7" i="21"/>
  <c r="D7" i="21"/>
  <c r="E7" i="21"/>
  <c r="F7" i="21"/>
  <c r="B8" i="21"/>
  <c r="C8" i="21"/>
  <c r="D8" i="21"/>
  <c r="E8" i="21"/>
  <c r="F8" i="21"/>
  <c r="B9" i="21"/>
  <c r="C9" i="21"/>
  <c r="D9" i="21"/>
  <c r="E9" i="21"/>
  <c r="F9" i="21"/>
  <c r="B10" i="21"/>
  <c r="C10" i="21"/>
  <c r="D10" i="21"/>
  <c r="E10" i="21"/>
  <c r="F10" i="21"/>
  <c r="B11" i="21"/>
  <c r="C11" i="21"/>
  <c r="D11" i="21"/>
  <c r="E11" i="21"/>
  <c r="F11" i="21"/>
  <c r="B12" i="21"/>
  <c r="C12" i="21"/>
  <c r="D12" i="21"/>
  <c r="E12" i="21"/>
  <c r="F12" i="21"/>
  <c r="B13" i="21"/>
  <c r="C13" i="21"/>
  <c r="D13" i="21"/>
  <c r="E13" i="21"/>
  <c r="F13" i="21"/>
  <c r="B14" i="21"/>
  <c r="C14" i="21"/>
  <c r="D14" i="21"/>
  <c r="E14" i="21"/>
  <c r="F14" i="21"/>
  <c r="B15" i="21"/>
  <c r="C15" i="21"/>
  <c r="D15" i="21"/>
  <c r="E15" i="21"/>
  <c r="F15" i="21"/>
  <c r="B16" i="21"/>
  <c r="C16" i="21"/>
  <c r="D16" i="21"/>
  <c r="E16" i="21"/>
  <c r="F16" i="21"/>
  <c r="B17" i="21"/>
  <c r="C17" i="21"/>
  <c r="D17" i="21"/>
  <c r="E17" i="21"/>
  <c r="F17" i="21"/>
  <c r="B18" i="21"/>
  <c r="C18" i="21"/>
  <c r="D18" i="21"/>
  <c r="E18" i="21"/>
  <c r="F18" i="21"/>
  <c r="B19" i="21"/>
  <c r="C19" i="21"/>
  <c r="D19" i="21"/>
  <c r="E19" i="21"/>
  <c r="F19" i="21"/>
  <c r="B20" i="21"/>
  <c r="C20" i="21"/>
  <c r="D20" i="21"/>
  <c r="E20" i="21"/>
  <c r="F20" i="21"/>
  <c r="B21" i="21"/>
  <c r="C21" i="21"/>
  <c r="D21" i="21"/>
  <c r="E21" i="21"/>
  <c r="F21" i="21"/>
  <c r="B22" i="21"/>
  <c r="C22" i="21"/>
  <c r="D22" i="21"/>
  <c r="E22" i="21"/>
  <c r="F22" i="21"/>
  <c r="B23" i="21"/>
  <c r="C23" i="21"/>
  <c r="D23" i="21"/>
  <c r="E23" i="21"/>
  <c r="F23" i="21"/>
  <c r="B24" i="21"/>
  <c r="C24" i="21"/>
  <c r="D24" i="21"/>
  <c r="E24" i="21"/>
  <c r="F24" i="21"/>
  <c r="B25" i="21"/>
  <c r="C25" i="21"/>
  <c r="D25" i="21"/>
  <c r="E25" i="21"/>
  <c r="F25" i="21"/>
  <c r="B26" i="21"/>
  <c r="C26" i="21"/>
  <c r="D26" i="21"/>
  <c r="E26" i="21"/>
  <c r="F26" i="21"/>
  <c r="B27" i="21"/>
  <c r="C27" i="21"/>
  <c r="D27" i="21"/>
  <c r="E27" i="21"/>
  <c r="F27" i="21"/>
  <c r="B28" i="21"/>
  <c r="C28" i="21"/>
  <c r="D28" i="21"/>
  <c r="E28" i="21"/>
  <c r="F28" i="21"/>
  <c r="B29" i="21"/>
  <c r="C29" i="21"/>
  <c r="D29" i="21"/>
  <c r="E29" i="21"/>
  <c r="F29" i="21"/>
  <c r="B30" i="21"/>
  <c r="C30" i="21"/>
  <c r="D30" i="21"/>
  <c r="E30" i="21"/>
  <c r="F30" i="21"/>
  <c r="B31" i="21"/>
  <c r="C31" i="21"/>
  <c r="D31" i="21"/>
  <c r="E31" i="21"/>
  <c r="F31" i="21"/>
  <c r="B32" i="21"/>
  <c r="C32" i="21"/>
  <c r="D32" i="21"/>
  <c r="E32" i="21"/>
  <c r="F32" i="21"/>
  <c r="B33" i="21"/>
  <c r="C33" i="21"/>
  <c r="D33" i="21"/>
  <c r="E33" i="21"/>
  <c r="F33" i="21"/>
  <c r="B34" i="21"/>
  <c r="C34" i="21"/>
  <c r="D34" i="21"/>
  <c r="E34" i="21"/>
  <c r="F34" i="21"/>
  <c r="B35" i="21"/>
  <c r="C35" i="21"/>
  <c r="D35" i="21"/>
  <c r="E35" i="21"/>
  <c r="F35" i="21"/>
  <c r="B36" i="21"/>
  <c r="C36" i="21"/>
  <c r="D36" i="21"/>
  <c r="E36" i="21"/>
  <c r="F36" i="21"/>
  <c r="B37" i="21"/>
  <c r="C37" i="21"/>
  <c r="D37" i="21"/>
  <c r="E37" i="21"/>
  <c r="F37" i="21"/>
  <c r="B38" i="21"/>
  <c r="C38" i="21"/>
  <c r="D38" i="21"/>
  <c r="E38" i="21"/>
  <c r="F38" i="21"/>
  <c r="B39" i="21"/>
  <c r="C39" i="21"/>
  <c r="D39" i="21"/>
  <c r="E39" i="21"/>
  <c r="F39" i="21"/>
  <c r="B40" i="21"/>
  <c r="C40" i="21"/>
  <c r="D40" i="21"/>
  <c r="E40" i="21"/>
  <c r="F40" i="21"/>
  <c r="B41" i="21"/>
  <c r="C41" i="21"/>
  <c r="D41" i="21"/>
  <c r="E41" i="21"/>
  <c r="F41" i="21"/>
  <c r="B42" i="21"/>
  <c r="C42" i="21"/>
  <c r="D42" i="21"/>
  <c r="E42" i="21"/>
  <c r="F42" i="21"/>
  <c r="B43" i="21"/>
  <c r="C43" i="21"/>
  <c r="D43" i="21"/>
  <c r="E43" i="21"/>
  <c r="F43" i="21"/>
  <c r="B44" i="21"/>
  <c r="C44" i="21"/>
  <c r="D44" i="21"/>
  <c r="E44" i="21"/>
  <c r="F44" i="21"/>
  <c r="B45" i="21"/>
  <c r="C45" i="21"/>
  <c r="D45" i="21"/>
  <c r="E45" i="21"/>
  <c r="F45" i="21"/>
  <c r="B46" i="21"/>
  <c r="C46" i="21"/>
  <c r="D46" i="21"/>
  <c r="E46" i="21"/>
  <c r="F46" i="21"/>
  <c r="B47" i="21"/>
  <c r="C47" i="21"/>
  <c r="D47" i="21"/>
  <c r="E47" i="21"/>
  <c r="F47" i="21"/>
  <c r="B48" i="21"/>
  <c r="C48" i="21"/>
  <c r="D48" i="21"/>
  <c r="E48" i="21"/>
  <c r="F48" i="21"/>
  <c r="B49" i="21"/>
  <c r="C49" i="21"/>
  <c r="D49" i="21"/>
  <c r="E49" i="21"/>
  <c r="F49" i="21"/>
  <c r="B50" i="21"/>
  <c r="C50" i="21"/>
  <c r="D50" i="21"/>
  <c r="E50" i="21"/>
  <c r="F50" i="21"/>
  <c r="B51" i="21"/>
  <c r="C51" i="21"/>
  <c r="D51" i="21"/>
  <c r="E51" i="21"/>
  <c r="F51" i="21"/>
  <c r="B52" i="21"/>
  <c r="C52" i="21"/>
  <c r="D52" i="21"/>
  <c r="E52" i="21"/>
  <c r="F52" i="21"/>
  <c r="B53" i="21"/>
  <c r="C53" i="21"/>
  <c r="D53" i="21"/>
  <c r="E53" i="21"/>
  <c r="F53" i="21"/>
  <c r="B54" i="21"/>
  <c r="C54" i="21"/>
  <c r="D54" i="21"/>
  <c r="E54" i="21"/>
  <c r="F54" i="21"/>
  <c r="B55" i="21"/>
  <c r="C55" i="21"/>
  <c r="D55" i="21"/>
  <c r="E55" i="21"/>
  <c r="F55" i="21"/>
  <c r="B56" i="21"/>
  <c r="C56" i="21"/>
  <c r="D56" i="21"/>
  <c r="E56" i="21"/>
  <c r="F56" i="21"/>
  <c r="B57" i="21"/>
  <c r="C57" i="21"/>
  <c r="D57" i="21"/>
  <c r="E57" i="21"/>
  <c r="F57" i="21"/>
  <c r="B58" i="21"/>
  <c r="C58" i="21"/>
  <c r="D58" i="21"/>
  <c r="E58" i="21"/>
  <c r="F58" i="21"/>
  <c r="B59" i="21"/>
  <c r="C59" i="21"/>
  <c r="D59" i="21"/>
  <c r="E59" i="21"/>
  <c r="F59" i="21"/>
  <c r="B60" i="21"/>
  <c r="C60" i="21"/>
  <c r="D60" i="21"/>
  <c r="E60" i="21"/>
  <c r="F60" i="21"/>
  <c r="B61" i="21"/>
  <c r="C61" i="21"/>
  <c r="D61" i="21"/>
  <c r="E61" i="21"/>
  <c r="F61" i="21"/>
  <c r="B62" i="21"/>
  <c r="C62" i="21"/>
  <c r="D62" i="21"/>
  <c r="E62" i="21"/>
  <c r="F62" i="21"/>
  <c r="B63" i="21"/>
  <c r="C63" i="21"/>
  <c r="D63" i="21"/>
  <c r="E63" i="21"/>
  <c r="F63" i="21"/>
  <c r="B64" i="21"/>
  <c r="C64" i="21"/>
  <c r="D64" i="21"/>
  <c r="E64" i="21"/>
  <c r="F64" i="21"/>
  <c r="B65" i="21"/>
  <c r="C65" i="21"/>
  <c r="D65" i="21"/>
  <c r="E65" i="21"/>
  <c r="F65" i="21"/>
  <c r="B66" i="21"/>
  <c r="C66" i="21"/>
  <c r="D66" i="21"/>
  <c r="E66" i="21"/>
  <c r="F66" i="21"/>
  <c r="B67" i="21"/>
  <c r="C67" i="21"/>
  <c r="D67" i="21"/>
  <c r="E67" i="21"/>
  <c r="F67" i="21"/>
  <c r="B68" i="21"/>
  <c r="C68" i="21"/>
  <c r="D68" i="21"/>
  <c r="E68" i="21"/>
  <c r="F68" i="21"/>
  <c r="B69" i="21"/>
  <c r="C69" i="21"/>
  <c r="D69" i="21"/>
  <c r="E69" i="21"/>
  <c r="F69" i="21"/>
  <c r="B70" i="21"/>
  <c r="C70" i="21"/>
  <c r="D70" i="21"/>
  <c r="E70" i="21"/>
  <c r="F70" i="21"/>
  <c r="B71" i="21"/>
  <c r="C71" i="21"/>
  <c r="D71" i="21"/>
  <c r="E71" i="21"/>
  <c r="F71" i="21"/>
  <c r="B72" i="21"/>
  <c r="C72" i="21"/>
  <c r="D72" i="21"/>
  <c r="E72" i="21"/>
  <c r="F72" i="21"/>
  <c r="B73" i="21"/>
  <c r="C73" i="21"/>
  <c r="D73" i="21"/>
  <c r="E73" i="21"/>
  <c r="F73" i="21"/>
  <c r="B74" i="21"/>
  <c r="C74" i="21"/>
  <c r="D74" i="21"/>
  <c r="E74" i="21"/>
  <c r="F74" i="21"/>
  <c r="B75" i="21"/>
  <c r="C75" i="21"/>
  <c r="D75" i="21"/>
  <c r="E75" i="21"/>
  <c r="F75" i="21"/>
  <c r="B76" i="21"/>
  <c r="C76" i="21"/>
  <c r="D76" i="21"/>
  <c r="E76" i="21"/>
  <c r="F76" i="21"/>
  <c r="B77" i="21"/>
  <c r="C77" i="21"/>
  <c r="D77" i="21"/>
  <c r="E77" i="21"/>
  <c r="F77" i="21"/>
  <c r="B78" i="21"/>
  <c r="C78" i="21"/>
  <c r="D78" i="21"/>
  <c r="E78" i="21"/>
  <c r="F78" i="21"/>
  <c r="B79" i="21"/>
  <c r="C79" i="21"/>
  <c r="D79" i="21"/>
  <c r="E79" i="21"/>
  <c r="F79" i="21"/>
  <c r="B80" i="21"/>
  <c r="C80" i="21"/>
  <c r="D80" i="21"/>
  <c r="E80" i="21"/>
  <c r="F80" i="21"/>
  <c r="B81" i="21"/>
  <c r="C81" i="21"/>
  <c r="D81" i="21"/>
  <c r="E81" i="21"/>
  <c r="F81" i="21"/>
  <c r="B82" i="21"/>
  <c r="C82" i="21"/>
  <c r="D82" i="21"/>
  <c r="E82" i="21"/>
  <c r="F82" i="21"/>
  <c r="B83" i="21"/>
  <c r="C83" i="21"/>
  <c r="D83" i="21"/>
  <c r="E83" i="21"/>
  <c r="F83" i="21"/>
  <c r="B84" i="21"/>
  <c r="C84" i="21"/>
  <c r="D84" i="21"/>
  <c r="E84" i="21"/>
  <c r="F84" i="21"/>
  <c r="B85" i="21"/>
  <c r="C85" i="21"/>
  <c r="D85" i="21"/>
  <c r="E85" i="21"/>
  <c r="F85" i="21"/>
  <c r="B86" i="21"/>
  <c r="C86" i="21"/>
  <c r="D86" i="21"/>
  <c r="E86" i="21"/>
  <c r="F86" i="21"/>
  <c r="B87" i="21"/>
  <c r="C87" i="21"/>
  <c r="D87" i="21"/>
  <c r="E87" i="21"/>
  <c r="F87" i="21"/>
  <c r="B88" i="21"/>
  <c r="C88" i="21"/>
  <c r="D88" i="21"/>
  <c r="E88" i="21"/>
  <c r="F88" i="21"/>
  <c r="B89" i="21"/>
  <c r="C89" i="21"/>
  <c r="D89" i="21"/>
  <c r="E89" i="21"/>
  <c r="F89" i="21"/>
  <c r="B90" i="21"/>
  <c r="C90" i="21"/>
  <c r="D90" i="21"/>
  <c r="E90" i="21"/>
  <c r="F90" i="21"/>
  <c r="B91" i="21"/>
  <c r="C91" i="21"/>
  <c r="D91" i="21"/>
  <c r="E91" i="21"/>
  <c r="F91" i="21"/>
  <c r="B92" i="21"/>
  <c r="C92" i="21"/>
  <c r="D92" i="21"/>
  <c r="E92" i="21"/>
  <c r="F92" i="21"/>
  <c r="B93" i="21"/>
  <c r="C93" i="21"/>
  <c r="D93" i="21"/>
  <c r="E93" i="21"/>
  <c r="F93" i="21"/>
  <c r="B94" i="21"/>
  <c r="C94" i="21"/>
  <c r="D94" i="21"/>
  <c r="E94" i="21"/>
  <c r="F94" i="21"/>
  <c r="B95" i="21"/>
  <c r="C95" i="21"/>
  <c r="D95" i="21"/>
  <c r="E95" i="21"/>
  <c r="F95" i="21"/>
  <c r="B96" i="21"/>
  <c r="C96" i="21"/>
  <c r="D96" i="21"/>
  <c r="E96" i="21"/>
  <c r="F96" i="21"/>
  <c r="B97" i="21"/>
  <c r="C97" i="21"/>
  <c r="D97" i="21"/>
  <c r="E97" i="21"/>
  <c r="F97" i="21"/>
  <c r="B98" i="21"/>
  <c r="C98" i="21"/>
  <c r="D98" i="21"/>
  <c r="E98" i="21"/>
  <c r="F98" i="21"/>
  <c r="B99" i="21"/>
  <c r="C99" i="21"/>
  <c r="D99" i="21"/>
  <c r="E99" i="21"/>
  <c r="F99" i="21"/>
  <c r="B100" i="21"/>
  <c r="C100" i="21"/>
  <c r="D100" i="21"/>
  <c r="E100" i="21"/>
  <c r="F100" i="21"/>
  <c r="B101" i="21"/>
  <c r="C101" i="21"/>
  <c r="D101" i="21"/>
  <c r="E101" i="21"/>
  <c r="F101" i="21"/>
  <c r="B102" i="21"/>
  <c r="C102" i="21"/>
  <c r="D102" i="21"/>
  <c r="E102" i="21"/>
  <c r="F102" i="21"/>
  <c r="B103" i="21"/>
  <c r="C103" i="21"/>
  <c r="D103" i="21"/>
  <c r="E103" i="21"/>
  <c r="F103" i="21"/>
  <c r="B104" i="21"/>
  <c r="C104" i="21"/>
  <c r="D104" i="21"/>
  <c r="E104" i="21"/>
  <c r="F104" i="21"/>
  <c r="B105" i="21"/>
  <c r="C105" i="21"/>
  <c r="D105" i="21"/>
  <c r="E105" i="21"/>
  <c r="F105" i="21"/>
  <c r="B106" i="21"/>
  <c r="C106" i="21"/>
  <c r="D106" i="21"/>
  <c r="E106" i="21"/>
  <c r="F106" i="21"/>
  <c r="B107" i="21"/>
  <c r="C107" i="21"/>
  <c r="D107" i="21"/>
  <c r="E107" i="21"/>
  <c r="F107" i="21"/>
  <c r="B108" i="21"/>
  <c r="C108" i="21"/>
  <c r="D108" i="21"/>
  <c r="E108" i="21"/>
  <c r="F108" i="21"/>
  <c r="B109" i="21"/>
  <c r="C109" i="21"/>
  <c r="D109" i="21"/>
  <c r="E109" i="21"/>
  <c r="F109" i="21"/>
  <c r="B110" i="21"/>
  <c r="C110" i="21"/>
  <c r="D110" i="21"/>
  <c r="E110" i="21"/>
  <c r="F110" i="21"/>
  <c r="B111" i="21"/>
  <c r="C111" i="21"/>
  <c r="D111" i="21"/>
  <c r="E111" i="21"/>
  <c r="F111" i="21"/>
  <c r="B112" i="21"/>
  <c r="C112" i="21"/>
  <c r="D112" i="21"/>
  <c r="E112" i="21"/>
  <c r="F112" i="21"/>
  <c r="B113" i="21"/>
  <c r="C113" i="21"/>
  <c r="D113" i="21"/>
  <c r="E113" i="21"/>
  <c r="F113" i="21"/>
  <c r="B114" i="21"/>
  <c r="C114" i="21"/>
  <c r="D114" i="21"/>
  <c r="E114" i="21"/>
  <c r="F114" i="21"/>
  <c r="B115" i="21"/>
  <c r="C115" i="21"/>
  <c r="D115" i="21"/>
  <c r="E115" i="21"/>
  <c r="F115" i="21"/>
  <c r="B116" i="21"/>
  <c r="C116" i="21"/>
  <c r="D116" i="21"/>
  <c r="E116" i="21"/>
  <c r="F116" i="21"/>
  <c r="B117" i="21"/>
  <c r="C117" i="21"/>
  <c r="D117" i="21"/>
  <c r="E117" i="21"/>
  <c r="F117" i="21"/>
  <c r="B118" i="21"/>
  <c r="C118" i="21"/>
  <c r="D118" i="21"/>
  <c r="E118" i="21"/>
  <c r="F118" i="21"/>
  <c r="B119" i="21"/>
  <c r="C119" i="21"/>
  <c r="D119" i="21"/>
  <c r="E119" i="21"/>
  <c r="F119" i="21"/>
  <c r="B120" i="21"/>
  <c r="C120" i="21"/>
  <c r="D120" i="21"/>
  <c r="E120" i="21"/>
  <c r="F120" i="21"/>
  <c r="B121" i="21"/>
  <c r="C121" i="21"/>
  <c r="D121" i="21"/>
  <c r="E121" i="21"/>
  <c r="F121" i="21"/>
  <c r="B122" i="21"/>
  <c r="C122" i="21"/>
  <c r="D122" i="21"/>
  <c r="E122" i="21"/>
  <c r="F122" i="21"/>
  <c r="B123" i="21"/>
  <c r="C123" i="21"/>
  <c r="D123" i="21"/>
  <c r="E123" i="21"/>
  <c r="F123" i="21"/>
  <c r="B124" i="21"/>
  <c r="C124" i="21"/>
  <c r="D124" i="21"/>
  <c r="E124" i="21"/>
  <c r="F124" i="21"/>
  <c r="B125" i="21"/>
  <c r="C125" i="21"/>
  <c r="D125" i="21"/>
  <c r="E125" i="21"/>
  <c r="F125" i="21"/>
  <c r="B126" i="21"/>
  <c r="C126" i="21"/>
  <c r="D126" i="21"/>
  <c r="E126" i="21"/>
  <c r="F126" i="21"/>
  <c r="B127" i="21"/>
  <c r="C127" i="21"/>
  <c r="D127" i="21"/>
  <c r="E127" i="21"/>
  <c r="F127" i="21"/>
  <c r="B128" i="21"/>
  <c r="C128" i="21"/>
  <c r="D128" i="21"/>
  <c r="E128" i="21"/>
  <c r="F128" i="21"/>
  <c r="B129" i="21"/>
  <c r="C129" i="21"/>
  <c r="D129" i="21"/>
  <c r="E129" i="21"/>
  <c r="F129" i="21"/>
  <c r="B130" i="21"/>
  <c r="C130" i="21"/>
  <c r="D130" i="21"/>
  <c r="E130" i="21"/>
  <c r="F130" i="21"/>
  <c r="B131" i="21"/>
  <c r="C131" i="21"/>
  <c r="D131" i="21"/>
  <c r="E131" i="21"/>
  <c r="F131" i="21"/>
  <c r="B132" i="21"/>
  <c r="C132" i="21"/>
  <c r="D132" i="21"/>
  <c r="E132" i="21"/>
  <c r="F132" i="21"/>
  <c r="B133" i="21"/>
  <c r="C133" i="21"/>
  <c r="D133" i="21"/>
  <c r="E133" i="21"/>
  <c r="F133" i="21"/>
  <c r="B134" i="21"/>
  <c r="C134" i="21"/>
  <c r="D134" i="21"/>
  <c r="E134" i="21"/>
  <c r="F134" i="21"/>
  <c r="B135" i="21"/>
  <c r="C135" i="21"/>
  <c r="D135" i="21"/>
  <c r="E135" i="21"/>
  <c r="F135" i="21"/>
  <c r="B136" i="21"/>
  <c r="C136" i="21"/>
  <c r="D136" i="21"/>
  <c r="E136" i="21"/>
  <c r="F136" i="21"/>
  <c r="B137" i="21"/>
  <c r="C137" i="21"/>
  <c r="D137" i="21"/>
  <c r="E137" i="21"/>
  <c r="F137" i="21"/>
  <c r="B138" i="21"/>
  <c r="C138" i="21"/>
  <c r="D138" i="21"/>
  <c r="E138" i="21"/>
  <c r="F138" i="21"/>
  <c r="B139" i="21"/>
  <c r="C139" i="21"/>
  <c r="D139" i="21"/>
  <c r="E139" i="21"/>
  <c r="F139" i="21"/>
  <c r="B140" i="21"/>
  <c r="C140" i="21"/>
  <c r="D140" i="21"/>
  <c r="E140" i="21"/>
  <c r="F140" i="21"/>
  <c r="B141" i="21"/>
  <c r="C141" i="21"/>
  <c r="D141" i="21"/>
  <c r="E141" i="21"/>
  <c r="F141" i="21"/>
  <c r="B142" i="21"/>
  <c r="C142" i="21"/>
  <c r="D142" i="21"/>
  <c r="E142" i="21"/>
  <c r="F142" i="21"/>
  <c r="B143" i="21"/>
  <c r="C143" i="21"/>
  <c r="D143" i="21"/>
  <c r="E143" i="21"/>
  <c r="F143" i="21"/>
  <c r="B144" i="21"/>
  <c r="C144" i="21"/>
  <c r="D144" i="21"/>
  <c r="E144" i="21"/>
  <c r="F144" i="21"/>
  <c r="B145" i="21"/>
  <c r="C145" i="21"/>
  <c r="D145" i="21"/>
  <c r="E145" i="21"/>
  <c r="F145" i="21"/>
  <c r="B146" i="21"/>
  <c r="C146" i="21"/>
  <c r="D146" i="21"/>
  <c r="E146" i="21"/>
  <c r="F146" i="21"/>
  <c r="B147" i="21"/>
  <c r="C147" i="21"/>
  <c r="D147" i="21"/>
  <c r="E147" i="21"/>
  <c r="F147" i="21"/>
  <c r="B148" i="21"/>
  <c r="C148" i="21"/>
  <c r="D148" i="21"/>
  <c r="E148" i="21"/>
  <c r="F148" i="21"/>
  <c r="B149" i="21"/>
  <c r="C149" i="21"/>
  <c r="D149" i="21"/>
  <c r="E149" i="21"/>
  <c r="F149" i="21"/>
  <c r="B150" i="21"/>
  <c r="C150" i="21"/>
  <c r="D150" i="21"/>
  <c r="E150" i="21"/>
  <c r="F150" i="21"/>
  <c r="B151" i="21"/>
  <c r="C151" i="21"/>
  <c r="D151" i="21"/>
  <c r="E151" i="21"/>
  <c r="F151" i="21"/>
  <c r="B152" i="21"/>
  <c r="C152" i="21"/>
  <c r="D152" i="21"/>
  <c r="E152" i="21"/>
  <c r="F152" i="21"/>
  <c r="B153" i="21"/>
  <c r="C153" i="21"/>
  <c r="D153" i="21"/>
  <c r="E153" i="21"/>
  <c r="F153" i="21"/>
  <c r="B154" i="21"/>
  <c r="C154" i="21"/>
  <c r="D154" i="21"/>
  <c r="E154" i="21"/>
  <c r="F154" i="21"/>
  <c r="B155" i="21"/>
  <c r="C155" i="21"/>
  <c r="D155" i="21"/>
  <c r="E155" i="21"/>
  <c r="F155" i="21"/>
  <c r="B156" i="21"/>
  <c r="C156" i="21"/>
  <c r="D156" i="21"/>
  <c r="E156" i="21"/>
  <c r="F156" i="21"/>
  <c r="B157" i="21"/>
  <c r="C157" i="21"/>
  <c r="D157" i="21"/>
  <c r="E157" i="21"/>
  <c r="F157" i="21"/>
  <c r="B158" i="21"/>
  <c r="C158" i="21"/>
  <c r="D158" i="21"/>
  <c r="E158" i="21"/>
  <c r="F158" i="21"/>
  <c r="B159" i="21"/>
  <c r="C159" i="21"/>
  <c r="D159" i="21"/>
  <c r="E159" i="21"/>
  <c r="F159" i="21"/>
  <c r="B160" i="21"/>
  <c r="C160" i="21"/>
  <c r="D160" i="21"/>
  <c r="E160" i="21"/>
  <c r="F160" i="21"/>
  <c r="B161" i="21"/>
  <c r="C161" i="21"/>
  <c r="D161" i="21"/>
  <c r="E161" i="21"/>
  <c r="F161" i="21"/>
  <c r="B162" i="21"/>
  <c r="C162" i="21"/>
  <c r="D162" i="21"/>
  <c r="E162" i="21"/>
  <c r="F162" i="21"/>
  <c r="B163" i="21"/>
  <c r="C163" i="21"/>
  <c r="D163" i="21"/>
  <c r="E163" i="21"/>
  <c r="F163" i="21"/>
  <c r="B164" i="21"/>
  <c r="C164" i="21"/>
  <c r="D164" i="21"/>
  <c r="E164" i="21"/>
  <c r="F164" i="21"/>
  <c r="B165" i="21"/>
  <c r="C165" i="21"/>
  <c r="D165" i="21"/>
  <c r="E165" i="21"/>
  <c r="F165" i="21"/>
  <c r="B166" i="21"/>
  <c r="C166" i="21"/>
  <c r="D166" i="21"/>
  <c r="E166" i="21"/>
  <c r="F166" i="21"/>
  <c r="B167" i="21"/>
  <c r="C167" i="21"/>
  <c r="D167" i="21"/>
  <c r="E167" i="21"/>
  <c r="F167" i="21"/>
  <c r="B168" i="21"/>
  <c r="C168" i="21"/>
  <c r="D168" i="21"/>
  <c r="E168" i="21"/>
  <c r="F168" i="21"/>
  <c r="B169" i="21"/>
  <c r="C169" i="21"/>
  <c r="D169" i="21"/>
  <c r="E169" i="21"/>
  <c r="F169" i="21"/>
  <c r="B170" i="21"/>
  <c r="C170" i="21"/>
  <c r="D170" i="21"/>
  <c r="E170" i="21"/>
  <c r="F170" i="21"/>
  <c r="B171" i="21"/>
  <c r="C171" i="21"/>
  <c r="D171" i="21"/>
  <c r="E171" i="21"/>
  <c r="F171" i="21"/>
  <c r="B172" i="21"/>
  <c r="C172" i="21"/>
  <c r="D172" i="21"/>
  <c r="E172" i="21"/>
  <c r="F172" i="21"/>
  <c r="C6" i="21"/>
  <c r="D6" i="21"/>
  <c r="E6" i="21"/>
  <c r="F6" i="21"/>
  <c r="B6" i="21"/>
  <c r="G113" i="21"/>
  <c r="G172" i="21"/>
  <c r="G96" i="21"/>
  <c r="G157" i="21"/>
  <c r="G168" i="21"/>
  <c r="G163" i="21"/>
  <c r="G77" i="21"/>
  <c r="G114" i="21"/>
  <c r="G76" i="21"/>
  <c r="J157" i="21"/>
  <c r="K25" i="21"/>
  <c r="J160" i="21"/>
  <c r="K105" i="21"/>
  <c r="J27" i="21"/>
  <c r="K19" i="21"/>
  <c r="J148" i="21"/>
  <c r="J51" i="21"/>
  <c r="K153" i="21"/>
  <c r="K84" i="21"/>
  <c r="K98" i="21"/>
  <c r="K68" i="21"/>
  <c r="J132" i="21"/>
  <c r="J113" i="21"/>
  <c r="K125" i="21"/>
  <c r="J158" i="21"/>
  <c r="K8" i="21"/>
  <c r="K146" i="21"/>
  <c r="J122" i="21"/>
  <c r="K43" i="21"/>
  <c r="K133" i="21"/>
  <c r="J119" i="21"/>
  <c r="K72" i="21"/>
  <c r="K20" i="21"/>
  <c r="J164" i="21"/>
  <c r="K127" i="21"/>
  <c r="K95" i="21"/>
  <c r="K70" i="21"/>
  <c r="J46" i="21"/>
  <c r="J163" i="21"/>
  <c r="J54" i="21"/>
  <c r="K172" i="21"/>
  <c r="K65" i="21"/>
  <c r="K42" i="21"/>
  <c r="J170" i="21"/>
  <c r="K88" i="21"/>
  <c r="K49" i="21"/>
  <c r="K147" i="21"/>
  <c r="K63" i="21"/>
  <c r="J150" i="21"/>
  <c r="J97" i="21"/>
  <c r="J124" i="21"/>
  <c r="J38" i="21"/>
  <c r="K79" i="21"/>
  <c r="J112" i="21"/>
  <c r="K22" i="21"/>
  <c r="K59" i="21"/>
  <c r="J29" i="21"/>
  <c r="J108" i="21"/>
  <c r="K71" i="21"/>
  <c r="J13" i="21"/>
  <c r="J86" i="21"/>
  <c r="J171" i="21"/>
  <c r="J18" i="21"/>
  <c r="J36" i="21"/>
  <c r="J144" i="21"/>
  <c r="J87" i="21"/>
  <c r="J28" i="21"/>
  <c r="J135" i="21"/>
  <c r="J123" i="21"/>
  <c r="K107" i="21"/>
  <c r="J98" i="21"/>
  <c r="J120" i="21"/>
  <c r="J146" i="21"/>
  <c r="K155" i="21"/>
  <c r="K145" i="21"/>
  <c r="J111" i="21"/>
  <c r="K10" i="21"/>
  <c r="J90" i="21"/>
  <c r="J57" i="21"/>
  <c r="J72" i="21"/>
  <c r="K111" i="21"/>
  <c r="K130" i="21"/>
  <c r="K67" i="21"/>
  <c r="J35" i="21"/>
  <c r="J74" i="21"/>
  <c r="J96" i="21"/>
  <c r="J66" i="21"/>
  <c r="J23" i="21"/>
  <c r="J22" i="21"/>
  <c r="K56" i="21"/>
  <c r="J116" i="21"/>
  <c r="K24" i="21"/>
  <c r="J154" i="21"/>
  <c r="K41" i="21"/>
  <c r="K94" i="21"/>
  <c r="K132" i="21"/>
  <c r="J53" i="21"/>
  <c r="J49" i="21"/>
  <c r="K34" i="21"/>
  <c r="K96" i="21"/>
  <c r="K27" i="21"/>
  <c r="J19" i="21"/>
  <c r="K141" i="21"/>
  <c r="K50" i="21"/>
  <c r="K137" i="21"/>
  <c r="J11" i="21"/>
  <c r="K113" i="21"/>
  <c r="K40" i="21"/>
  <c r="K93" i="21"/>
  <c r="J75" i="21"/>
  <c r="K161" i="21"/>
  <c r="K52" i="21"/>
  <c r="J100" i="21"/>
  <c r="K61" i="21"/>
  <c r="K128" i="21"/>
  <c r="K6" i="21"/>
  <c r="J43" i="21"/>
  <c r="J114" i="21"/>
  <c r="J10" i="21"/>
  <c r="J39" i="21"/>
  <c r="J169" i="21"/>
  <c r="K157" i="21"/>
  <c r="J118" i="21"/>
  <c r="J159" i="21"/>
  <c r="J25" i="21"/>
  <c r="J31" i="21"/>
  <c r="J48" i="21"/>
  <c r="K47" i="21"/>
  <c r="K33" i="21"/>
  <c r="J40" i="21"/>
  <c r="K142" i="21"/>
  <c r="K104" i="21"/>
  <c r="K120" i="21"/>
  <c r="J107" i="21"/>
  <c r="K110" i="21"/>
  <c r="J105" i="21"/>
  <c r="K163" i="21"/>
  <c r="K124" i="21"/>
  <c r="J45" i="21"/>
  <c r="J15" i="21"/>
  <c r="K164" i="21"/>
  <c r="J24" i="21"/>
  <c r="K143" i="21"/>
  <c r="J21" i="21"/>
  <c r="J126" i="21"/>
  <c r="J94" i="21"/>
  <c r="K66" i="21"/>
  <c r="J166" i="21"/>
  <c r="K129" i="21"/>
  <c r="K83" i="21"/>
  <c r="K30" i="21"/>
  <c r="K45" i="21"/>
  <c r="J73" i="21"/>
  <c r="K15" i="21"/>
  <c r="K91" i="21"/>
  <c r="K51" i="21"/>
  <c r="J152" i="21"/>
  <c r="K9" i="21"/>
  <c r="K17" i="21"/>
  <c r="K38" i="21"/>
  <c r="K106" i="21"/>
  <c r="J80" i="21"/>
  <c r="K112" i="21"/>
  <c r="K92" i="21"/>
  <c r="K151" i="21"/>
  <c r="K156" i="21"/>
  <c r="K165" i="21"/>
  <c r="J41" i="21"/>
  <c r="J168" i="21"/>
  <c r="J155" i="21"/>
  <c r="K31" i="21"/>
  <c r="J130" i="21"/>
  <c r="J6" i="21"/>
  <c r="K36" i="21"/>
  <c r="K148" i="21"/>
  <c r="K144" i="21"/>
  <c r="J140" i="21"/>
  <c r="J16" i="21"/>
  <c r="K48" i="21"/>
  <c r="K116" i="21"/>
  <c r="K114" i="21"/>
  <c r="K117" i="21"/>
  <c r="K139" i="21"/>
  <c r="J109" i="21"/>
  <c r="J56" i="21"/>
  <c r="K118" i="21"/>
  <c r="K60" i="21"/>
  <c r="K54" i="21"/>
  <c r="J82" i="21"/>
  <c r="K73" i="21"/>
  <c r="K57" i="21"/>
  <c r="J142" i="21"/>
  <c r="J83" i="21"/>
  <c r="K158" i="21"/>
  <c r="J42" i="21"/>
  <c r="J12" i="21"/>
  <c r="K108" i="21"/>
  <c r="J102" i="21"/>
  <c r="J71" i="21"/>
  <c r="J32" i="21"/>
  <c r="K121" i="21"/>
  <c r="K87" i="21"/>
  <c r="J55" i="21"/>
  <c r="J84" i="21"/>
  <c r="K89" i="21"/>
  <c r="J14" i="21"/>
  <c r="J162" i="21"/>
  <c r="J143" i="21"/>
  <c r="K171" i="21"/>
  <c r="K99" i="21"/>
  <c r="J115" i="21"/>
  <c r="J59" i="21"/>
  <c r="J30" i="21"/>
  <c r="K166" i="21"/>
  <c r="J69" i="21"/>
  <c r="K21" i="21"/>
  <c r="K53" i="21"/>
  <c r="K123" i="21"/>
  <c r="K169" i="21"/>
  <c r="K134" i="21"/>
  <c r="K136" i="21"/>
  <c r="J8" i="21"/>
  <c r="J134" i="21"/>
  <c r="K23" i="21"/>
  <c r="J47" i="21"/>
  <c r="J110" i="21"/>
  <c r="J145" i="21"/>
  <c r="K44" i="21"/>
  <c r="K167" i="21"/>
  <c r="K168" i="21"/>
  <c r="J62" i="21"/>
  <c r="J137" i="21"/>
  <c r="J7" i="21"/>
  <c r="K97" i="21"/>
  <c r="J93" i="21"/>
  <c r="K58" i="21"/>
  <c r="J33" i="21"/>
  <c r="J172" i="21"/>
  <c r="K7" i="21"/>
  <c r="J101" i="21"/>
  <c r="K154" i="21"/>
  <c r="K16" i="21"/>
  <c r="J139" i="21"/>
  <c r="K100" i="21"/>
  <c r="K37" i="21"/>
  <c r="K82" i="21"/>
  <c r="K14" i="21"/>
  <c r="J60" i="21"/>
  <c r="J106" i="21"/>
  <c r="J165" i="21"/>
  <c r="K138" i="21"/>
  <c r="K170" i="21"/>
  <c r="K46" i="21"/>
  <c r="J103" i="21"/>
  <c r="K28" i="21"/>
  <c r="J88" i="21"/>
  <c r="K29" i="21"/>
  <c r="J149" i="21"/>
  <c r="J34" i="21"/>
  <c r="K39" i="21"/>
  <c r="K85" i="21"/>
  <c r="J44" i="21"/>
  <c r="K140" i="21"/>
  <c r="J147" i="21"/>
  <c r="J99" i="21"/>
  <c r="J141" i="21"/>
  <c r="J52" i="21"/>
  <c r="K150" i="21"/>
  <c r="J64" i="21"/>
  <c r="J131" i="21"/>
  <c r="K162" i="21"/>
  <c r="K119" i="21"/>
  <c r="J129" i="21"/>
  <c r="J161" i="21"/>
  <c r="J26" i="21"/>
  <c r="J104" i="21"/>
  <c r="K131" i="21"/>
  <c r="K55" i="21"/>
  <c r="K90" i="21"/>
  <c r="K126" i="21"/>
  <c r="J9" i="21"/>
  <c r="K76" i="21"/>
  <c r="K13" i="21"/>
  <c r="J128" i="21"/>
  <c r="J95" i="21"/>
  <c r="K109" i="21"/>
  <c r="K159" i="21"/>
  <c r="K74" i="21"/>
  <c r="J78" i="21"/>
  <c r="J85" i="21"/>
  <c r="J153" i="21"/>
  <c r="K101" i="21"/>
  <c r="J151" i="21"/>
  <c r="J58" i="21"/>
  <c r="J68" i="21"/>
  <c r="J61" i="21"/>
  <c r="K78" i="21"/>
  <c r="J156" i="21"/>
  <c r="J37" i="21"/>
  <c r="K80" i="21"/>
  <c r="J17" i="21"/>
  <c r="J125" i="21"/>
  <c r="K135" i="21"/>
  <c r="K69" i="21"/>
  <c r="J81" i="21"/>
  <c r="J92" i="21"/>
  <c r="K26" i="21"/>
  <c r="J76" i="21"/>
  <c r="K149" i="21"/>
  <c r="K102" i="21"/>
  <c r="J127" i="21"/>
  <c r="K122" i="21"/>
  <c r="K32" i="21"/>
  <c r="J63" i="21"/>
  <c r="J89" i="21"/>
  <c r="J20" i="21"/>
  <c r="J167" i="21"/>
  <c r="K64" i="21"/>
  <c r="J133" i="21"/>
  <c r="J136" i="21"/>
  <c r="K115" i="21"/>
  <c r="K160" i="21"/>
  <c r="K18" i="21"/>
  <c r="K62" i="21"/>
  <c r="J65" i="21"/>
  <c r="K81" i="21"/>
  <c r="J91" i="21"/>
  <c r="K103" i="21"/>
  <c r="K152" i="21"/>
  <c r="J138" i="21"/>
  <c r="K86" i="21"/>
  <c r="K12" i="21"/>
  <c r="K77" i="21"/>
  <c r="J77" i="21"/>
  <c r="J70" i="21"/>
  <c r="K35" i="21"/>
  <c r="J50" i="21"/>
  <c r="K75" i="21"/>
  <c r="J121" i="21"/>
  <c r="J67" i="21"/>
  <c r="J117" i="21"/>
  <c r="J79" i="21"/>
  <c r="K11" i="21"/>
  <c r="I37" i="21"/>
  <c r="H141" i="21"/>
  <c r="I122" i="21"/>
  <c r="H153" i="21"/>
  <c r="H119" i="21"/>
  <c r="H48" i="21"/>
  <c r="I110" i="21"/>
  <c r="I25" i="21"/>
  <c r="I139" i="21"/>
  <c r="I56" i="21"/>
  <c r="I132" i="21"/>
  <c r="H95" i="21"/>
  <c r="H76" i="21"/>
  <c r="I73" i="21"/>
  <c r="H24" i="21"/>
  <c r="H157" i="21"/>
  <c r="H80" i="21"/>
  <c r="I135" i="21"/>
  <c r="H101" i="21"/>
  <c r="H38" i="21"/>
  <c r="I152" i="21"/>
  <c r="H26" i="21"/>
  <c r="H72" i="21"/>
  <c r="H107" i="21"/>
  <c r="H18" i="21"/>
  <c r="H58" i="21"/>
  <c r="H168" i="21"/>
  <c r="H90" i="21"/>
  <c r="I12" i="21"/>
  <c r="I58" i="21"/>
  <c r="I65" i="21"/>
  <c r="H142" i="21"/>
  <c r="I150" i="21"/>
  <c r="H134" i="21"/>
  <c r="H155" i="21"/>
  <c r="I86" i="21"/>
  <c r="I13" i="21"/>
  <c r="I23" i="21"/>
  <c r="I57" i="21"/>
  <c r="H131" i="21"/>
  <c r="I124" i="21"/>
  <c r="I79" i="21"/>
  <c r="H109" i="21"/>
  <c r="H6" i="21"/>
  <c r="H33" i="21"/>
  <c r="I68" i="21"/>
  <c r="H122" i="21"/>
  <c r="I121" i="21"/>
  <c r="I96" i="21"/>
  <c r="H146" i="21"/>
  <c r="H93" i="21"/>
  <c r="I133" i="21"/>
  <c r="I67" i="21"/>
  <c r="I120" i="21"/>
  <c r="I160" i="21"/>
  <c r="I97" i="21"/>
  <c r="H57" i="21"/>
  <c r="I158" i="21"/>
  <c r="H22" i="21"/>
  <c r="H59" i="21"/>
  <c r="H44" i="21"/>
  <c r="I21" i="21"/>
  <c r="I95" i="21"/>
  <c r="H61" i="21"/>
  <c r="I49" i="21"/>
  <c r="I26" i="21"/>
  <c r="I77" i="21"/>
  <c r="H158" i="21"/>
  <c r="H105" i="21"/>
  <c r="I20" i="21"/>
  <c r="I60" i="21"/>
  <c r="H128" i="21"/>
  <c r="H20" i="21"/>
  <c r="I140" i="21"/>
  <c r="I130" i="21"/>
  <c r="I163" i="21"/>
  <c r="H133" i="21"/>
  <c r="H171" i="21"/>
  <c r="H78" i="21"/>
  <c r="I144" i="21"/>
  <c r="I43" i="21"/>
  <c r="H117" i="21"/>
  <c r="I63" i="21"/>
  <c r="I104" i="21"/>
  <c r="H70" i="21"/>
  <c r="H150" i="21"/>
  <c r="H160" i="21"/>
  <c r="H36" i="21"/>
  <c r="H45" i="21"/>
  <c r="H47" i="21"/>
  <c r="I171" i="21"/>
  <c r="I11" i="21"/>
  <c r="H104" i="21"/>
  <c r="I29" i="21"/>
  <c r="H85" i="21"/>
  <c r="H84" i="21"/>
  <c r="H13" i="21"/>
  <c r="H86" i="21"/>
  <c r="I71" i="21"/>
  <c r="I142" i="21"/>
  <c r="I41" i="21"/>
  <c r="I100" i="21"/>
  <c r="I161" i="21"/>
  <c r="H97" i="21"/>
  <c r="I50" i="21"/>
  <c r="H89" i="21"/>
  <c r="H125" i="21"/>
  <c r="H132" i="21"/>
  <c r="H73" i="21"/>
  <c r="I38" i="21"/>
  <c r="H25" i="21"/>
  <c r="H56" i="21"/>
  <c r="I118" i="21"/>
  <c r="H127" i="21"/>
  <c r="H49" i="21"/>
  <c r="H115" i="21"/>
  <c r="I106" i="21"/>
  <c r="H88" i="21"/>
  <c r="H27" i="21"/>
  <c r="I7" i="21"/>
  <c r="H103" i="21"/>
  <c r="H92" i="21"/>
  <c r="I70" i="21"/>
  <c r="H64" i="21"/>
  <c r="H156" i="21"/>
  <c r="H34" i="21"/>
  <c r="I113" i="21"/>
  <c r="H60" i="21"/>
  <c r="I154" i="21"/>
  <c r="H15" i="21"/>
  <c r="H151" i="21"/>
  <c r="H43" i="21"/>
  <c r="H94" i="21"/>
  <c r="H82" i="21"/>
  <c r="I114" i="21"/>
  <c r="I149" i="21"/>
  <c r="I125" i="21"/>
  <c r="H14" i="21"/>
  <c r="I136" i="21"/>
  <c r="I83" i="21"/>
  <c r="I48" i="21"/>
  <c r="I9" i="21"/>
  <c r="I46" i="21"/>
  <c r="I167" i="21"/>
  <c r="H169" i="21"/>
  <c r="I14" i="21"/>
  <c r="I103" i="21"/>
  <c r="I128" i="21"/>
  <c r="I169" i="21"/>
  <c r="I101" i="21"/>
  <c r="H148" i="21"/>
  <c r="H140" i="21"/>
  <c r="I141" i="21"/>
  <c r="H11" i="21"/>
  <c r="I45" i="21"/>
  <c r="H162" i="21"/>
  <c r="I51" i="21"/>
  <c r="I76" i="21"/>
  <c r="I105" i="21"/>
  <c r="I147" i="21"/>
  <c r="H77" i="21"/>
  <c r="I66" i="21"/>
  <c r="H65" i="21"/>
  <c r="H111" i="21"/>
  <c r="H154" i="21"/>
  <c r="I159" i="21"/>
  <c r="I47" i="21"/>
  <c r="H144" i="21"/>
  <c r="H28" i="21"/>
  <c r="I112" i="21"/>
  <c r="H102" i="21"/>
  <c r="H167" i="21"/>
  <c r="H12" i="21"/>
  <c r="H54" i="21"/>
  <c r="I102" i="21"/>
  <c r="I146" i="21"/>
  <c r="H121" i="21"/>
  <c r="I117" i="21"/>
  <c r="H31" i="21"/>
  <c r="H66" i="21"/>
  <c r="I165" i="21"/>
  <c r="I8" i="21"/>
  <c r="I108" i="21"/>
  <c r="I129" i="21"/>
  <c r="H42" i="21"/>
  <c r="H83" i="21"/>
  <c r="H40" i="21"/>
  <c r="H29" i="21"/>
  <c r="I18" i="21"/>
  <c r="I138" i="21"/>
  <c r="H41" i="21"/>
  <c r="I155" i="21"/>
  <c r="H8" i="21"/>
  <c r="I22" i="21"/>
  <c r="H21" i="21"/>
  <c r="I156" i="21"/>
  <c r="H96" i="21"/>
  <c r="I74" i="21"/>
  <c r="H79" i="21"/>
  <c r="H74" i="21"/>
  <c r="I89" i="21"/>
  <c r="I172" i="21"/>
  <c r="H52" i="21"/>
  <c r="I116" i="21"/>
  <c r="I94" i="21"/>
  <c r="I168" i="21"/>
  <c r="H143" i="21"/>
  <c r="H159" i="21"/>
  <c r="I109" i="21"/>
  <c r="H67" i="21"/>
  <c r="H164" i="21"/>
  <c r="I31" i="21"/>
  <c r="I36" i="21"/>
  <c r="H19" i="21"/>
  <c r="I162" i="21"/>
  <c r="H69" i="21"/>
  <c r="H23" i="21"/>
  <c r="I99" i="21"/>
  <c r="I85" i="21"/>
  <c r="H32" i="21"/>
  <c r="H116" i="21"/>
  <c r="I59" i="21"/>
  <c r="I127" i="21"/>
  <c r="I52" i="21"/>
  <c r="I30" i="21"/>
  <c r="I16" i="21"/>
  <c r="I148" i="21"/>
  <c r="H123" i="21"/>
  <c r="H100" i="21"/>
  <c r="I61" i="21"/>
  <c r="I98" i="21"/>
  <c r="I54" i="21"/>
  <c r="I164" i="21"/>
  <c r="H51" i="21"/>
  <c r="I34" i="21"/>
  <c r="I44" i="21"/>
  <c r="H145" i="21"/>
  <c r="H7" i="21"/>
  <c r="H99" i="21"/>
  <c r="H126" i="21"/>
  <c r="H139" i="21"/>
  <c r="I126" i="21"/>
  <c r="I32" i="21"/>
  <c r="I39" i="21"/>
  <c r="H165" i="21"/>
  <c r="H172" i="21"/>
  <c r="H63" i="21"/>
  <c r="H166" i="21"/>
  <c r="I84" i="21"/>
  <c r="I93" i="21"/>
  <c r="H68" i="21"/>
  <c r="H87" i="21"/>
  <c r="I134" i="21"/>
  <c r="H98" i="21"/>
  <c r="I40" i="21"/>
  <c r="I69" i="21"/>
  <c r="H16" i="21"/>
  <c r="I88" i="21"/>
  <c r="I24" i="21"/>
  <c r="H10" i="21"/>
  <c r="I17" i="21"/>
  <c r="H55" i="21"/>
  <c r="H152" i="21"/>
  <c r="H170" i="21"/>
  <c r="I78" i="21"/>
  <c r="H35" i="21"/>
  <c r="H112" i="21"/>
  <c r="I131" i="21"/>
  <c r="H17" i="21"/>
  <c r="I53" i="21"/>
  <c r="I90" i="21"/>
  <c r="H46" i="21"/>
  <c r="I123" i="21"/>
  <c r="H136" i="21"/>
  <c r="I64" i="21"/>
  <c r="H114" i="21"/>
  <c r="I6" i="21"/>
  <c r="H163" i="21"/>
  <c r="I81" i="21"/>
  <c r="I87" i="21"/>
  <c r="H129" i="21"/>
  <c r="H62" i="21"/>
  <c r="H30" i="21"/>
  <c r="I10" i="21"/>
  <c r="I91" i="21"/>
  <c r="I107" i="21"/>
  <c r="I33" i="21"/>
  <c r="I28" i="21"/>
  <c r="I15" i="21"/>
  <c r="H71" i="21"/>
  <c r="H110" i="21"/>
  <c r="I27" i="21"/>
  <c r="H130" i="21"/>
  <c r="H118" i="21"/>
  <c r="H9" i="21"/>
  <c r="I145" i="21"/>
  <c r="H120" i="21"/>
  <c r="I35" i="21"/>
  <c r="H91" i="21"/>
  <c r="I157" i="21"/>
  <c r="H39" i="21"/>
  <c r="I115" i="21"/>
  <c r="I170" i="21"/>
  <c r="I55" i="21"/>
  <c r="I143" i="21"/>
  <c r="H124" i="21"/>
  <c r="H149" i="21"/>
  <c r="H75" i="21"/>
  <c r="I19" i="21"/>
  <c r="H137" i="21"/>
  <c r="H106" i="21"/>
  <c r="I62" i="21"/>
  <c r="I82" i="21"/>
  <c r="H161" i="21"/>
  <c r="I72" i="21"/>
  <c r="H147" i="21"/>
  <c r="I153" i="21"/>
  <c r="H135" i="21"/>
  <c r="H81" i="21"/>
  <c r="H108" i="21"/>
  <c r="I75" i="21"/>
  <c r="I92" i="21"/>
  <c r="I111" i="21"/>
  <c r="I42" i="21"/>
  <c r="I137" i="21"/>
  <c r="H37" i="21"/>
  <c r="I119" i="21"/>
  <c r="H50" i="21"/>
  <c r="H138" i="21"/>
  <c r="I80" i="21"/>
  <c r="H53" i="21"/>
  <c r="H113" i="21"/>
  <c r="I151" i="21"/>
  <c r="I166" i="21"/>
  <c r="F4" i="21" l="1"/>
  <c r="E4" i="21"/>
  <c r="D4" i="21"/>
  <c r="C4" i="21"/>
  <c r="B4" i="21"/>
  <c r="A4" i="21"/>
  <c r="E3" i="21"/>
  <c r="D3" i="21"/>
  <c r="C3" i="21"/>
  <c r="B3" i="21"/>
  <c r="A3" i="21"/>
  <c r="F2" i="21"/>
  <c r="E2" i="21"/>
  <c r="D2" i="21"/>
  <c r="C2" i="21"/>
  <c r="B2" i="21"/>
  <c r="A2" i="21"/>
  <c r="F1" i="21"/>
  <c r="E1" i="21"/>
  <c r="D1" i="21"/>
  <c r="C1" i="21"/>
  <c r="B1" i="21"/>
  <c r="A1" i="21"/>
  <c r="U114" i="1" l="1"/>
  <c r="D142" i="18" l="1"/>
  <c r="D10" i="1" l="1"/>
  <c r="D16" i="1"/>
  <c r="D53" i="1"/>
  <c r="D64" i="1"/>
  <c r="D87" i="1"/>
  <c r="D111" i="1"/>
  <c r="D134" i="1"/>
  <c r="D146" i="1"/>
  <c r="D158" i="1"/>
  <c r="D169" i="1"/>
  <c r="D18" i="1"/>
  <c r="D43" i="1"/>
  <c r="D66" i="1"/>
  <c r="D89" i="1"/>
  <c r="D113" i="1"/>
  <c r="D136" i="1"/>
  <c r="D160" i="1"/>
  <c r="D98" i="1"/>
  <c r="D17" i="1"/>
  <c r="D54" i="1"/>
  <c r="D65" i="1"/>
  <c r="D77" i="1"/>
  <c r="D88" i="1"/>
  <c r="D100" i="1"/>
  <c r="D112" i="1"/>
  <c r="D123" i="1"/>
  <c r="D135" i="1"/>
  <c r="D147" i="1"/>
  <c r="D159" i="1"/>
  <c r="D170" i="1"/>
  <c r="D55" i="1"/>
  <c r="D78" i="1"/>
  <c r="D101" i="1"/>
  <c r="D124" i="1"/>
  <c r="D148" i="1"/>
  <c r="D171" i="1"/>
  <c r="D133" i="1"/>
  <c r="D157" i="1"/>
  <c r="D19" i="1"/>
  <c r="D56" i="1"/>
  <c r="D67" i="1"/>
  <c r="D79" i="1"/>
  <c r="D90" i="1"/>
  <c r="D102" i="1"/>
  <c r="D149" i="1"/>
  <c r="D161" i="1"/>
  <c r="D172" i="1"/>
  <c r="D154" i="1"/>
  <c r="D15" i="1"/>
  <c r="D110" i="1"/>
  <c r="D45" i="1"/>
  <c r="D57" i="1"/>
  <c r="D68" i="1"/>
  <c r="D80" i="1"/>
  <c r="D91" i="1"/>
  <c r="D103" i="1"/>
  <c r="D115" i="1"/>
  <c r="D126" i="1"/>
  <c r="D138" i="1"/>
  <c r="D162" i="1"/>
  <c r="D173" i="1"/>
  <c r="D52" i="1"/>
  <c r="D75" i="1"/>
  <c r="D168" i="1"/>
  <c r="D9" i="1"/>
  <c r="D46" i="1"/>
  <c r="D58" i="1"/>
  <c r="D69" i="1"/>
  <c r="D104" i="1"/>
  <c r="D116" i="1"/>
  <c r="D127" i="1"/>
  <c r="D139" i="1"/>
  <c r="D151" i="1"/>
  <c r="D163" i="1"/>
  <c r="D130" i="1"/>
  <c r="D121" i="1"/>
  <c r="D47" i="1"/>
  <c r="D59" i="1"/>
  <c r="D70" i="1"/>
  <c r="D82" i="1"/>
  <c r="D93" i="1"/>
  <c r="D105" i="1"/>
  <c r="D140" i="1"/>
  <c r="D152" i="1"/>
  <c r="D153" i="1"/>
  <c r="D12" i="1"/>
  <c r="D72" i="1"/>
  <c r="D95" i="1"/>
  <c r="D118" i="1"/>
  <c r="D145" i="1"/>
  <c r="D11" i="1"/>
  <c r="D48" i="1"/>
  <c r="D60" i="1"/>
  <c r="D71" i="1"/>
  <c r="D83" i="1"/>
  <c r="D106" i="1"/>
  <c r="D117" i="1"/>
  <c r="D129" i="1"/>
  <c r="D61" i="1"/>
  <c r="D107" i="1"/>
  <c r="D142" i="1"/>
  <c r="D86" i="1"/>
  <c r="D13" i="1"/>
  <c r="D50" i="1"/>
  <c r="D62" i="1"/>
  <c r="D73" i="1"/>
  <c r="D84" i="1"/>
  <c r="D96" i="1"/>
  <c r="D108" i="1"/>
  <c r="D119" i="1"/>
  <c r="D131" i="1"/>
  <c r="D143" i="1"/>
  <c r="D155" i="1"/>
  <c r="D166" i="1"/>
  <c r="D144" i="1"/>
  <c r="D156" i="1"/>
  <c r="D14" i="1"/>
  <c r="D51" i="1"/>
  <c r="D63" i="1"/>
  <c r="D74" i="1"/>
  <c r="D85" i="1"/>
  <c r="D97" i="1"/>
  <c r="D109" i="1"/>
  <c r="D120" i="1"/>
  <c r="D26" i="1" l="1"/>
  <c r="U26" i="1" s="1"/>
  <c r="V26" i="1"/>
  <c r="D33" i="1"/>
  <c r="U33" i="1" s="1"/>
  <c r="V33" i="1"/>
  <c r="D21" i="1"/>
  <c r="U21" i="1" s="1"/>
  <c r="V21" i="1"/>
  <c r="D32" i="1"/>
  <c r="U32" i="1" s="1"/>
  <c r="V32" i="1"/>
  <c r="D42" i="1"/>
  <c r="U42" i="1" s="1"/>
  <c r="V42" i="1"/>
  <c r="D28" i="1"/>
  <c r="U28" i="1" s="1"/>
  <c r="V28" i="1"/>
  <c r="D37" i="1"/>
  <c r="U37" i="1" s="1"/>
  <c r="V37" i="1"/>
  <c r="D35" i="1"/>
  <c r="U35" i="1" s="1"/>
  <c r="V35" i="1"/>
  <c r="D24" i="1"/>
  <c r="U24" i="1" s="1"/>
  <c r="V24" i="1"/>
  <c r="D27" i="1"/>
  <c r="U27" i="1" s="1"/>
  <c r="V27" i="1"/>
  <c r="D29" i="1"/>
  <c r="U29" i="1" s="1"/>
  <c r="V29" i="1"/>
  <c r="D34" i="1"/>
  <c r="U34" i="1" s="1"/>
  <c r="V34" i="1"/>
  <c r="D41" i="1"/>
  <c r="U41" i="1" s="1"/>
  <c r="V41" i="1"/>
  <c r="D38" i="1"/>
  <c r="U38" i="1" s="1"/>
  <c r="V38" i="1"/>
  <c r="D23" i="1"/>
  <c r="U23" i="1" s="1"/>
  <c r="V23" i="1"/>
  <c r="D30" i="1"/>
  <c r="U30" i="1" s="1"/>
  <c r="V30" i="1"/>
  <c r="D31" i="1"/>
  <c r="U31" i="1" s="1"/>
  <c r="V31" i="1"/>
  <c r="D36" i="1"/>
  <c r="U36" i="1" s="1"/>
  <c r="V36" i="1"/>
  <c r="D40" i="1"/>
  <c r="U40" i="1" s="1"/>
  <c r="V40" i="1"/>
  <c r="D25" i="1"/>
  <c r="U25" i="1" s="1"/>
  <c r="V25" i="1"/>
  <c r="D20" i="1"/>
  <c r="U20" i="1" s="1"/>
  <c r="V20" i="1"/>
  <c r="V170" i="1"/>
  <c r="D170" i="45"/>
  <c r="V69" i="1"/>
  <c r="V138" i="1"/>
  <c r="V110" i="1"/>
  <c r="V19" i="1"/>
  <c r="D19" i="45"/>
  <c r="V159" i="1"/>
  <c r="V17" i="1"/>
  <c r="D17" i="45"/>
  <c r="V134" i="1"/>
  <c r="V92" i="1"/>
  <c r="V62" i="1"/>
  <c r="V58" i="1"/>
  <c r="V126" i="1"/>
  <c r="V15" i="1"/>
  <c r="D15" i="45"/>
  <c r="V7" i="1"/>
  <c r="V147" i="1"/>
  <c r="V98" i="1"/>
  <c r="V111" i="1"/>
  <c r="V146" i="1"/>
  <c r="V153" i="1"/>
  <c r="V121" i="1"/>
  <c r="V46" i="1"/>
  <c r="V115" i="1"/>
  <c r="D115" i="45"/>
  <c r="V154" i="1"/>
  <c r="V157" i="1"/>
  <c r="V135" i="1"/>
  <c r="V160" i="1"/>
  <c r="V87" i="1"/>
  <c r="D87" i="45"/>
  <c r="V117" i="1"/>
  <c r="V14" i="1"/>
  <c r="D14" i="45"/>
  <c r="V144" i="1"/>
  <c r="D144" i="45"/>
  <c r="V60" i="1"/>
  <c r="V152" i="1"/>
  <c r="V103" i="1"/>
  <c r="V172" i="1"/>
  <c r="D172" i="45"/>
  <c r="V133" i="1"/>
  <c r="V123" i="1"/>
  <c r="V136" i="1"/>
  <c r="V64" i="1"/>
  <c r="V47" i="1"/>
  <c r="V12" i="1"/>
  <c r="D12" i="45"/>
  <c r="V48" i="1"/>
  <c r="V130" i="1"/>
  <c r="D130" i="45"/>
  <c r="V91" i="1"/>
  <c r="V161" i="1"/>
  <c r="D161" i="45"/>
  <c r="V171" i="1"/>
  <c r="V112" i="1"/>
  <c r="V113" i="1"/>
  <c r="V53" i="1"/>
  <c r="D53" i="45"/>
  <c r="V73" i="1"/>
  <c r="V163" i="1"/>
  <c r="D163" i="45"/>
  <c r="V9" i="1"/>
  <c r="D9" i="45"/>
  <c r="V80" i="1"/>
  <c r="V149" i="1"/>
  <c r="D149" i="45"/>
  <c r="V148" i="1"/>
  <c r="V100" i="1"/>
  <c r="V89" i="1"/>
  <c r="D89" i="45"/>
  <c r="V106" i="1"/>
  <c r="V71" i="1"/>
  <c r="D71" i="45"/>
  <c r="V86" i="1"/>
  <c r="V97" i="1"/>
  <c r="V105" i="1"/>
  <c r="D105" i="45"/>
  <c r="V151" i="1"/>
  <c r="V168" i="1"/>
  <c r="V68" i="1"/>
  <c r="V102" i="1"/>
  <c r="D102" i="45"/>
  <c r="V124" i="1"/>
  <c r="D124" i="45"/>
  <c r="V88" i="1"/>
  <c r="D88" i="45"/>
  <c r="V66" i="1"/>
  <c r="V50" i="1"/>
  <c r="V155" i="1"/>
  <c r="V109" i="1"/>
  <c r="V85" i="1"/>
  <c r="V142" i="1"/>
  <c r="D142" i="45"/>
  <c r="V11" i="1"/>
  <c r="D11" i="45"/>
  <c r="V93" i="1"/>
  <c r="V139" i="1"/>
  <c r="V75" i="1"/>
  <c r="V57" i="1"/>
  <c r="V90" i="1"/>
  <c r="D90" i="45"/>
  <c r="V101" i="1"/>
  <c r="V77" i="1"/>
  <c r="V43" i="1"/>
  <c r="V16" i="1"/>
  <c r="D16" i="45"/>
  <c r="V72" i="1"/>
  <c r="V166" i="1"/>
  <c r="D166" i="45"/>
  <c r="V143" i="1"/>
  <c r="V119" i="1"/>
  <c r="V108" i="1"/>
  <c r="V107" i="1"/>
  <c r="D107" i="45"/>
  <c r="V145" i="1"/>
  <c r="D141" i="45"/>
  <c r="V82" i="1"/>
  <c r="V127" i="1"/>
  <c r="V52" i="1"/>
  <c r="V45" i="1"/>
  <c r="V79" i="1"/>
  <c r="V78" i="1"/>
  <c r="V65" i="1"/>
  <c r="V18" i="1"/>
  <c r="D18" i="45"/>
  <c r="V162" i="1"/>
  <c r="D162" i="45"/>
  <c r="V83" i="1"/>
  <c r="V13" i="1"/>
  <c r="D13" i="45"/>
  <c r="V74" i="1"/>
  <c r="V63" i="1"/>
  <c r="V96" i="1"/>
  <c r="D96" i="45"/>
  <c r="V61" i="1"/>
  <c r="V118" i="1"/>
  <c r="V70" i="1"/>
  <c r="V116" i="1"/>
  <c r="D26" i="45"/>
  <c r="V67" i="1"/>
  <c r="V55" i="1"/>
  <c r="V54" i="1"/>
  <c r="V169" i="1"/>
  <c r="V10" i="1"/>
  <c r="D10" i="45"/>
  <c r="V8" i="1"/>
  <c r="D8" i="45"/>
  <c r="V156" i="1"/>
  <c r="V120" i="1"/>
  <c r="V140" i="1"/>
  <c r="V131" i="1"/>
  <c r="D131" i="45"/>
  <c r="V51" i="1"/>
  <c r="V84" i="1"/>
  <c r="D84" i="45"/>
  <c r="V129" i="1"/>
  <c r="D129" i="45"/>
  <c r="V95" i="1"/>
  <c r="V59" i="1"/>
  <c r="D59" i="45"/>
  <c r="V104" i="1"/>
  <c r="V173" i="1"/>
  <c r="V56" i="1"/>
  <c r="D56" i="45"/>
  <c r="V158" i="1"/>
  <c r="D158" i="45"/>
  <c r="D30" i="45" l="1"/>
  <c r="D25" i="45"/>
  <c r="D29" i="45"/>
  <c r="D21" i="45"/>
  <c r="D31" i="45"/>
  <c r="D42" i="45"/>
  <c r="D20" i="45"/>
  <c r="D23" i="45"/>
  <c r="V174" i="1"/>
  <c r="D65" i="45"/>
  <c r="D86" i="45"/>
  <c r="D77" i="45"/>
  <c r="D120" i="45"/>
  <c r="D74" i="45"/>
  <c r="D66" i="45"/>
  <c r="D68" i="45"/>
  <c r="D32" i="45"/>
  <c r="D171" i="45"/>
  <c r="D167" i="45"/>
  <c r="D57" i="45"/>
  <c r="D156" i="45"/>
  <c r="D116" i="45"/>
  <c r="D52" i="45"/>
  <c r="D136" i="45"/>
  <c r="D103" i="45"/>
  <c r="D99" i="45"/>
  <c r="D58" i="45"/>
  <c r="D80" i="45"/>
  <c r="D76" i="45"/>
  <c r="D75" i="45"/>
  <c r="D50" i="45"/>
  <c r="D70" i="45"/>
  <c r="D63" i="45"/>
  <c r="D127" i="45"/>
  <c r="D108" i="45"/>
  <c r="D37" i="45"/>
  <c r="D91" i="45"/>
  <c r="D46" i="45"/>
  <c r="D159" i="45"/>
  <c r="D101" i="45"/>
  <c r="D139" i="45"/>
  <c r="D85" i="45"/>
  <c r="D140" i="45"/>
  <c r="D118" i="45"/>
  <c r="D114" i="45"/>
  <c r="D79" i="45"/>
  <c r="D82" i="45"/>
  <c r="D152" i="45"/>
  <c r="D112" i="45"/>
  <c r="D157" i="45"/>
  <c r="D109" i="45"/>
  <c r="D64" i="45"/>
  <c r="D169" i="45"/>
  <c r="D165" i="45"/>
  <c r="D168" i="45"/>
  <c r="D164" i="45"/>
  <c r="D154" i="45"/>
  <c r="D153" i="45"/>
  <c r="D33" i="45"/>
  <c r="D61" i="45"/>
  <c r="D36" i="45"/>
  <c r="D93" i="45"/>
  <c r="D106" i="45"/>
  <c r="D47" i="45"/>
  <c r="D133" i="45"/>
  <c r="D135" i="45"/>
  <c r="D138" i="45"/>
  <c r="D145" i="45"/>
  <c r="D122" i="45"/>
  <c r="D143" i="45"/>
  <c r="D40" i="45"/>
  <c r="D148" i="45"/>
  <c r="D125" i="45"/>
  <c r="D24" i="45"/>
  <c r="D146" i="45"/>
  <c r="D45" i="45"/>
  <c r="D22" i="45"/>
  <c r="D51" i="45"/>
  <c r="D54" i="45"/>
  <c r="D28" i="45"/>
  <c r="D155" i="45"/>
  <c r="D132" i="45"/>
  <c r="D97" i="45"/>
  <c r="D117" i="45"/>
  <c r="D94" i="45"/>
  <c r="D121" i="45"/>
  <c r="D62" i="45"/>
  <c r="D39" i="45"/>
  <c r="D69" i="45"/>
  <c r="D43" i="45"/>
  <c r="D73" i="45"/>
  <c r="D60" i="45"/>
  <c r="D111" i="45"/>
  <c r="D104" i="45"/>
  <c r="D81" i="45"/>
  <c r="D95" i="45"/>
  <c r="D55" i="45"/>
  <c r="D83" i="45"/>
  <c r="D151" i="45"/>
  <c r="D128" i="45"/>
  <c r="D41" i="45"/>
  <c r="D48" i="45"/>
  <c r="D92" i="45"/>
  <c r="D35" i="45"/>
  <c r="D78" i="45"/>
  <c r="D27" i="45"/>
  <c r="D98" i="45"/>
  <c r="D126" i="45"/>
  <c r="D173" i="45"/>
  <c r="D150" i="45"/>
  <c r="D67" i="45"/>
  <c r="D44" i="45"/>
  <c r="D72" i="45"/>
  <c r="D49" i="45"/>
  <c r="D123" i="45"/>
  <c r="D34" i="45"/>
  <c r="D160" i="45"/>
  <c r="D137" i="45"/>
  <c r="D38" i="45"/>
  <c r="D134" i="45"/>
  <c r="D110" i="45"/>
  <c r="D119" i="45"/>
  <c r="D100" i="45"/>
  <c r="D113" i="45"/>
  <c r="D147" i="45"/>
  <c r="D7" i="45"/>
  <c r="U7" i="1"/>
  <c r="G171" i="23" l="1"/>
  <c r="G174" i="22" l="1"/>
  <c r="X9" i="1" l="1"/>
  <c r="X10" i="1"/>
  <c r="X11" i="1"/>
  <c r="X12" i="1"/>
  <c r="X13" i="1"/>
  <c r="F13" i="1" s="1"/>
  <c r="X14" i="1"/>
  <c r="X15" i="1"/>
  <c r="X16" i="1"/>
  <c r="X17" i="1"/>
  <c r="X18" i="1"/>
  <c r="X19" i="1"/>
  <c r="X44" i="1"/>
  <c r="X45" i="1"/>
  <c r="X46" i="1"/>
  <c r="X52" i="1"/>
  <c r="X58" i="1"/>
  <c r="X65" i="1"/>
  <c r="X68" i="1"/>
  <c r="X71" i="1"/>
  <c r="X80" i="1"/>
  <c r="X84" i="1"/>
  <c r="X91" i="1"/>
  <c r="F91" i="1" s="1"/>
  <c r="X92" i="1"/>
  <c r="F92" i="1" s="1"/>
  <c r="X93" i="1"/>
  <c r="X97" i="1"/>
  <c r="X104" i="1"/>
  <c r="F104" i="1" s="1"/>
  <c r="X105" i="1"/>
  <c r="X106" i="1"/>
  <c r="X110" i="1"/>
  <c r="X116" i="1"/>
  <c r="X118" i="1"/>
  <c r="X122" i="1"/>
  <c r="X123" i="1"/>
  <c r="X131" i="1"/>
  <c r="X135" i="1"/>
  <c r="X137" i="1"/>
  <c r="X140" i="1"/>
  <c r="X144" i="1"/>
  <c r="X149" i="1"/>
  <c r="F149" i="1" s="1"/>
  <c r="X150" i="1"/>
  <c r="X157" i="1"/>
  <c r="X162" i="1"/>
  <c r="X163" i="1"/>
  <c r="X164" i="1"/>
  <c r="X172" i="1"/>
  <c r="X170" i="1"/>
  <c r="X173" i="1"/>
  <c r="F173" i="1" s="1"/>
  <c r="G19" i="45" l="1"/>
  <c r="G18" i="45"/>
  <c r="G17" i="45"/>
  <c r="G16" i="45"/>
  <c r="G170" i="45"/>
  <c r="G172" i="45"/>
  <c r="G15" i="45"/>
  <c r="G14" i="45"/>
  <c r="G12" i="45"/>
  <c r="G11" i="45"/>
  <c r="G10" i="45"/>
  <c r="G9" i="45"/>
  <c r="G140" i="45"/>
  <c r="G93" i="45"/>
  <c r="G162" i="45"/>
  <c r="G157" i="45"/>
  <c r="G23" i="45"/>
  <c r="G22" i="45"/>
  <c r="G164" i="45"/>
  <c r="X7" i="1"/>
  <c r="X158" i="1"/>
  <c r="G42" i="45"/>
  <c r="X111" i="1"/>
  <c r="X72" i="1"/>
  <c r="X159" i="1"/>
  <c r="X146" i="1"/>
  <c r="F146" i="1" s="1"/>
  <c r="X145" i="1"/>
  <c r="X132" i="1"/>
  <c r="F132" i="1" s="1"/>
  <c r="X98" i="1"/>
  <c r="X85" i="1"/>
  <c r="X147" i="1"/>
  <c r="X133" i="1"/>
  <c r="X108" i="1"/>
  <c r="X95" i="1"/>
  <c r="F95" i="1" s="1"/>
  <c r="X119" i="1"/>
  <c r="X82" i="1"/>
  <c r="X69" i="1"/>
  <c r="X151" i="1"/>
  <c r="X138" i="1"/>
  <c r="X125" i="1"/>
  <c r="X73" i="1"/>
  <c r="X61" i="1"/>
  <c r="X48" i="1"/>
  <c r="G35" i="45"/>
  <c r="X112" i="1"/>
  <c r="X99" i="1"/>
  <c r="X60" i="1"/>
  <c r="X47" i="1"/>
  <c r="X56" i="1"/>
  <c r="X128" i="1"/>
  <c r="X63" i="1"/>
  <c r="X79" i="1"/>
  <c r="X53" i="1"/>
  <c r="X152" i="1"/>
  <c r="X50" i="1"/>
  <c r="X161" i="1"/>
  <c r="X134" i="1"/>
  <c r="F134" i="1" s="1"/>
  <c r="X83" i="1"/>
  <c r="X70" i="1"/>
  <c r="X57" i="1"/>
  <c r="X86" i="1"/>
  <c r="X121" i="1"/>
  <c r="X139" i="1"/>
  <c r="X126" i="1"/>
  <c r="X100" i="1"/>
  <c r="X87" i="1"/>
  <c r="X148" i="1"/>
  <c r="X59" i="1"/>
  <c r="X167" i="1"/>
  <c r="F167" i="1" s="1"/>
  <c r="X155" i="1"/>
  <c r="X166" i="1"/>
  <c r="X165" i="1"/>
  <c r="X153" i="1"/>
  <c r="X114" i="1"/>
  <c r="F114" i="1" s="1"/>
  <c r="X75" i="1"/>
  <c r="X74" i="1"/>
  <c r="X62" i="1"/>
  <c r="X49" i="1"/>
  <c r="G36" i="45"/>
  <c r="X136" i="1"/>
  <c r="X124" i="1"/>
  <c r="X113" i="1"/>
  <c r="X109" i="1"/>
  <c r="X96" i="1"/>
  <c r="F96" i="1" s="1"/>
  <c r="X101" i="1"/>
  <c r="X120" i="1"/>
  <c r="X89" i="1"/>
  <c r="X107" i="1"/>
  <c r="X94" i="1"/>
  <c r="X78" i="1"/>
  <c r="F78" i="1" s="1"/>
  <c r="X169" i="1"/>
  <c r="X81" i="1"/>
  <c r="X66" i="1"/>
  <c r="F66" i="1" s="1"/>
  <c r="X168" i="1"/>
  <c r="X156" i="1"/>
  <c r="X143" i="1"/>
  <c r="X130" i="1"/>
  <c r="X117" i="1"/>
  <c r="F117" i="1" s="1"/>
  <c r="X67" i="1"/>
  <c r="X54" i="1"/>
  <c r="X55" i="1"/>
  <c r="X142" i="1"/>
  <c r="X129" i="1"/>
  <c r="X43" i="1"/>
  <c r="X154" i="1"/>
  <c r="X141" i="1"/>
  <c r="X103" i="1"/>
  <c r="X90" i="1"/>
  <c r="X77" i="1"/>
  <c r="X64" i="1"/>
  <c r="X171" i="1"/>
  <c r="X127" i="1"/>
  <c r="X115" i="1"/>
  <c r="X102" i="1"/>
  <c r="F102" i="1" s="1"/>
  <c r="X88" i="1"/>
  <c r="X76" i="1"/>
  <c r="X51" i="1"/>
  <c r="G38" i="45"/>
  <c r="X160" i="1"/>
  <c r="U173" i="1"/>
  <c r="X8" i="1"/>
  <c r="G41" i="45" l="1"/>
  <c r="G121" i="45"/>
  <c r="G151" i="45"/>
  <c r="G59" i="45"/>
  <c r="G171" i="45"/>
  <c r="G101" i="45"/>
  <c r="G153" i="45"/>
  <c r="G159" i="45"/>
  <c r="G129" i="45"/>
  <c r="G44" i="45"/>
  <c r="G57" i="45"/>
  <c r="G165" i="45"/>
  <c r="G160" i="45"/>
  <c r="G103" i="45"/>
  <c r="G37" i="45"/>
  <c r="G168" i="45"/>
  <c r="G166" i="45"/>
  <c r="G70" i="45"/>
  <c r="G141" i="45"/>
  <c r="G154" i="45"/>
  <c r="G112" i="45"/>
  <c r="G158" i="45"/>
  <c r="G76" i="45"/>
  <c r="G48" i="45"/>
  <c r="X174" i="1"/>
  <c r="G8" i="45"/>
  <c r="G61" i="45"/>
  <c r="G45" i="45"/>
  <c r="G136" i="45"/>
  <c r="G71" i="45"/>
  <c r="G127" i="45"/>
  <c r="G31" i="45"/>
  <c r="G84" i="45"/>
  <c r="G89" i="45"/>
  <c r="G90" i="45"/>
  <c r="G143" i="45"/>
  <c r="G156" i="45"/>
  <c r="G124" i="45"/>
  <c r="G83" i="45"/>
  <c r="G108" i="45"/>
  <c r="G115" i="45"/>
  <c r="G161" i="45"/>
  <c r="G82" i="45"/>
  <c r="G155" i="45"/>
  <c r="G99" i="45"/>
  <c r="G148" i="45"/>
  <c r="G147" i="45"/>
  <c r="G152" i="45"/>
  <c r="G77" i="45"/>
  <c r="G97" i="45"/>
  <c r="G75" i="45"/>
  <c r="G139" i="45"/>
  <c r="G138" i="45"/>
  <c r="G63" i="45"/>
  <c r="G125" i="45"/>
  <c r="G137" i="45"/>
  <c r="G86" i="45"/>
  <c r="G52" i="45"/>
  <c r="G56" i="45"/>
  <c r="G33" i="45"/>
  <c r="G105" i="45"/>
  <c r="G80" i="45"/>
  <c r="G34" i="45"/>
  <c r="G122" i="45"/>
  <c r="G51" i="45"/>
  <c r="G28" i="45"/>
  <c r="G20" i="45"/>
  <c r="G47" i="45"/>
  <c r="G24" i="45"/>
  <c r="G116" i="45"/>
  <c r="G60" i="45"/>
  <c r="G119" i="45"/>
  <c r="G58" i="45"/>
  <c r="G131" i="45"/>
  <c r="G49" i="45"/>
  <c r="G26" i="45"/>
  <c r="G50" i="45"/>
  <c r="G27" i="45"/>
  <c r="G106" i="45"/>
  <c r="G65" i="45"/>
  <c r="G135" i="45"/>
  <c r="G54" i="45"/>
  <c r="G107" i="45"/>
  <c r="G40" i="45"/>
  <c r="G133" i="45"/>
  <c r="G39" i="45"/>
  <c r="G64" i="45"/>
  <c r="G67" i="45"/>
  <c r="G53" i="45"/>
  <c r="G30" i="45"/>
  <c r="G46" i="45"/>
  <c r="G120" i="45"/>
  <c r="G85" i="45"/>
  <c r="G118" i="45"/>
  <c r="E179" i="11"/>
  <c r="F179" i="11"/>
  <c r="G179" i="11"/>
  <c r="U14" i="1"/>
  <c r="U47" i="1"/>
  <c r="U49" i="1"/>
  <c r="U57" i="1"/>
  <c r="U59" i="1"/>
  <c r="U61" i="1"/>
  <c r="U70" i="1"/>
  <c r="U72" i="1"/>
  <c r="U80" i="1"/>
  <c r="U82" i="1"/>
  <c r="U93" i="1"/>
  <c r="U95" i="1"/>
  <c r="U99" i="1"/>
  <c r="U103" i="1"/>
  <c r="U104" i="1"/>
  <c r="U105" i="1"/>
  <c r="U109" i="1"/>
  <c r="U118" i="1"/>
  <c r="U128" i="1"/>
  <c r="U130" i="1"/>
  <c r="U140" i="1"/>
  <c r="U142" i="1"/>
  <c r="U152" i="1"/>
  <c r="U154" i="1"/>
  <c r="U165" i="1"/>
  <c r="U12" i="1"/>
  <c r="U15" i="1"/>
  <c r="U44" i="1"/>
  <c r="U50" i="1"/>
  <c r="U56" i="1"/>
  <c r="U62" i="1"/>
  <c r="U67" i="1"/>
  <c r="U73" i="1"/>
  <c r="U79" i="1"/>
  <c r="U84" i="1"/>
  <c r="U90" i="1"/>
  <c r="U96" i="1"/>
  <c r="U102" i="1"/>
  <c r="U107" i="1"/>
  <c r="U108" i="1"/>
  <c r="U111" i="1"/>
  <c r="U119" i="1"/>
  <c r="U122" i="1"/>
  <c r="U125" i="1"/>
  <c r="U131" i="1"/>
  <c r="U137" i="1"/>
  <c r="U143" i="1"/>
  <c r="U149" i="1"/>
  <c r="U150" i="1"/>
  <c r="U155" i="1"/>
  <c r="U161" i="1"/>
  <c r="U166" i="1"/>
  <c r="U169" i="1"/>
  <c r="U172" i="1"/>
  <c r="U167" i="1" l="1"/>
  <c r="U156" i="1"/>
  <c r="U144" i="1"/>
  <c r="U132" i="1"/>
  <c r="U120" i="1"/>
  <c r="U97" i="1"/>
  <c r="U85" i="1"/>
  <c r="U74" i="1"/>
  <c r="U63" i="1"/>
  <c r="U51" i="1"/>
  <c r="U16" i="1"/>
  <c r="U164" i="1"/>
  <c r="U153" i="1"/>
  <c r="U141" i="1"/>
  <c r="U129" i="1"/>
  <c r="U117" i="1"/>
  <c r="U106" i="1"/>
  <c r="U94" i="1"/>
  <c r="U83" i="1"/>
  <c r="U71" i="1"/>
  <c r="U60" i="1"/>
  <c r="U48" i="1"/>
  <c r="U13" i="1"/>
  <c r="U163" i="1"/>
  <c r="U151" i="1"/>
  <c r="U139" i="1"/>
  <c r="U127" i="1"/>
  <c r="U116" i="1"/>
  <c r="U92" i="1"/>
  <c r="U81" i="1"/>
  <c r="U69" i="1"/>
  <c r="U58" i="1"/>
  <c r="U46" i="1"/>
  <c r="U162" i="1"/>
  <c r="U138" i="1"/>
  <c r="U126" i="1"/>
  <c r="U115" i="1"/>
  <c r="U91" i="1"/>
  <c r="U68" i="1"/>
  <c r="U45" i="1"/>
  <c r="U171" i="1"/>
  <c r="U160" i="1"/>
  <c r="U148" i="1"/>
  <c r="U136" i="1"/>
  <c r="U124" i="1"/>
  <c r="U113" i="1"/>
  <c r="U101" i="1"/>
  <c r="U89" i="1"/>
  <c r="U78" i="1"/>
  <c r="U66" i="1"/>
  <c r="U55" i="1"/>
  <c r="U43" i="1"/>
  <c r="U170" i="1"/>
  <c r="U159" i="1"/>
  <c r="U147" i="1"/>
  <c r="U135" i="1"/>
  <c r="U123" i="1"/>
  <c r="U112" i="1"/>
  <c r="U88" i="1"/>
  <c r="U77" i="1"/>
  <c r="U65" i="1"/>
  <c r="U54" i="1"/>
  <c r="U19" i="1"/>
  <c r="U158" i="1"/>
  <c r="U146" i="1"/>
  <c r="U134" i="1"/>
  <c r="U87" i="1"/>
  <c r="U76" i="1"/>
  <c r="U64" i="1"/>
  <c r="U53" i="1"/>
  <c r="U18" i="1"/>
  <c r="U168" i="1"/>
  <c r="U157" i="1"/>
  <c r="U145" i="1"/>
  <c r="U133" i="1"/>
  <c r="U121" i="1"/>
  <c r="U110" i="1"/>
  <c r="U98" i="1"/>
  <c r="U86" i="1"/>
  <c r="U75" i="1"/>
  <c r="U52" i="1"/>
  <c r="U17" i="1"/>
  <c r="U100" i="1" l="1"/>
  <c r="U10" i="1"/>
  <c r="U11" i="1"/>
  <c r="U8" i="1"/>
  <c r="U9" i="1"/>
  <c r="G123" i="21"/>
  <c r="G60" i="21"/>
  <c r="G27" i="21"/>
  <c r="G101" i="21"/>
  <c r="G138" i="21"/>
  <c r="G46" i="21"/>
  <c r="G132" i="21"/>
  <c r="G169" i="21"/>
  <c r="G108" i="21"/>
  <c r="G62" i="21"/>
  <c r="G149" i="21"/>
  <c r="G141" i="21"/>
  <c r="G8" i="21"/>
  <c r="G89" i="21"/>
  <c r="G81" i="21"/>
  <c r="G28" i="21"/>
  <c r="G139" i="21"/>
  <c r="G147" i="21"/>
  <c r="G49" i="21"/>
  <c r="G146" i="21"/>
  <c r="G50" i="21"/>
  <c r="G106" i="21"/>
  <c r="G26" i="21"/>
  <c r="G23" i="21"/>
  <c r="G127" i="21"/>
  <c r="G38" i="21"/>
  <c r="G102" i="21"/>
  <c r="G43" i="21"/>
  <c r="G41" i="21"/>
  <c r="G55" i="21"/>
  <c r="G51" i="21"/>
  <c r="G13" i="21"/>
  <c r="G47" i="21"/>
  <c r="G72" i="21"/>
  <c r="G135" i="21"/>
  <c r="G45" i="21"/>
  <c r="G104" i="21"/>
  <c r="G34" i="21"/>
  <c r="G48" i="21"/>
  <c r="G120" i="21"/>
  <c r="G85" i="21"/>
  <c r="G170" i="21"/>
  <c r="G30" i="21"/>
  <c r="G42" i="21"/>
  <c r="G124" i="21"/>
  <c r="G35" i="21"/>
  <c r="G94" i="21"/>
  <c r="G165" i="21"/>
  <c r="G109" i="21"/>
  <c r="G126" i="21"/>
  <c r="G167" i="21"/>
  <c r="G142" i="21"/>
  <c r="G11" i="21"/>
  <c r="G158" i="21"/>
  <c r="G110" i="21"/>
  <c r="G119" i="21"/>
  <c r="G39" i="21"/>
  <c r="G95" i="21"/>
  <c r="G90" i="21"/>
  <c r="G105" i="21"/>
  <c r="G36" i="21"/>
  <c r="G70" i="21"/>
  <c r="G82" i="21"/>
  <c r="G125" i="21"/>
  <c r="G160" i="21"/>
  <c r="G166" i="21"/>
  <c r="G100" i="21"/>
  <c r="G84" i="21"/>
  <c r="G69" i="21"/>
  <c r="G162" i="21"/>
  <c r="G88" i="21"/>
  <c r="G63" i="21"/>
  <c r="G103" i="21"/>
  <c r="G80" i="21"/>
  <c r="G154" i="21"/>
  <c r="G20" i="21"/>
  <c r="G59" i="21"/>
  <c r="G148" i="21"/>
  <c r="G111" i="21"/>
  <c r="G65" i="21"/>
  <c r="G67" i="21"/>
  <c r="G21" i="21"/>
  <c r="G150" i="21"/>
  <c r="G97" i="21"/>
  <c r="G134" i="21"/>
  <c r="G87" i="21"/>
  <c r="G115" i="21"/>
  <c r="G64" i="21"/>
  <c r="G93" i="21"/>
  <c r="G83" i="21"/>
  <c r="G19" i="21"/>
  <c r="G16" i="21"/>
  <c r="G129" i="21"/>
  <c r="G54" i="21"/>
  <c r="G10" i="21"/>
  <c r="G79" i="21"/>
  <c r="G118" i="21"/>
  <c r="G121" i="21"/>
  <c r="G44" i="21"/>
  <c r="G22" i="21"/>
  <c r="G131" i="21"/>
  <c r="G130" i="21"/>
  <c r="G107" i="21"/>
  <c r="G137" i="21"/>
  <c r="G151" i="21"/>
  <c r="G58" i="21"/>
  <c r="G32" i="21"/>
  <c r="G52" i="21"/>
  <c r="G12" i="21"/>
  <c r="G29" i="21"/>
  <c r="G53" i="21"/>
  <c r="G73" i="21"/>
  <c r="G56" i="21"/>
  <c r="G86" i="21"/>
  <c r="G99" i="21"/>
  <c r="G37" i="21"/>
  <c r="G61" i="21"/>
  <c r="G136" i="21"/>
  <c r="G164" i="21"/>
  <c r="G112" i="21"/>
  <c r="G128" i="21"/>
  <c r="G31" i="21"/>
  <c r="G71" i="21"/>
  <c r="G143" i="21"/>
  <c r="G122" i="21"/>
  <c r="G7" i="21"/>
  <c r="G91" i="21"/>
  <c r="G75" i="21"/>
  <c r="G18" i="21"/>
  <c r="G156" i="21"/>
  <c r="G14" i="21"/>
  <c r="G33" i="21"/>
  <c r="G78" i="21"/>
  <c r="G74" i="21"/>
  <c r="G159" i="21"/>
  <c r="G6" i="21"/>
  <c r="G133" i="21"/>
  <c r="G145" i="21"/>
  <c r="G171" i="21"/>
  <c r="G116" i="21"/>
  <c r="G15" i="21"/>
  <c r="G92" i="21"/>
  <c r="G68" i="21"/>
  <c r="G66" i="21"/>
  <c r="G25" i="21"/>
  <c r="G17" i="21"/>
  <c r="G9" i="21"/>
  <c r="G153" i="21"/>
  <c r="G144" i="21"/>
  <c r="G98" i="21"/>
  <c r="G117" i="21"/>
  <c r="G152" i="21"/>
  <c r="G161" i="21"/>
  <c r="G24" i="21"/>
  <c r="G40" i="21"/>
  <c r="G57" i="21"/>
  <c r="G155" i="21"/>
  <c r="G140" i="21"/>
  <c r="U174" i="1" l="1"/>
  <c r="E158" i="45"/>
  <c r="E164" i="45"/>
  <c r="E115" i="45"/>
  <c r="E114" i="45"/>
  <c r="E97" i="45"/>
  <c r="E78" i="45"/>
  <c r="E77" i="45"/>
  <c r="E108" i="45"/>
  <c r="E149" i="45"/>
  <c r="E94" i="45"/>
  <c r="E125" i="45"/>
  <c r="E157" i="45"/>
  <c r="E120" i="45"/>
  <c r="E154" i="45"/>
  <c r="E13" i="45"/>
  <c r="E11" i="45"/>
  <c r="E150" i="45"/>
  <c r="E80" i="45"/>
  <c r="E37" i="45"/>
  <c r="E128" i="45"/>
  <c r="E138" i="45"/>
  <c r="E113" i="45"/>
  <c r="E66" i="45"/>
  <c r="E98" i="45"/>
  <c r="E130" i="45"/>
  <c r="E106" i="45"/>
  <c r="E124" i="45"/>
  <c r="E28" i="45"/>
  <c r="E141" i="45"/>
  <c r="E31" i="45"/>
  <c r="E25" i="45"/>
  <c r="E167" i="45"/>
  <c r="E33" i="45"/>
  <c r="E32" i="45"/>
  <c r="E86" i="45"/>
  <c r="E132" i="45"/>
  <c r="E20" i="45"/>
  <c r="E82" i="45"/>
  <c r="E44" i="45"/>
  <c r="E110" i="45"/>
  <c r="E165" i="45"/>
  <c r="E45" i="45"/>
  <c r="E36" i="45"/>
  <c r="E17" i="45"/>
  <c r="E161" i="45"/>
  <c r="E172" i="45"/>
  <c r="E24" i="45"/>
  <c r="E160" i="45"/>
  <c r="E116" i="45"/>
  <c r="E148" i="45"/>
  <c r="E109" i="45"/>
  <c r="E16" i="45"/>
  <c r="E152" i="45"/>
  <c r="E170" i="45"/>
  <c r="E26" i="45"/>
  <c r="E14" i="45"/>
  <c r="E49" i="45"/>
  <c r="E96" i="45"/>
  <c r="E100" i="45"/>
  <c r="E118" i="45"/>
  <c r="E42" i="45"/>
  <c r="E117" i="45"/>
  <c r="E105" i="45"/>
  <c r="E56" i="45"/>
  <c r="E136" i="45"/>
  <c r="E126" i="45"/>
  <c r="E84" i="45"/>
  <c r="E85" i="45"/>
  <c r="E21" i="45"/>
  <c r="E102" i="45"/>
  <c r="E29" i="45"/>
  <c r="E95" i="45"/>
  <c r="E119" i="45"/>
  <c r="E74" i="45"/>
  <c r="E62" i="45"/>
  <c r="E123" i="45"/>
  <c r="E129" i="45"/>
  <c r="E8" i="45"/>
  <c r="E89" i="45"/>
  <c r="E171" i="45"/>
  <c r="E101" i="45"/>
  <c r="E153" i="45"/>
  <c r="E76" i="45"/>
  <c r="E93" i="45"/>
  <c r="E57" i="45"/>
  <c r="E146" i="45"/>
  <c r="E139" i="45"/>
  <c r="E151" i="45"/>
  <c r="E133" i="45"/>
  <c r="E162" i="45"/>
  <c r="E156" i="45"/>
  <c r="E22" i="45"/>
  <c r="E137" i="45"/>
  <c r="E58" i="45"/>
  <c r="E112" i="45"/>
  <c r="E53" i="45"/>
  <c r="E70" i="45"/>
  <c r="E63" i="45"/>
  <c r="E155" i="45"/>
  <c r="E83" i="45"/>
  <c r="E81" i="45"/>
  <c r="E39" i="45"/>
  <c r="E10" i="45"/>
  <c r="E159" i="45"/>
  <c r="E46" i="45"/>
  <c r="E103" i="45"/>
  <c r="E35" i="45"/>
  <c r="E48" i="45"/>
  <c r="E90" i="45"/>
  <c r="E88" i="45"/>
  <c r="E87" i="45"/>
  <c r="E107" i="45"/>
  <c r="E67" i="45"/>
  <c r="E30" i="45"/>
  <c r="E59" i="45"/>
  <c r="E65" i="45"/>
  <c r="E104" i="45"/>
  <c r="E73" i="45"/>
  <c r="E52" i="45"/>
  <c r="E140" i="45"/>
  <c r="E147" i="45"/>
  <c r="E69" i="45"/>
  <c r="E55" i="45"/>
  <c r="E143" i="45"/>
  <c r="E64" i="45"/>
  <c r="E40" i="45"/>
  <c r="E166" i="45"/>
  <c r="E79" i="45"/>
  <c r="E163" i="45"/>
  <c r="E19" i="45"/>
  <c r="E50" i="45"/>
  <c r="E18" i="45"/>
  <c r="E168" i="45"/>
  <c r="E127" i="45"/>
  <c r="E61" i="45"/>
  <c r="E92" i="45"/>
  <c r="E134" i="45"/>
  <c r="E144" i="45"/>
  <c r="E51" i="45"/>
  <c r="E41" i="45"/>
  <c r="E34" i="45"/>
  <c r="E54" i="45"/>
  <c r="E23" i="45"/>
  <c r="E71" i="45"/>
  <c r="E75" i="45"/>
  <c r="E131" i="45"/>
  <c r="E38" i="45"/>
  <c r="E91" i="45"/>
  <c r="E60" i="45"/>
  <c r="E122" i="45"/>
  <c r="E145" i="45"/>
  <c r="E43" i="45"/>
  <c r="E9" i="45"/>
  <c r="E142" i="45"/>
  <c r="E99" i="45"/>
  <c r="E121" i="45"/>
  <c r="E111" i="45"/>
  <c r="E68" i="45"/>
  <c r="E27" i="45"/>
  <c r="E135" i="45"/>
  <c r="E72" i="45"/>
  <c r="E47" i="45"/>
  <c r="E7" i="45"/>
  <c r="D174" i="1"/>
  <c r="C142" i="18"/>
  <c r="E174" i="1" l="1"/>
  <c r="W173" i="1" l="1"/>
  <c r="W167" i="1"/>
  <c r="W115" i="1"/>
  <c r="W149" i="1"/>
  <c r="Z149" i="1" s="1"/>
  <c r="W44" i="1"/>
  <c r="W134" i="1"/>
  <c r="W96" i="1"/>
  <c r="W92" i="1"/>
  <c r="W94" i="1"/>
  <c r="W102" i="1"/>
  <c r="W104" i="1"/>
  <c r="W146" i="1"/>
  <c r="W97" i="1"/>
  <c r="W95" i="1"/>
  <c r="W114" i="1"/>
  <c r="W109" i="1"/>
  <c r="W158" i="1"/>
  <c r="F158" i="1" s="1"/>
  <c r="W163" i="1"/>
  <c r="W124" i="1"/>
  <c r="W66" i="1"/>
  <c r="W164" i="1"/>
  <c r="W117" i="1"/>
  <c r="W150" i="1"/>
  <c r="W78" i="1"/>
  <c r="Z78" i="1" s="1"/>
  <c r="W91" i="1"/>
  <c r="Z91" i="1" s="1"/>
  <c r="W73" i="1"/>
  <c r="W122" i="1"/>
  <c r="F122" i="1" s="1"/>
  <c r="W132" i="1"/>
  <c r="Z164" i="1" l="1"/>
  <c r="F164" i="1"/>
  <c r="AA164" i="1" s="1"/>
  <c r="Z94" i="1"/>
  <c r="F94" i="1"/>
  <c r="Z150" i="1"/>
  <c r="F150" i="1"/>
  <c r="AA150" i="1" s="1"/>
  <c r="Z124" i="1"/>
  <c r="F124" i="1"/>
  <c r="AA124" i="1" s="1"/>
  <c r="Z163" i="1"/>
  <c r="F163" i="1"/>
  <c r="AA163" i="1" s="1"/>
  <c r="Z44" i="1"/>
  <c r="F44" i="1"/>
  <c r="AA44" i="1" s="1"/>
  <c r="Z115" i="1"/>
  <c r="F115" i="1"/>
  <c r="Z109" i="1"/>
  <c r="F109" i="1"/>
  <c r="Z73" i="1"/>
  <c r="F73" i="1"/>
  <c r="AA73" i="1" s="1"/>
  <c r="Z97" i="1"/>
  <c r="F97" i="1"/>
  <c r="AA97" i="1" s="1"/>
  <c r="Z158" i="1"/>
  <c r="Z122" i="1"/>
  <c r="AA94" i="1"/>
  <c r="AA66" i="1"/>
  <c r="F92" i="45"/>
  <c r="Z96" i="1"/>
  <c r="F163" i="45"/>
  <c r="AA158" i="1"/>
  <c r="AA122" i="1"/>
  <c r="AA109" i="1"/>
  <c r="G25" i="45"/>
  <c r="G145" i="45"/>
  <c r="G87" i="45"/>
  <c r="F91" i="45"/>
  <c r="Z95" i="1"/>
  <c r="AA115" i="1"/>
  <c r="G29" i="45"/>
  <c r="G74" i="45"/>
  <c r="F173" i="45"/>
  <c r="D179" i="11"/>
  <c r="H179" i="11"/>
  <c r="G100" i="45" l="1"/>
  <c r="Z104" i="1"/>
  <c r="G130" i="45"/>
  <c r="Z134" i="1"/>
  <c r="G113" i="45"/>
  <c r="Z117" i="1"/>
  <c r="G98" i="45"/>
  <c r="Z102" i="1"/>
  <c r="G169" i="45"/>
  <c r="Z173" i="1"/>
  <c r="AA114" i="1"/>
  <c r="Z114" i="1"/>
  <c r="G88" i="45"/>
  <c r="Z92" i="1"/>
  <c r="G128" i="45"/>
  <c r="Z132" i="1"/>
  <c r="G62" i="45"/>
  <c r="Z66" i="1"/>
  <c r="G163" i="45"/>
  <c r="Z167" i="1"/>
  <c r="G142" i="45"/>
  <c r="Z146" i="1"/>
  <c r="G114" i="45"/>
  <c r="G110" i="45"/>
  <c r="AA78" i="1"/>
  <c r="G95" i="45"/>
  <c r="G72" i="45"/>
  <c r="G96" i="45"/>
  <c r="G73" i="45"/>
  <c r="G132" i="45"/>
  <c r="G109" i="45"/>
  <c r="G92" i="45"/>
  <c r="G69" i="45"/>
  <c r="G117" i="45"/>
  <c r="G94" i="45"/>
  <c r="G102" i="45"/>
  <c r="G79" i="45"/>
  <c r="G66" i="45"/>
  <c r="G43" i="45"/>
  <c r="G104" i="45"/>
  <c r="G81" i="45"/>
  <c r="G91" i="45"/>
  <c r="G68" i="45"/>
  <c r="G149" i="45"/>
  <c r="G126" i="45"/>
  <c r="G134" i="45"/>
  <c r="G111" i="45"/>
  <c r="G167" i="45"/>
  <c r="G144" i="45"/>
  <c r="G146" i="45"/>
  <c r="G123" i="45"/>
  <c r="G173" i="45"/>
  <c r="G150" i="45"/>
  <c r="G78" i="45"/>
  <c r="G55" i="45"/>
  <c r="AA92" i="1"/>
  <c r="AA146" i="1"/>
  <c r="AA91" i="1"/>
  <c r="AA117" i="1"/>
  <c r="AA95" i="1"/>
  <c r="AA96" i="1"/>
  <c r="AA167" i="1"/>
  <c r="AA104" i="1"/>
  <c r="AA149" i="1"/>
  <c r="AA102" i="1"/>
  <c r="AA134" i="1"/>
  <c r="AA132" i="1"/>
  <c r="AA173" i="1"/>
  <c r="I5" i="11" l="1"/>
  <c r="W156" i="1" l="1"/>
  <c r="F156" i="1" s="1"/>
  <c r="W123" i="1"/>
  <c r="W160" i="1"/>
  <c r="F160" i="1" s="1"/>
  <c r="W154" i="1"/>
  <c r="W118" i="1"/>
  <c r="F118" i="1" s="1"/>
  <c r="W127" i="1"/>
  <c r="F127" i="1" s="1"/>
  <c r="W72" i="1"/>
  <c r="W93" i="1"/>
  <c r="W46" i="1"/>
  <c r="W53" i="1"/>
  <c r="W152" i="1"/>
  <c r="W68" i="1"/>
  <c r="F68" i="1" s="1"/>
  <c r="W51" i="1"/>
  <c r="W101" i="1"/>
  <c r="F101" i="1" s="1"/>
  <c r="W99" i="1"/>
  <c r="W128" i="1"/>
  <c r="W47" i="1"/>
  <c r="W67" i="1"/>
  <c r="F67" i="1" s="1"/>
  <c r="W85" i="1"/>
  <c r="W87" i="1"/>
  <c r="W143" i="1"/>
  <c r="W170" i="1"/>
  <c r="F170" i="1" s="1"/>
  <c r="W113" i="1"/>
  <c r="F113" i="1" s="1"/>
  <c r="W138" i="1"/>
  <c r="F138" i="1" s="1"/>
  <c r="W57" i="1"/>
  <c r="W165" i="1"/>
  <c r="F165" i="1" s="1"/>
  <c r="W77" i="1"/>
  <c r="F77" i="1" s="1"/>
  <c r="W48" i="1"/>
  <c r="F48" i="1" s="1"/>
  <c r="W137" i="1"/>
  <c r="F137" i="1" s="1"/>
  <c r="W63" i="1"/>
  <c r="W58" i="1"/>
  <c r="W107" i="1"/>
  <c r="W43" i="1"/>
  <c r="F43" i="1" s="1"/>
  <c r="W56" i="1"/>
  <c r="W157" i="1"/>
  <c r="W131" i="1"/>
  <c r="W116" i="1"/>
  <c r="W61" i="1"/>
  <c r="W80" i="1"/>
  <c r="W147" i="1"/>
  <c r="F147" i="1" s="1"/>
  <c r="W108" i="1"/>
  <c r="W45" i="1"/>
  <c r="W155" i="1"/>
  <c r="F155" i="1" s="1"/>
  <c r="W55" i="1"/>
  <c r="W133" i="1"/>
  <c r="W106" i="1"/>
  <c r="F40" i="45"/>
  <c r="W69" i="1"/>
  <c r="F69" i="1" s="1"/>
  <c r="W64" i="1"/>
  <c r="F64" i="1" s="1"/>
  <c r="W153" i="1"/>
  <c r="W74" i="1"/>
  <c r="F74" i="1" s="1"/>
  <c r="W105" i="1"/>
  <c r="F105" i="1" s="1"/>
  <c r="W159" i="1"/>
  <c r="F159" i="1" s="1"/>
  <c r="W125" i="1"/>
  <c r="F125" i="1" s="1"/>
  <c r="W86" i="1"/>
  <c r="F86" i="1" s="1"/>
  <c r="W110" i="1"/>
  <c r="W70" i="1"/>
  <c r="W79" i="1"/>
  <c r="W54" i="1"/>
  <c r="W98" i="1"/>
  <c r="F98" i="1" s="1"/>
  <c r="W172" i="1"/>
  <c r="F172" i="1" s="1"/>
  <c r="W142" i="1"/>
  <c r="F142" i="1" s="1"/>
  <c r="W144" i="1"/>
  <c r="W50" i="1"/>
  <c r="F50" i="1" s="1"/>
  <c r="W65" i="1"/>
  <c r="W135" i="1"/>
  <c r="W140" i="1"/>
  <c r="F140" i="1" s="1"/>
  <c r="W100" i="1"/>
  <c r="F100" i="1" s="1"/>
  <c r="W126" i="1"/>
  <c r="W81" i="1"/>
  <c r="F81" i="1" s="1"/>
  <c r="W88" i="1"/>
  <c r="W90" i="1"/>
  <c r="W82" i="1"/>
  <c r="W151" i="1"/>
  <c r="W71" i="1"/>
  <c r="W112" i="1"/>
  <c r="W119" i="1"/>
  <c r="F119" i="1" s="1"/>
  <c r="W75" i="1"/>
  <c r="W120" i="1"/>
  <c r="F120" i="1" s="1"/>
  <c r="W169" i="1"/>
  <c r="F169" i="1" s="1"/>
  <c r="W103" i="1"/>
  <c r="F103" i="1" s="1"/>
  <c r="W139" i="1"/>
  <c r="W111" i="1"/>
  <c r="W60" i="1"/>
  <c r="W141" i="1"/>
  <c r="W76" i="1"/>
  <c r="F76" i="1" s="1"/>
  <c r="F28" i="45"/>
  <c r="W49" i="1"/>
  <c r="W62" i="1"/>
  <c r="F62" i="1" s="1"/>
  <c r="W52" i="1"/>
  <c r="F52" i="1" s="1"/>
  <c r="W162" i="1"/>
  <c r="F162" i="1" s="1"/>
  <c r="W121" i="1"/>
  <c r="W145" i="1"/>
  <c r="F145" i="1" s="1"/>
  <c r="W148" i="1"/>
  <c r="W166" i="1"/>
  <c r="W161" i="1"/>
  <c r="F161" i="1" s="1"/>
  <c r="W129" i="1"/>
  <c r="F129" i="1" s="1"/>
  <c r="W89" i="1"/>
  <c r="F89" i="1" s="1"/>
  <c r="W168" i="1"/>
  <c r="F168" i="1" s="1"/>
  <c r="F31" i="45"/>
  <c r="W130" i="1"/>
  <c r="F130" i="1" s="1"/>
  <c r="F30" i="45"/>
  <c r="W59" i="1"/>
  <c r="F59" i="1" s="1"/>
  <c r="W171" i="1"/>
  <c r="F171" i="1" s="1"/>
  <c r="W136" i="1"/>
  <c r="W83" i="1"/>
  <c r="F83" i="1" s="1"/>
  <c r="W84" i="1"/>
  <c r="W9" i="1"/>
  <c r="F9" i="1" s="1"/>
  <c r="W8" i="1"/>
  <c r="F8" i="1" s="1"/>
  <c r="W11" i="1"/>
  <c r="F11" i="1" s="1"/>
  <c r="W10" i="1"/>
  <c r="F10" i="1" s="1"/>
  <c r="W7" i="1"/>
  <c r="G5" i="1"/>
  <c r="H5" i="1" s="1"/>
  <c r="F141" i="1" l="1"/>
  <c r="Z141" i="1" s="1"/>
  <c r="F82" i="1"/>
  <c r="Z82" i="1" s="1"/>
  <c r="F116" i="1"/>
  <c r="Z116" i="1" s="1"/>
  <c r="F57" i="1"/>
  <c r="Z57" i="1" s="1"/>
  <c r="F51" i="1"/>
  <c r="Z51" i="1" s="1"/>
  <c r="F60" i="1"/>
  <c r="Z60" i="1" s="1"/>
  <c r="F90" i="1"/>
  <c r="Z90" i="1" s="1"/>
  <c r="F131" i="1"/>
  <c r="Z131" i="1" s="1"/>
  <c r="F84" i="1"/>
  <c r="F84" i="45" s="1"/>
  <c r="F166" i="1"/>
  <c r="Z166" i="1" s="1"/>
  <c r="F111" i="1"/>
  <c r="Z111" i="1" s="1"/>
  <c r="F88" i="1"/>
  <c r="Z88" i="1" s="1"/>
  <c r="F54" i="1"/>
  <c r="Z54" i="1" s="1"/>
  <c r="F157" i="1"/>
  <c r="Z157" i="1" s="1"/>
  <c r="Z152" i="1"/>
  <c r="F152" i="1"/>
  <c r="AA152" i="1" s="1"/>
  <c r="F148" i="1"/>
  <c r="Z148" i="1" s="1"/>
  <c r="F139" i="1"/>
  <c r="Z139" i="1" s="1"/>
  <c r="F79" i="1"/>
  <c r="F79" i="45" s="1"/>
  <c r="F106" i="1"/>
  <c r="Z106" i="1" s="1"/>
  <c r="F56" i="1"/>
  <c r="Z56" i="1" s="1"/>
  <c r="F53" i="1"/>
  <c r="AA53" i="1" s="1"/>
  <c r="F136" i="1"/>
  <c r="AA136" i="1" s="1"/>
  <c r="F126" i="1"/>
  <c r="Z126" i="1" s="1"/>
  <c r="F70" i="1"/>
  <c r="AA70" i="1" s="1"/>
  <c r="F133" i="1"/>
  <c r="Z133" i="1" s="1"/>
  <c r="F143" i="1"/>
  <c r="Z143" i="1" s="1"/>
  <c r="F46" i="1"/>
  <c r="AA46" i="1" s="1"/>
  <c r="F110" i="1"/>
  <c r="F55" i="1"/>
  <c r="Z55" i="1" s="1"/>
  <c r="F107" i="1"/>
  <c r="F107" i="45" s="1"/>
  <c r="F87" i="1"/>
  <c r="Z87" i="1" s="1"/>
  <c r="F93" i="1"/>
  <c r="Z93" i="1" s="1"/>
  <c r="F58" i="1"/>
  <c r="F58" i="45" s="1"/>
  <c r="F85" i="1"/>
  <c r="Z85" i="1" s="1"/>
  <c r="F72" i="1"/>
  <c r="Z72" i="1" s="1"/>
  <c r="F75" i="1"/>
  <c r="F135" i="1"/>
  <c r="Z135" i="1" s="1"/>
  <c r="F45" i="1"/>
  <c r="Z45" i="1" s="1"/>
  <c r="F63" i="1"/>
  <c r="AA63" i="1" s="1"/>
  <c r="F65" i="1"/>
  <c r="F65" i="45" s="1"/>
  <c r="F108" i="1"/>
  <c r="Z108" i="1" s="1"/>
  <c r="F47" i="1"/>
  <c r="AA47" i="1" s="1"/>
  <c r="F112" i="1"/>
  <c r="Z112" i="1" s="1"/>
  <c r="F128" i="1"/>
  <c r="Z128" i="1" s="1"/>
  <c r="F154" i="1"/>
  <c r="Z154" i="1" s="1"/>
  <c r="F121" i="1"/>
  <c r="Z121" i="1" s="1"/>
  <c r="F49" i="1"/>
  <c r="Z49" i="1" s="1"/>
  <c r="F71" i="1"/>
  <c r="F71" i="45" s="1"/>
  <c r="F144" i="1"/>
  <c r="Z144" i="1" s="1"/>
  <c r="F80" i="1"/>
  <c r="Z80" i="1" s="1"/>
  <c r="F99" i="1"/>
  <c r="Z99" i="1" s="1"/>
  <c r="F151" i="1"/>
  <c r="Z151" i="1" s="1"/>
  <c r="F153" i="1"/>
  <c r="Z153" i="1" s="1"/>
  <c r="F61" i="1"/>
  <c r="AA61" i="1" s="1"/>
  <c r="F123" i="1"/>
  <c r="Z123" i="1" s="1"/>
  <c r="Z165" i="1"/>
  <c r="Z159" i="1"/>
  <c r="F7" i="1"/>
  <c r="Z7" i="1" s="1"/>
  <c r="F74" i="45"/>
  <c r="AA8" i="1"/>
  <c r="Z86" i="1"/>
  <c r="F50" i="45"/>
  <c r="Z50" i="1"/>
  <c r="F76" i="45"/>
  <c r="Z76" i="1"/>
  <c r="F59" i="45"/>
  <c r="Z59" i="1"/>
  <c r="F43" i="45"/>
  <c r="Z43" i="1"/>
  <c r="F161" i="45"/>
  <c r="Z161" i="1"/>
  <c r="F142" i="45"/>
  <c r="Z142" i="1"/>
  <c r="F105" i="45"/>
  <c r="Z105" i="1"/>
  <c r="F160" i="45"/>
  <c r="Z160" i="1"/>
  <c r="F83" i="45"/>
  <c r="Z83" i="1"/>
  <c r="F170" i="45"/>
  <c r="Z170" i="1"/>
  <c r="F68" i="45"/>
  <c r="Z68" i="1"/>
  <c r="F156" i="45"/>
  <c r="Z156" i="1"/>
  <c r="F11" i="45"/>
  <c r="Z11" i="1"/>
  <c r="F100" i="45"/>
  <c r="Z100" i="1"/>
  <c r="F69" i="45"/>
  <c r="Z69" i="1"/>
  <c r="F129" i="45"/>
  <c r="Z129" i="1"/>
  <c r="F81" i="45"/>
  <c r="Z81" i="1"/>
  <c r="F10" i="45"/>
  <c r="Z10" i="1"/>
  <c r="F103" i="45"/>
  <c r="Z103" i="1"/>
  <c r="F64" i="45"/>
  <c r="Z64" i="1"/>
  <c r="F130" i="45"/>
  <c r="Z130" i="1"/>
  <c r="F9" i="45"/>
  <c r="Z9" i="1"/>
  <c r="F62" i="45"/>
  <c r="Z62" i="1"/>
  <c r="AA77" i="1"/>
  <c r="F70" i="45"/>
  <c r="F72" i="45"/>
  <c r="F162" i="45"/>
  <c r="F164" i="45"/>
  <c r="F55" i="45"/>
  <c r="F57" i="45"/>
  <c r="F152" i="45"/>
  <c r="AA171" i="1"/>
  <c r="F109" i="45"/>
  <c r="Z67" i="1"/>
  <c r="F39" i="45"/>
  <c r="F26" i="45"/>
  <c r="F157" i="45"/>
  <c r="AA118" i="1"/>
  <c r="F36" i="45"/>
  <c r="F82" i="45"/>
  <c r="AA101" i="1"/>
  <c r="F42" i="45"/>
  <c r="F108" i="45"/>
  <c r="F51" i="45"/>
  <c r="F37" i="45"/>
  <c r="F124" i="45"/>
  <c r="AA172" i="1"/>
  <c r="F29" i="45"/>
  <c r="F27" i="45"/>
  <c r="F140" i="45"/>
  <c r="F80" i="45"/>
  <c r="F46" i="45"/>
  <c r="F60" i="45"/>
  <c r="F41" i="45"/>
  <c r="F24" i="45"/>
  <c r="F111" i="45"/>
  <c r="F86" i="45"/>
  <c r="G7" i="45"/>
  <c r="F7" i="45"/>
  <c r="AA139" i="1"/>
  <c r="AA103" i="1"/>
  <c r="AA64" i="1"/>
  <c r="AA143" i="1"/>
  <c r="AA156" i="1"/>
  <c r="AA11" i="1"/>
  <c r="AA100" i="1"/>
  <c r="AA69" i="1"/>
  <c r="AA82" i="1"/>
  <c r="AA54" i="1"/>
  <c r="AA59" i="1"/>
  <c r="AA80" i="1"/>
  <c r="AA9" i="1"/>
  <c r="AA62" i="1"/>
  <c r="AA129" i="1"/>
  <c r="AA93" i="1"/>
  <c r="AA83" i="1"/>
  <c r="AA72" i="1"/>
  <c r="AA161" i="1"/>
  <c r="AA76" i="1"/>
  <c r="AA159" i="1"/>
  <c r="AA148" i="1"/>
  <c r="AA43" i="1"/>
  <c r="AA60" i="1"/>
  <c r="AA90" i="1"/>
  <c r="AA142" i="1"/>
  <c r="AA105" i="1"/>
  <c r="AA113" i="1"/>
  <c r="AA160" i="1"/>
  <c r="AA74" i="1"/>
  <c r="AA170" i="1"/>
  <c r="AA68" i="1"/>
  <c r="AA81" i="1"/>
  <c r="AA67" i="1"/>
  <c r="I179" i="11"/>
  <c r="W15" i="1"/>
  <c r="F15" i="1" s="1"/>
  <c r="W18" i="1"/>
  <c r="F18" i="1" s="1"/>
  <c r="W14" i="1"/>
  <c r="F14" i="1" s="1"/>
  <c r="W19" i="1"/>
  <c r="F19" i="1" s="1"/>
  <c r="W12" i="1"/>
  <c r="F12" i="1" s="1"/>
  <c r="W17" i="1"/>
  <c r="F17" i="1" s="1"/>
  <c r="F20" i="45"/>
  <c r="F23" i="45"/>
  <c r="W13" i="1"/>
  <c r="W16" i="1"/>
  <c r="F16" i="1" s="1"/>
  <c r="AA58" i="1" l="1"/>
  <c r="AA128" i="1"/>
  <c r="F154" i="45"/>
  <c r="F93" i="45"/>
  <c r="F49" i="45"/>
  <c r="Z58" i="1"/>
  <c r="AA121" i="1"/>
  <c r="F85" i="45"/>
  <c r="F126" i="45"/>
  <c r="Z136" i="1"/>
  <c r="Z65" i="1"/>
  <c r="AA153" i="1"/>
  <c r="F87" i="45"/>
  <c r="AA99" i="1"/>
  <c r="F88" i="45"/>
  <c r="F99" i="45"/>
  <c r="F112" i="45"/>
  <c r="F166" i="45"/>
  <c r="Z46" i="1"/>
  <c r="AA65" i="1"/>
  <c r="AA112" i="1"/>
  <c r="F110" i="45"/>
  <c r="AA45" i="1"/>
  <c r="AA135" i="1"/>
  <c r="Z63" i="1"/>
  <c r="Z53" i="1"/>
  <c r="Z84" i="1"/>
  <c r="Z110" i="1"/>
  <c r="AA123" i="1"/>
  <c r="AA106" i="1"/>
  <c r="F45" i="45"/>
  <c r="F53" i="45"/>
  <c r="F106" i="45"/>
  <c r="F56" i="45"/>
  <c r="F135" i="45"/>
  <c r="F128" i="45"/>
  <c r="F144" i="45"/>
  <c r="AA84" i="1"/>
  <c r="AA56" i="1"/>
  <c r="AA51" i="1"/>
  <c r="AA166" i="1"/>
  <c r="AA87" i="1"/>
  <c r="AA7" i="1"/>
  <c r="AA108" i="1"/>
  <c r="AA55" i="1"/>
  <c r="AA116" i="1"/>
  <c r="AA126" i="1"/>
  <c r="AA88" i="1"/>
  <c r="AA144" i="1"/>
  <c r="AA131" i="1"/>
  <c r="AA49" i="1"/>
  <c r="AA141" i="1"/>
  <c r="AA71" i="1"/>
  <c r="AA79" i="1"/>
  <c r="Z61" i="1"/>
  <c r="Z71" i="1"/>
  <c r="Z47" i="1"/>
  <c r="Z75" i="1"/>
  <c r="Z107" i="1"/>
  <c r="Z70" i="1"/>
  <c r="Z79" i="1"/>
  <c r="F47" i="45"/>
  <c r="F61" i="45"/>
  <c r="F32" i="45"/>
  <c r="Z13" i="1"/>
  <c r="AA138" i="1"/>
  <c r="Z74" i="1"/>
  <c r="F159" i="45"/>
  <c r="Z8" i="1"/>
  <c r="F8" i="45"/>
  <c r="Z19" i="1"/>
  <c r="F67" i="45"/>
  <c r="W174" i="1"/>
  <c r="Z16" i="1"/>
  <c r="F52" i="45"/>
  <c r="Z52" i="1"/>
  <c r="F125" i="45"/>
  <c r="Z125" i="1"/>
  <c r="F90" i="45"/>
  <c r="Z113" i="1"/>
  <c r="F127" i="45"/>
  <c r="Z127" i="1"/>
  <c r="Z168" i="1"/>
  <c r="F89" i="45"/>
  <c r="Z89" i="1"/>
  <c r="F101" i="45"/>
  <c r="Z101" i="1"/>
  <c r="Z162" i="1"/>
  <c r="F15" i="45"/>
  <c r="Z15" i="1"/>
  <c r="F169" i="45"/>
  <c r="Z169" i="1"/>
  <c r="F113" i="45"/>
  <c r="F172" i="45"/>
  <c r="Z172" i="1"/>
  <c r="F137" i="45"/>
  <c r="Z137" i="1"/>
  <c r="F94" i="45"/>
  <c r="Z98" i="1"/>
  <c r="F155" i="45"/>
  <c r="Z155" i="1"/>
  <c r="F48" i="45"/>
  <c r="Z48" i="1"/>
  <c r="F147" i="45"/>
  <c r="Z147" i="1"/>
  <c r="F17" i="45"/>
  <c r="Z17" i="1"/>
  <c r="F171" i="45"/>
  <c r="Z171" i="1"/>
  <c r="F117" i="45"/>
  <c r="Z140" i="1"/>
  <c r="F145" i="45"/>
  <c r="Z145" i="1"/>
  <c r="F119" i="45"/>
  <c r="Z119" i="1"/>
  <c r="F12" i="45"/>
  <c r="Z12" i="1"/>
  <c r="F14" i="45"/>
  <c r="Z14" i="1"/>
  <c r="AA125" i="1"/>
  <c r="F120" i="45"/>
  <c r="Z120" i="1"/>
  <c r="F118" i="45"/>
  <c r="Z118" i="1"/>
  <c r="F73" i="45"/>
  <c r="Z77" i="1"/>
  <c r="F18" i="45"/>
  <c r="Z18" i="1"/>
  <c r="F77" i="45"/>
  <c r="F138" i="45"/>
  <c r="Z138" i="1"/>
  <c r="AA154" i="1"/>
  <c r="AA157" i="1"/>
  <c r="F98" i="45"/>
  <c r="AA98" i="1"/>
  <c r="AA52" i="1"/>
  <c r="AA168" i="1"/>
  <c r="F131" i="45"/>
  <c r="F139" i="45"/>
  <c r="AA137" i="1"/>
  <c r="F148" i="45"/>
  <c r="F54" i="45"/>
  <c r="F25" i="45"/>
  <c r="F114" i="45"/>
  <c r="F75" i="45"/>
  <c r="F38" i="45"/>
  <c r="F141" i="45"/>
  <c r="F168" i="45"/>
  <c r="AA155" i="1"/>
  <c r="F143" i="45"/>
  <c r="F44" i="45"/>
  <c r="F167" i="45"/>
  <c r="F165" i="45"/>
  <c r="F33" i="45"/>
  <c r="AA162" i="1"/>
  <c r="F34" i="45"/>
  <c r="F158" i="45"/>
  <c r="F153" i="45"/>
  <c r="F151" i="45"/>
  <c r="F35" i="45"/>
  <c r="F150" i="45"/>
  <c r="F116" i="45"/>
  <c r="F121" i="45"/>
  <c r="F63" i="45"/>
  <c r="F136" i="45"/>
  <c r="F133" i="45"/>
  <c r="F123" i="45"/>
  <c r="AA127" i="1"/>
  <c r="F66" i="45"/>
  <c r="F96" i="45"/>
  <c r="F134" i="45"/>
  <c r="F95" i="45"/>
  <c r="AA140" i="1"/>
  <c r="F149" i="45"/>
  <c r="F78" i="45"/>
  <c r="F115" i="45"/>
  <c r="F97" i="45"/>
  <c r="AA120" i="1"/>
  <c r="AA89" i="1"/>
  <c r="AA147" i="1"/>
  <c r="F102" i="45"/>
  <c r="F146" i="45"/>
  <c r="F122" i="45"/>
  <c r="F132" i="45"/>
  <c r="F104" i="45"/>
  <c r="F13" i="45"/>
  <c r="F22" i="45"/>
  <c r="G21" i="45"/>
  <c r="F21" i="45"/>
  <c r="AA133" i="1"/>
  <c r="AA130" i="1"/>
  <c r="AA119" i="1"/>
  <c r="AA111" i="1"/>
  <c r="AA17" i="1"/>
  <c r="AA12" i="1"/>
  <c r="AA86" i="1"/>
  <c r="AA107" i="1"/>
  <c r="AA50" i="1"/>
  <c r="AA110" i="1"/>
  <c r="AA14" i="1"/>
  <c r="AA18" i="1"/>
  <c r="AA10" i="1"/>
  <c r="AA145" i="1"/>
  <c r="AA151" i="1"/>
  <c r="AA57" i="1"/>
  <c r="AA165" i="1"/>
  <c r="AA85" i="1"/>
  <c r="AA75" i="1"/>
  <c r="AA48" i="1"/>
  <c r="AA169" i="1"/>
  <c r="AA15" i="1"/>
  <c r="AA13" i="1"/>
  <c r="C179" i="11"/>
  <c r="AA19" i="1" l="1"/>
  <c r="AA16" i="1"/>
  <c r="F16" i="45"/>
  <c r="Z174" i="1"/>
  <c r="F19" i="45"/>
  <c r="G13" i="45"/>
  <c r="G32" i="45"/>
  <c r="F174" i="1"/>
  <c r="AA174" i="1" l="1"/>
  <c r="C41" i="1" l="1"/>
  <c r="T41" i="1" s="1"/>
  <c r="G41" i="1" s="1"/>
  <c r="C26" i="1"/>
  <c r="C26" i="45" s="1"/>
  <c r="C28" i="1"/>
  <c r="C25" i="1"/>
  <c r="C42" i="1"/>
  <c r="C40" i="1"/>
  <c r="C27" i="1"/>
  <c r="C31" i="1"/>
  <c r="C36" i="1"/>
  <c r="C39" i="1"/>
  <c r="C34" i="1"/>
  <c r="C9" i="1"/>
  <c r="C9" i="45" s="1"/>
  <c r="C129" i="1"/>
  <c r="C30" i="1"/>
  <c r="C20" i="1"/>
  <c r="C87" i="1"/>
  <c r="C87" i="45" s="1"/>
  <c r="C29" i="1"/>
  <c r="C157" i="1"/>
  <c r="C38" i="1"/>
  <c r="C127" i="1"/>
  <c r="C23" i="1"/>
  <c r="C33" i="1"/>
  <c r="C151" i="1"/>
  <c r="C22" i="1"/>
  <c r="C103" i="1"/>
  <c r="C104" i="1"/>
  <c r="C21" i="1"/>
  <c r="C37" i="1"/>
  <c r="C156" i="1"/>
  <c r="C156" i="45" s="1"/>
  <c r="C24" i="1"/>
  <c r="C54" i="1"/>
  <c r="C126" i="1"/>
  <c r="C153" i="1"/>
  <c r="C168" i="1"/>
  <c r="C168" i="45" s="1"/>
  <c r="C64" i="1"/>
  <c r="C13" i="1"/>
  <c r="C13" i="45" s="1"/>
  <c r="C140" i="1"/>
  <c r="C154" i="1"/>
  <c r="C154" i="45" s="1"/>
  <c r="C49" i="1"/>
  <c r="C49" i="45" s="1"/>
  <c r="C131" i="1"/>
  <c r="C172" i="1"/>
  <c r="C75" i="1"/>
  <c r="C79" i="1"/>
  <c r="C55" i="1"/>
  <c r="C89" i="1"/>
  <c r="C89" i="45" s="1"/>
  <c r="C125" i="1"/>
  <c r="C113" i="1"/>
  <c r="C113" i="45" s="1"/>
  <c r="C68" i="1"/>
  <c r="C144" i="1"/>
  <c r="C100" i="1"/>
  <c r="C112" i="1"/>
  <c r="C32" i="1"/>
  <c r="C58" i="1"/>
  <c r="C107" i="1"/>
  <c r="C62" i="1"/>
  <c r="C99" i="1"/>
  <c r="C96" i="1"/>
  <c r="C67" i="1"/>
  <c r="C143" i="1"/>
  <c r="C88" i="1"/>
  <c r="C138" i="1"/>
  <c r="C128" i="1"/>
  <c r="C101" i="1"/>
  <c r="C135" i="1"/>
  <c r="C63" i="1"/>
  <c r="C63" i="45" s="1"/>
  <c r="C81" i="1"/>
  <c r="C82" i="1"/>
  <c r="C82" i="45" s="1"/>
  <c r="C61" i="1"/>
  <c r="C61" i="45" s="1"/>
  <c r="C65" i="1"/>
  <c r="C51" i="1"/>
  <c r="C116" i="1"/>
  <c r="C86" i="1"/>
  <c r="C106" i="1"/>
  <c r="C147" i="1"/>
  <c r="C118" i="1"/>
  <c r="C118" i="45" s="1"/>
  <c r="C11" i="1"/>
  <c r="C165" i="1"/>
  <c r="C165" i="45" s="1"/>
  <c r="C78" i="1"/>
  <c r="C94" i="1"/>
  <c r="C102" i="1"/>
  <c r="C102" i="45" s="1"/>
  <c r="C164" i="1"/>
  <c r="C159" i="1"/>
  <c r="C76" i="1"/>
  <c r="C76" i="45" s="1"/>
  <c r="C119" i="1"/>
  <c r="C123" i="1"/>
  <c r="C136" i="1"/>
  <c r="C169" i="1"/>
  <c r="C90" i="1"/>
  <c r="C124" i="1"/>
  <c r="C137" i="1"/>
  <c r="C43" i="1"/>
  <c r="C43" i="45" s="1"/>
  <c r="C73" i="1"/>
  <c r="C121" i="1"/>
  <c r="C173" i="1"/>
  <c r="C139" i="1"/>
  <c r="C35" i="1"/>
  <c r="C74" i="1"/>
  <c r="C141" i="1"/>
  <c r="C155" i="1"/>
  <c r="C167" i="1"/>
  <c r="C167" i="45" s="1"/>
  <c r="C162" i="1"/>
  <c r="C134" i="1"/>
  <c r="C132" i="1"/>
  <c r="C132" i="45" s="1"/>
  <c r="C152" i="1"/>
  <c r="C69" i="1"/>
  <c r="C69" i="45" s="1"/>
  <c r="C108" i="1"/>
  <c r="C111" i="1"/>
  <c r="C16" i="1"/>
  <c r="C53" i="1"/>
  <c r="C50" i="1"/>
  <c r="C50" i="45" s="1"/>
  <c r="C130" i="1"/>
  <c r="C60" i="1"/>
  <c r="C47" i="1"/>
  <c r="C47" i="45" s="1"/>
  <c r="C15" i="1"/>
  <c r="C59" i="1"/>
  <c r="C109" i="1"/>
  <c r="C163" i="1"/>
  <c r="C71" i="1"/>
  <c r="C10" i="1"/>
  <c r="C120" i="1"/>
  <c r="C70" i="1"/>
  <c r="C148" i="1"/>
  <c r="C91" i="1"/>
  <c r="C98" i="1"/>
  <c r="C92" i="1"/>
  <c r="C92" i="45" s="1"/>
  <c r="C66" i="1"/>
  <c r="C12" i="1"/>
  <c r="C110" i="1"/>
  <c r="C48" i="1"/>
  <c r="C122" i="1"/>
  <c r="C171" i="1"/>
  <c r="C160" i="1"/>
  <c r="C161" i="1"/>
  <c r="C93" i="1"/>
  <c r="C52" i="1"/>
  <c r="C45" i="1"/>
  <c r="C17" i="1"/>
  <c r="C57" i="1"/>
  <c r="C115" i="1"/>
  <c r="C114" i="1"/>
  <c r="C95" i="1"/>
  <c r="C8" i="1"/>
  <c r="C8" i="45" s="1"/>
  <c r="C85" i="1"/>
  <c r="C44" i="1"/>
  <c r="C142" i="1"/>
  <c r="C142" i="45" s="1"/>
  <c r="C72" i="1"/>
  <c r="C97" i="1"/>
  <c r="C146" i="1"/>
  <c r="C46" i="1"/>
  <c r="C56" i="1"/>
  <c r="C105" i="1"/>
  <c r="C84" i="1"/>
  <c r="C84" i="45" s="1"/>
  <c r="C158" i="1"/>
  <c r="C149" i="1"/>
  <c r="C149" i="45" s="1"/>
  <c r="C145" i="1"/>
  <c r="C117" i="1"/>
  <c r="C117" i="45" s="1"/>
  <c r="C166" i="1"/>
  <c r="C170" i="1"/>
  <c r="C170" i="45" s="1"/>
  <c r="C19" i="1"/>
  <c r="C19" i="45" s="1"/>
  <c r="C80" i="1"/>
  <c r="C80" i="45" s="1"/>
  <c r="C133" i="1"/>
  <c r="C7" i="1"/>
  <c r="T7" i="1" s="1"/>
  <c r="C77" i="1"/>
  <c r="C150" i="1"/>
  <c r="C83" i="1"/>
  <c r="C14" i="1"/>
  <c r="T167" i="1" l="1"/>
  <c r="G167" i="1" s="1"/>
  <c r="H167" i="1" s="1"/>
  <c r="T13" i="1"/>
  <c r="G13" i="1" s="1"/>
  <c r="H13" i="45" s="1"/>
  <c r="T87" i="1"/>
  <c r="G87" i="1" s="1"/>
  <c r="H87" i="1" s="1"/>
  <c r="L87" i="1" s="1"/>
  <c r="P87" i="1" s="1"/>
  <c r="T80" i="1"/>
  <c r="G80" i="1" s="1"/>
  <c r="C129" i="45"/>
  <c r="T129" i="1"/>
  <c r="G129" i="1" s="1"/>
  <c r="C14" i="45"/>
  <c r="T14" i="1"/>
  <c r="G14" i="1" s="1"/>
  <c r="T84" i="1"/>
  <c r="G84" i="1" s="1"/>
  <c r="H84" i="1" s="1"/>
  <c r="T117" i="1"/>
  <c r="G117" i="1" s="1"/>
  <c r="H117" i="45" s="1"/>
  <c r="C57" i="45"/>
  <c r="T57" i="1"/>
  <c r="G57" i="1" s="1"/>
  <c r="C72" i="45"/>
  <c r="T72" i="1"/>
  <c r="G72" i="1" s="1"/>
  <c r="C105" i="45"/>
  <c r="T105" i="1"/>
  <c r="G105" i="1" s="1"/>
  <c r="C123" i="45"/>
  <c r="T123" i="1"/>
  <c r="G123" i="1" s="1"/>
  <c r="C109" i="45"/>
  <c r="T109" i="1"/>
  <c r="G109" i="1" s="1"/>
  <c r="C85" i="45"/>
  <c r="T85" i="1"/>
  <c r="G85" i="1" s="1"/>
  <c r="C91" i="45"/>
  <c r="T91" i="1"/>
  <c r="G91" i="1" s="1"/>
  <c r="C18" i="1"/>
  <c r="C174" i="1" s="1"/>
  <c r="C56" i="45"/>
  <c r="T56" i="1"/>
  <c r="G56" i="1" s="1"/>
  <c r="C45" i="45"/>
  <c r="T45" i="1"/>
  <c r="G45" i="1" s="1"/>
  <c r="G7" i="1"/>
  <c r="C10" i="45"/>
  <c r="T10" i="1"/>
  <c r="G10" i="1" s="1"/>
  <c r="C90" i="45"/>
  <c r="T90" i="1"/>
  <c r="G90" i="1" s="1"/>
  <c r="C16" i="45"/>
  <c r="T16" i="1"/>
  <c r="G16" i="1" s="1"/>
  <c r="C158" i="45"/>
  <c r="T158" i="1"/>
  <c r="G158" i="1" s="1"/>
  <c r="C160" i="45"/>
  <c r="T160" i="1"/>
  <c r="G160" i="1" s="1"/>
  <c r="C139" i="45"/>
  <c r="T139" i="1"/>
  <c r="G139" i="1" s="1"/>
  <c r="C96" i="45"/>
  <c r="T96" i="1"/>
  <c r="G96" i="1" s="1"/>
  <c r="C58" i="45"/>
  <c r="T58" i="1"/>
  <c r="G58" i="1" s="1"/>
  <c r="C44" i="45"/>
  <c r="T44" i="1"/>
  <c r="G44" i="1" s="1"/>
  <c r="C115" i="45"/>
  <c r="T115" i="1"/>
  <c r="G115" i="1" s="1"/>
  <c r="T130" i="1"/>
  <c r="G130" i="1" s="1"/>
  <c r="C130" i="45"/>
  <c r="C119" i="45"/>
  <c r="T119" i="1"/>
  <c r="G119" i="1" s="1"/>
  <c r="T92" i="1"/>
  <c r="G92" i="1" s="1"/>
  <c r="C172" i="45"/>
  <c r="T172" i="1"/>
  <c r="G172" i="1" s="1"/>
  <c r="C120" i="45"/>
  <c r="T120" i="1"/>
  <c r="G120" i="1" s="1"/>
  <c r="C53" i="45"/>
  <c r="T53" i="1"/>
  <c r="G53" i="1" s="1"/>
  <c r="C173" i="45"/>
  <c r="T173" i="1"/>
  <c r="G173" i="1" s="1"/>
  <c r="C169" i="45"/>
  <c r="T169" i="1"/>
  <c r="G169" i="1" s="1"/>
  <c r="C81" i="45"/>
  <c r="T81" i="1"/>
  <c r="G81" i="1" s="1"/>
  <c r="C99" i="45"/>
  <c r="T99" i="1"/>
  <c r="G99" i="1" s="1"/>
  <c r="C32" i="45"/>
  <c r="T32" i="1"/>
  <c r="G32" i="1" s="1"/>
  <c r="T61" i="1"/>
  <c r="G61" i="1" s="1"/>
  <c r="C153" i="45"/>
  <c r="T153" i="1"/>
  <c r="G153" i="1" s="1"/>
  <c r="C24" i="45"/>
  <c r="T24" i="1"/>
  <c r="G24" i="1" s="1"/>
  <c r="C77" i="45"/>
  <c r="T77" i="1"/>
  <c r="G77" i="1" s="1"/>
  <c r="C7" i="45"/>
  <c r="C121" i="45"/>
  <c r="T121" i="1"/>
  <c r="G121" i="1" s="1"/>
  <c r="T170" i="1"/>
  <c r="G170" i="1" s="1"/>
  <c r="C147" i="45"/>
  <c r="T147" i="1"/>
  <c r="G147" i="1" s="1"/>
  <c r="C138" i="45"/>
  <c r="T138" i="1"/>
  <c r="G138" i="1" s="1"/>
  <c r="C131" i="45"/>
  <c r="T131" i="1"/>
  <c r="G131" i="1" s="1"/>
  <c r="C122" i="45"/>
  <c r="T122" i="1"/>
  <c r="G122" i="1" s="1"/>
  <c r="C163" i="45"/>
  <c r="T163" i="1"/>
  <c r="G163" i="1" s="1"/>
  <c r="C152" i="45"/>
  <c r="T152" i="1"/>
  <c r="G152" i="1" s="1"/>
  <c r="C73" i="45"/>
  <c r="T73" i="1"/>
  <c r="G73" i="1" s="1"/>
  <c r="T76" i="1"/>
  <c r="G76" i="1" s="1"/>
  <c r="C94" i="45"/>
  <c r="T94" i="1"/>
  <c r="G94" i="1" s="1"/>
  <c r="C106" i="45"/>
  <c r="T106" i="1"/>
  <c r="G106" i="1" s="1"/>
  <c r="C65" i="45"/>
  <c r="T65" i="1"/>
  <c r="G65" i="1" s="1"/>
  <c r="T63" i="1"/>
  <c r="G63" i="1" s="1"/>
  <c r="C88" i="45"/>
  <c r="T88" i="1"/>
  <c r="G88" i="1" s="1"/>
  <c r="C125" i="45"/>
  <c r="T125" i="1"/>
  <c r="G125" i="1" s="1"/>
  <c r="C140" i="45"/>
  <c r="T140" i="1"/>
  <c r="G140" i="1" s="1"/>
  <c r="C22" i="45"/>
  <c r="T22" i="1"/>
  <c r="G22" i="1" s="1"/>
  <c r="C166" i="45"/>
  <c r="T166" i="1"/>
  <c r="G166" i="1" s="1"/>
  <c r="T149" i="1"/>
  <c r="G149" i="1" s="1"/>
  <c r="C48" i="45"/>
  <c r="T48" i="1"/>
  <c r="G48" i="1" s="1"/>
  <c r="C15" i="45"/>
  <c r="T15" i="1"/>
  <c r="G15" i="1" s="1"/>
  <c r="T86" i="1"/>
  <c r="G86" i="1" s="1"/>
  <c r="C86" i="45"/>
  <c r="C112" i="45"/>
  <c r="T112" i="1"/>
  <c r="G112" i="1" s="1"/>
  <c r="C126" i="45"/>
  <c r="T126" i="1"/>
  <c r="G126" i="1" s="1"/>
  <c r="T40" i="1"/>
  <c r="G40" i="1" s="1"/>
  <c r="C40" i="45"/>
  <c r="C146" i="45"/>
  <c r="T146" i="1"/>
  <c r="G146" i="1" s="1"/>
  <c r="C155" i="45"/>
  <c r="T155" i="1"/>
  <c r="G155" i="1" s="1"/>
  <c r="C161" i="45"/>
  <c r="T161" i="1"/>
  <c r="G161" i="1" s="1"/>
  <c r="C141" i="45"/>
  <c r="T141" i="1"/>
  <c r="G141" i="1" s="1"/>
  <c r="C78" i="45"/>
  <c r="T78" i="1"/>
  <c r="G78" i="1" s="1"/>
  <c r="C116" i="45"/>
  <c r="T116" i="1"/>
  <c r="G116" i="1" s="1"/>
  <c r="C143" i="45"/>
  <c r="T143" i="1"/>
  <c r="G143" i="1" s="1"/>
  <c r="C62" i="45"/>
  <c r="T62" i="1"/>
  <c r="G62" i="1" s="1"/>
  <c r="T89" i="1"/>
  <c r="G89" i="1" s="1"/>
  <c r="C162" i="45"/>
  <c r="T162" i="1"/>
  <c r="G162" i="1" s="1"/>
  <c r="C97" i="45"/>
  <c r="T97" i="1"/>
  <c r="G97" i="1" s="1"/>
  <c r="C17" i="45"/>
  <c r="T17" i="1"/>
  <c r="G17" i="1" s="1"/>
  <c r="T8" i="1"/>
  <c r="G8" i="1" s="1"/>
  <c r="C110" i="45"/>
  <c r="T110" i="1"/>
  <c r="G110" i="1" s="1"/>
  <c r="C159" i="45"/>
  <c r="T159" i="1"/>
  <c r="G159" i="1" s="1"/>
  <c r="T165" i="1"/>
  <c r="G165" i="1" s="1"/>
  <c r="T82" i="1"/>
  <c r="G82" i="1" s="1"/>
  <c r="C135" i="45"/>
  <c r="T135" i="1"/>
  <c r="G135" i="1" s="1"/>
  <c r="C64" i="45"/>
  <c r="T64" i="1"/>
  <c r="G64" i="1" s="1"/>
  <c r="C93" i="45"/>
  <c r="T93" i="1"/>
  <c r="G93" i="1" s="1"/>
  <c r="C98" i="45"/>
  <c r="T98" i="1"/>
  <c r="G98" i="1" s="1"/>
  <c r="C83" i="45"/>
  <c r="T83" i="1"/>
  <c r="G83" i="1" s="1"/>
  <c r="T19" i="1"/>
  <c r="G19" i="1" s="1"/>
  <c r="C12" i="45"/>
  <c r="T12" i="1"/>
  <c r="G12" i="1" s="1"/>
  <c r="T47" i="1"/>
  <c r="G47" i="1" s="1"/>
  <c r="C51" i="45"/>
  <c r="T51" i="1"/>
  <c r="G51" i="1" s="1"/>
  <c r="C101" i="45"/>
  <c r="T101" i="1"/>
  <c r="G101" i="1" s="1"/>
  <c r="C67" i="45"/>
  <c r="T67" i="1"/>
  <c r="G67" i="1" s="1"/>
  <c r="C107" i="45"/>
  <c r="T107" i="1"/>
  <c r="G107" i="1" s="1"/>
  <c r="C100" i="45"/>
  <c r="T100" i="1"/>
  <c r="G100" i="1" s="1"/>
  <c r="T118" i="1"/>
  <c r="G118" i="1" s="1"/>
  <c r="C21" i="45"/>
  <c r="T21" i="1"/>
  <c r="G21" i="1" s="1"/>
  <c r="C95" i="45"/>
  <c r="T95" i="1"/>
  <c r="G95" i="1" s="1"/>
  <c r="C66" i="45"/>
  <c r="T66" i="1"/>
  <c r="G66" i="1" s="1"/>
  <c r="C148" i="45"/>
  <c r="T148" i="1"/>
  <c r="G148" i="1" s="1"/>
  <c r="C111" i="45"/>
  <c r="T111" i="1"/>
  <c r="G111" i="1" s="1"/>
  <c r="C74" i="45"/>
  <c r="T74" i="1"/>
  <c r="G74" i="1" s="1"/>
  <c r="C137" i="45"/>
  <c r="T137" i="1"/>
  <c r="G137" i="1" s="1"/>
  <c r="C136" i="45"/>
  <c r="T136" i="1"/>
  <c r="G136" i="1" s="1"/>
  <c r="C144" i="45"/>
  <c r="T144" i="1"/>
  <c r="G144" i="1" s="1"/>
  <c r="C29" i="45"/>
  <c r="T29" i="1"/>
  <c r="G29" i="1" s="1"/>
  <c r="C46" i="45"/>
  <c r="T46" i="1"/>
  <c r="G46" i="1" s="1"/>
  <c r="C114" i="45"/>
  <c r="T114" i="1"/>
  <c r="G114" i="1" s="1"/>
  <c r="C52" i="45"/>
  <c r="T52" i="1"/>
  <c r="G52" i="1" s="1"/>
  <c r="C108" i="45"/>
  <c r="T108" i="1"/>
  <c r="G108" i="1" s="1"/>
  <c r="C134" i="45"/>
  <c r="T134" i="1"/>
  <c r="G134" i="1" s="1"/>
  <c r="C35" i="45"/>
  <c r="T35" i="1"/>
  <c r="G35" i="1" s="1"/>
  <c r="C164" i="45"/>
  <c r="T164" i="1"/>
  <c r="G164" i="1" s="1"/>
  <c r="C11" i="45"/>
  <c r="T11" i="1"/>
  <c r="G11" i="1" s="1"/>
  <c r="C68" i="45"/>
  <c r="T68" i="1"/>
  <c r="G68" i="1" s="1"/>
  <c r="C79" i="45"/>
  <c r="T79" i="1"/>
  <c r="G79" i="1" s="1"/>
  <c r="C150" i="45"/>
  <c r="T150" i="1"/>
  <c r="G150" i="1" s="1"/>
  <c r="C145" i="45"/>
  <c r="T145" i="1"/>
  <c r="G145" i="1" s="1"/>
  <c r="C70" i="45"/>
  <c r="T70" i="1"/>
  <c r="G70" i="1" s="1"/>
  <c r="C71" i="45"/>
  <c r="T71" i="1"/>
  <c r="G71" i="1" s="1"/>
  <c r="C133" i="45"/>
  <c r="T133" i="1"/>
  <c r="G133" i="1" s="1"/>
  <c r="T142" i="1"/>
  <c r="G142" i="1" s="1"/>
  <c r="C171" i="45"/>
  <c r="T171" i="1"/>
  <c r="G171" i="1" s="1"/>
  <c r="C59" i="45"/>
  <c r="T59" i="1"/>
  <c r="G59" i="1" s="1"/>
  <c r="C60" i="45"/>
  <c r="T60" i="1"/>
  <c r="G60" i="1" s="1"/>
  <c r="C124" i="45"/>
  <c r="T124" i="1"/>
  <c r="G124" i="1" s="1"/>
  <c r="C128" i="45"/>
  <c r="T128" i="1"/>
  <c r="G128" i="1" s="1"/>
  <c r="T154" i="1"/>
  <c r="G154" i="1" s="1"/>
  <c r="T168" i="1"/>
  <c r="G168" i="1" s="1"/>
  <c r="C151" i="45"/>
  <c r="T151" i="1"/>
  <c r="G151" i="1" s="1"/>
  <c r="C157" i="45"/>
  <c r="T157" i="1"/>
  <c r="G157" i="1" s="1"/>
  <c r="T50" i="1"/>
  <c r="G50" i="1" s="1"/>
  <c r="C104" i="45"/>
  <c r="T104" i="1"/>
  <c r="G104" i="1" s="1"/>
  <c r="C103" i="45"/>
  <c r="T103" i="1"/>
  <c r="G103" i="1" s="1"/>
  <c r="C38" i="45"/>
  <c r="T38" i="1"/>
  <c r="G38" i="1" s="1"/>
  <c r="C20" i="45"/>
  <c r="T20" i="1"/>
  <c r="G20" i="1" s="1"/>
  <c r="C33" i="45"/>
  <c r="T33" i="1"/>
  <c r="G33" i="1" s="1"/>
  <c r="C55" i="45"/>
  <c r="T55" i="1"/>
  <c r="G55" i="1" s="1"/>
  <c r="C30" i="45"/>
  <c r="T30" i="1"/>
  <c r="G30" i="1" s="1"/>
  <c r="C39" i="45"/>
  <c r="T39" i="1"/>
  <c r="G39" i="1" s="1"/>
  <c r="T69" i="1"/>
  <c r="G69" i="1" s="1"/>
  <c r="T43" i="1"/>
  <c r="G43" i="1" s="1"/>
  <c r="T102" i="1"/>
  <c r="G102" i="1" s="1"/>
  <c r="T113" i="1"/>
  <c r="G113" i="1" s="1"/>
  <c r="T49" i="1"/>
  <c r="G49" i="1" s="1"/>
  <c r="C23" i="45"/>
  <c r="T23" i="1"/>
  <c r="G23" i="1" s="1"/>
  <c r="T132" i="1"/>
  <c r="G132" i="1" s="1"/>
  <c r="C127" i="45"/>
  <c r="T127" i="1"/>
  <c r="G127" i="1" s="1"/>
  <c r="H129" i="45"/>
  <c r="H129" i="1"/>
  <c r="L129" i="1" s="1"/>
  <c r="P129" i="1" s="1"/>
  <c r="C34" i="45"/>
  <c r="T34" i="1"/>
  <c r="G34" i="1" s="1"/>
  <c r="C36" i="45"/>
  <c r="T36" i="1"/>
  <c r="G36" i="1" s="1"/>
  <c r="C75" i="45"/>
  <c r="T75" i="1"/>
  <c r="G75" i="1" s="1"/>
  <c r="C54" i="45"/>
  <c r="T54" i="1"/>
  <c r="G54" i="1" s="1"/>
  <c r="T37" i="1"/>
  <c r="G37" i="1" s="1"/>
  <c r="C37" i="45"/>
  <c r="C31" i="45"/>
  <c r="T31" i="1"/>
  <c r="G31" i="1" s="1"/>
  <c r="C28" i="45"/>
  <c r="T28" i="1"/>
  <c r="G28" i="1" s="1"/>
  <c r="T156" i="1"/>
  <c r="G156" i="1" s="1"/>
  <c r="T9" i="1"/>
  <c r="G9" i="1" s="1"/>
  <c r="T42" i="1"/>
  <c r="G42" i="1" s="1"/>
  <c r="C42" i="45"/>
  <c r="T27" i="1"/>
  <c r="G27" i="1" s="1"/>
  <c r="C27" i="45"/>
  <c r="C25" i="45"/>
  <c r="T25" i="1"/>
  <c r="G25" i="1" s="1"/>
  <c r="C41" i="45"/>
  <c r="H41" i="45"/>
  <c r="H41" i="1"/>
  <c r="L41" i="1" s="1"/>
  <c r="P41" i="1" s="1"/>
  <c r="T26" i="1"/>
  <c r="G26" i="1" s="1"/>
  <c r="H167" i="45" l="1"/>
  <c r="H84" i="45"/>
  <c r="H87" i="45"/>
  <c r="H13" i="1"/>
  <c r="L13" i="1" s="1"/>
  <c r="P13" i="1" s="1"/>
  <c r="H117" i="1"/>
  <c r="AB117" i="1" s="1"/>
  <c r="H80" i="45"/>
  <c r="H80" i="1"/>
  <c r="H14" i="45"/>
  <c r="H14" i="1"/>
  <c r="H35" i="45"/>
  <c r="H35" i="1"/>
  <c r="H169" i="45"/>
  <c r="H169" i="1"/>
  <c r="H37" i="1"/>
  <c r="H37" i="45"/>
  <c r="H30" i="45"/>
  <c r="H30" i="1"/>
  <c r="H104" i="1"/>
  <c r="H104" i="45"/>
  <c r="H71" i="45"/>
  <c r="H71" i="1"/>
  <c r="H67" i="45"/>
  <c r="H67" i="1"/>
  <c r="H98" i="45"/>
  <c r="H98" i="1"/>
  <c r="H110" i="45"/>
  <c r="H110" i="1"/>
  <c r="H86" i="45"/>
  <c r="H86" i="1"/>
  <c r="H22" i="45"/>
  <c r="H22" i="1"/>
  <c r="H131" i="45"/>
  <c r="H131" i="1"/>
  <c r="L131" i="1" s="1"/>
  <c r="P131" i="1" s="1"/>
  <c r="H24" i="45"/>
  <c r="H24" i="1"/>
  <c r="H119" i="45"/>
  <c r="H119" i="1"/>
  <c r="H85" i="1"/>
  <c r="H85" i="45"/>
  <c r="H124" i="45"/>
  <c r="H124" i="1"/>
  <c r="H134" i="45"/>
  <c r="H134" i="1"/>
  <c r="H144" i="45"/>
  <c r="H144" i="1"/>
  <c r="H66" i="45"/>
  <c r="H66" i="1"/>
  <c r="H143" i="45"/>
  <c r="H143" i="1"/>
  <c r="H146" i="45"/>
  <c r="H146" i="1"/>
  <c r="H15" i="45"/>
  <c r="H15" i="1"/>
  <c r="H94" i="45"/>
  <c r="H94" i="1"/>
  <c r="H173" i="45"/>
  <c r="H173" i="1"/>
  <c r="H139" i="45"/>
  <c r="H139" i="1"/>
  <c r="H7" i="1"/>
  <c r="H7" i="45"/>
  <c r="H109" i="45"/>
  <c r="H109" i="1"/>
  <c r="H25" i="1"/>
  <c r="H25" i="45"/>
  <c r="H62" i="45"/>
  <c r="H62" i="1"/>
  <c r="H132" i="45"/>
  <c r="H132" i="1"/>
  <c r="H23" i="45"/>
  <c r="H23" i="1"/>
  <c r="H55" i="45"/>
  <c r="H55" i="1"/>
  <c r="H50" i="45"/>
  <c r="H50" i="1"/>
  <c r="H70" i="45"/>
  <c r="H70" i="1"/>
  <c r="L70" i="1" s="1"/>
  <c r="P70" i="1" s="1"/>
  <c r="H101" i="1"/>
  <c r="H101" i="45"/>
  <c r="H93" i="1"/>
  <c r="H93" i="45"/>
  <c r="H8" i="45"/>
  <c r="H8" i="1"/>
  <c r="H140" i="45"/>
  <c r="H140" i="1"/>
  <c r="H138" i="45"/>
  <c r="H138" i="1"/>
  <c r="H153" i="45"/>
  <c r="H153" i="1"/>
  <c r="H148" i="45"/>
  <c r="H148" i="1"/>
  <c r="H10" i="45"/>
  <c r="H10" i="1"/>
  <c r="H75" i="45"/>
  <c r="H75" i="1"/>
  <c r="L75" i="1" s="1"/>
  <c r="P75" i="1" s="1"/>
  <c r="H157" i="45"/>
  <c r="H157" i="1"/>
  <c r="L157" i="1" s="1"/>
  <c r="P157" i="1" s="1"/>
  <c r="H79" i="45"/>
  <c r="H79" i="1"/>
  <c r="L79" i="1" s="1"/>
  <c r="P79" i="1" s="1"/>
  <c r="H108" i="1"/>
  <c r="L108" i="1" s="1"/>
  <c r="P108" i="1" s="1"/>
  <c r="H108" i="45"/>
  <c r="H136" i="45"/>
  <c r="H136" i="1"/>
  <c r="H95" i="45"/>
  <c r="H95" i="1"/>
  <c r="H17" i="45"/>
  <c r="H17" i="1"/>
  <c r="H116" i="45"/>
  <c r="H116" i="1"/>
  <c r="H48" i="45"/>
  <c r="H48" i="1"/>
  <c r="H76" i="1"/>
  <c r="H76" i="45"/>
  <c r="AB167" i="1"/>
  <c r="I167" i="45"/>
  <c r="M167" i="1"/>
  <c r="L167" i="1"/>
  <c r="P167" i="1" s="1"/>
  <c r="H130" i="45"/>
  <c r="H130" i="1"/>
  <c r="H160" i="45"/>
  <c r="H160" i="1"/>
  <c r="H45" i="45"/>
  <c r="H45" i="1"/>
  <c r="H123" i="45"/>
  <c r="H123" i="1"/>
  <c r="H92" i="45"/>
  <c r="H92" i="1"/>
  <c r="H54" i="45"/>
  <c r="H54" i="1"/>
  <c r="L54" i="1" s="1"/>
  <c r="P54" i="1" s="1"/>
  <c r="H27" i="1"/>
  <c r="H27" i="45"/>
  <c r="H60" i="45"/>
  <c r="H60" i="1"/>
  <c r="H42" i="1"/>
  <c r="H42" i="45"/>
  <c r="H49" i="45"/>
  <c r="H49" i="1"/>
  <c r="L49" i="1" s="1"/>
  <c r="P49" i="1" s="1"/>
  <c r="H33" i="1"/>
  <c r="H33" i="45"/>
  <c r="I84" i="45"/>
  <c r="AB84" i="1"/>
  <c r="M84" i="1"/>
  <c r="L84" i="1"/>
  <c r="P84" i="1" s="1"/>
  <c r="H51" i="45"/>
  <c r="H51" i="1"/>
  <c r="H64" i="45"/>
  <c r="H64" i="1"/>
  <c r="H40" i="45"/>
  <c r="H40" i="1"/>
  <c r="H125" i="45"/>
  <c r="H125" i="1"/>
  <c r="H73" i="45"/>
  <c r="H73" i="1"/>
  <c r="H147" i="45"/>
  <c r="H147" i="1"/>
  <c r="H61" i="45"/>
  <c r="H61" i="1"/>
  <c r="H115" i="1"/>
  <c r="H115" i="45"/>
  <c r="H29" i="1"/>
  <c r="H29" i="45"/>
  <c r="H59" i="45"/>
  <c r="H59" i="1"/>
  <c r="H52" i="45"/>
  <c r="H52" i="1"/>
  <c r="H21" i="45"/>
  <c r="H21" i="1"/>
  <c r="H78" i="45"/>
  <c r="H78" i="1"/>
  <c r="H126" i="45"/>
  <c r="H126" i="1"/>
  <c r="L126" i="1" s="1"/>
  <c r="P126" i="1" s="1"/>
  <c r="H32" i="45"/>
  <c r="H32" i="1"/>
  <c r="H53" i="1"/>
  <c r="H53" i="45"/>
  <c r="H158" i="45"/>
  <c r="H158" i="1"/>
  <c r="H56" i="1"/>
  <c r="H56" i="45"/>
  <c r="H105" i="45"/>
  <c r="H105" i="1"/>
  <c r="H155" i="45"/>
  <c r="H155" i="1"/>
  <c r="H9" i="1"/>
  <c r="L9" i="1" s="1"/>
  <c r="P9" i="1" s="1"/>
  <c r="H9" i="45"/>
  <c r="H137" i="1"/>
  <c r="H137" i="45"/>
  <c r="H156" i="45"/>
  <c r="H156" i="1"/>
  <c r="L156" i="1" s="1"/>
  <c r="P156" i="1" s="1"/>
  <c r="H102" i="45"/>
  <c r="H102" i="1"/>
  <c r="H20" i="45"/>
  <c r="H20" i="1"/>
  <c r="H145" i="45"/>
  <c r="H145" i="1"/>
  <c r="H47" i="45"/>
  <c r="H47" i="1"/>
  <c r="H135" i="45"/>
  <c r="H135" i="1"/>
  <c r="H97" i="45"/>
  <c r="H97" i="1"/>
  <c r="H88" i="45"/>
  <c r="H88" i="1"/>
  <c r="H152" i="45"/>
  <c r="H152" i="1"/>
  <c r="H170" i="45"/>
  <c r="H170" i="1"/>
  <c r="H44" i="45"/>
  <c r="H44" i="1"/>
  <c r="H106" i="45"/>
  <c r="H106" i="1"/>
  <c r="H151" i="45"/>
  <c r="H151" i="1"/>
  <c r="L151" i="1" s="1"/>
  <c r="P151" i="1" s="1"/>
  <c r="H34" i="45"/>
  <c r="H34" i="1"/>
  <c r="H43" i="45"/>
  <c r="H43" i="1"/>
  <c r="H168" i="45"/>
  <c r="H168" i="1"/>
  <c r="L168" i="1" s="1"/>
  <c r="P168" i="1" s="1"/>
  <c r="H171" i="45"/>
  <c r="H171" i="1"/>
  <c r="H11" i="45"/>
  <c r="H11" i="1"/>
  <c r="H114" i="45"/>
  <c r="H114" i="1"/>
  <c r="H74" i="45"/>
  <c r="H74" i="1"/>
  <c r="H118" i="45"/>
  <c r="H118" i="1"/>
  <c r="H12" i="45"/>
  <c r="H12" i="1"/>
  <c r="H141" i="45"/>
  <c r="H141" i="1"/>
  <c r="H121" i="45"/>
  <c r="H121" i="1"/>
  <c r="H99" i="45"/>
  <c r="H99" i="1"/>
  <c r="H120" i="45"/>
  <c r="H120" i="1"/>
  <c r="H16" i="45"/>
  <c r="H16" i="1"/>
  <c r="H72" i="1"/>
  <c r="H72" i="45"/>
  <c r="H128" i="45"/>
  <c r="H128" i="1"/>
  <c r="H113" i="45"/>
  <c r="H113" i="1"/>
  <c r="H68" i="45"/>
  <c r="H68" i="1"/>
  <c r="L68" i="1" s="1"/>
  <c r="P68" i="1" s="1"/>
  <c r="M41" i="1"/>
  <c r="AB41" i="1"/>
  <c r="I41" i="45"/>
  <c r="H69" i="45"/>
  <c r="H69" i="1"/>
  <c r="H38" i="45"/>
  <c r="H38" i="1"/>
  <c r="L38" i="1" s="1"/>
  <c r="P38" i="1" s="1"/>
  <c r="H154" i="45"/>
  <c r="H154" i="1"/>
  <c r="L154" i="1" s="1"/>
  <c r="P154" i="1" s="1"/>
  <c r="H150" i="45"/>
  <c r="H150" i="1"/>
  <c r="H100" i="45"/>
  <c r="H100" i="1"/>
  <c r="H82" i="45"/>
  <c r="H82" i="1"/>
  <c r="H162" i="45"/>
  <c r="H162" i="1"/>
  <c r="H63" i="1"/>
  <c r="H63" i="45"/>
  <c r="H163" i="45"/>
  <c r="H163" i="1"/>
  <c r="H58" i="45"/>
  <c r="H58" i="1"/>
  <c r="C18" i="45"/>
  <c r="T18" i="1"/>
  <c r="G18" i="1" s="1"/>
  <c r="G174" i="1" s="1"/>
  <c r="H28" i="45"/>
  <c r="H28" i="1"/>
  <c r="M87" i="1"/>
  <c r="I87" i="45"/>
  <c r="AB87" i="1"/>
  <c r="H164" i="45"/>
  <c r="H164" i="1"/>
  <c r="H46" i="45"/>
  <c r="H46" i="1"/>
  <c r="H111" i="45"/>
  <c r="H111" i="1"/>
  <c r="H19" i="1"/>
  <c r="H19" i="45"/>
  <c r="H165" i="45"/>
  <c r="H165" i="1"/>
  <c r="L165" i="1" s="1"/>
  <c r="P165" i="1" s="1"/>
  <c r="H161" i="45"/>
  <c r="H161" i="1"/>
  <c r="H112" i="45"/>
  <c r="H112" i="1"/>
  <c r="H149" i="45"/>
  <c r="H149" i="1"/>
  <c r="H65" i="45"/>
  <c r="H65" i="1"/>
  <c r="H81" i="45"/>
  <c r="H81" i="1"/>
  <c r="H172" i="45"/>
  <c r="H172" i="1"/>
  <c r="L172" i="1" s="1"/>
  <c r="P172" i="1" s="1"/>
  <c r="H90" i="45"/>
  <c r="H90" i="1"/>
  <c r="H91" i="45"/>
  <c r="H91" i="1"/>
  <c r="H57" i="45"/>
  <c r="H57" i="1"/>
  <c r="H127" i="45"/>
  <c r="H127" i="1"/>
  <c r="L127" i="1" s="1"/>
  <c r="P127" i="1" s="1"/>
  <c r="H36" i="1"/>
  <c r="H36" i="45"/>
  <c r="H26" i="1"/>
  <c r="H26" i="45"/>
  <c r="H31" i="45"/>
  <c r="H31" i="1"/>
  <c r="AB129" i="1"/>
  <c r="I129" i="45"/>
  <c r="M129" i="1"/>
  <c r="H142" i="45"/>
  <c r="H142" i="1"/>
  <c r="H39" i="1"/>
  <c r="H39" i="45"/>
  <c r="H103" i="45"/>
  <c r="H103" i="1"/>
  <c r="L103" i="1" s="1"/>
  <c r="P103" i="1" s="1"/>
  <c r="H133" i="45"/>
  <c r="H133" i="1"/>
  <c r="H107" i="45"/>
  <c r="H107" i="1"/>
  <c r="H83" i="45"/>
  <c r="H83" i="1"/>
  <c r="H159" i="45"/>
  <c r="H159" i="1"/>
  <c r="H89" i="45"/>
  <c r="H89" i="1"/>
  <c r="H166" i="45"/>
  <c r="H166" i="1"/>
  <c r="H122" i="45"/>
  <c r="H122" i="1"/>
  <c r="H77" i="45"/>
  <c r="H77" i="1"/>
  <c r="H96" i="45"/>
  <c r="H96" i="1"/>
  <c r="AB13" i="1" l="1"/>
  <c r="M13" i="1"/>
  <c r="K13" i="45" s="1"/>
  <c r="I117" i="45"/>
  <c r="L117" i="1"/>
  <c r="P117" i="1" s="1"/>
  <c r="M117" i="1"/>
  <c r="K117" i="45" s="1"/>
  <c r="I13" i="45"/>
  <c r="L80" i="1"/>
  <c r="P80" i="1" s="1"/>
  <c r="J80" i="1"/>
  <c r="M80" i="1"/>
  <c r="AB80" i="1"/>
  <c r="I80" i="45"/>
  <c r="M14" i="1"/>
  <c r="AB14" i="1"/>
  <c r="I14" i="45"/>
  <c r="L14" i="1"/>
  <c r="P14" i="1" s="1"/>
  <c r="M39" i="1"/>
  <c r="AB39" i="1"/>
  <c r="I39" i="45"/>
  <c r="L39" i="1"/>
  <c r="P39" i="1" s="1"/>
  <c r="I171" i="45"/>
  <c r="AB171" i="1"/>
  <c r="L171" i="1"/>
  <c r="P171" i="1" s="1"/>
  <c r="M171" i="1"/>
  <c r="I54" i="45"/>
  <c r="AB54" i="1"/>
  <c r="M54" i="1"/>
  <c r="M111" i="1"/>
  <c r="AB111" i="1"/>
  <c r="I111" i="45"/>
  <c r="L111" i="1"/>
  <c r="P111" i="1" s="1"/>
  <c r="AB120" i="1"/>
  <c r="I120" i="45"/>
  <c r="M120" i="1"/>
  <c r="L120" i="1"/>
  <c r="P120" i="1" s="1"/>
  <c r="AB9" i="1"/>
  <c r="J9" i="1"/>
  <c r="I9" i="45"/>
  <c r="M9" i="1"/>
  <c r="AB59" i="1"/>
  <c r="M59" i="1"/>
  <c r="I59" i="45"/>
  <c r="L59" i="1"/>
  <c r="P59" i="1" s="1"/>
  <c r="J125" i="1"/>
  <c r="I125" i="45"/>
  <c r="M125" i="1"/>
  <c r="AB125" i="1"/>
  <c r="L125" i="1"/>
  <c r="P125" i="1" s="1"/>
  <c r="R167" i="1"/>
  <c r="Q167" i="1"/>
  <c r="K167" i="45"/>
  <c r="AB95" i="1"/>
  <c r="I95" i="45"/>
  <c r="M95" i="1"/>
  <c r="L95" i="1"/>
  <c r="P95" i="1" s="1"/>
  <c r="I10" i="45"/>
  <c r="AB10" i="1"/>
  <c r="M10" i="1"/>
  <c r="L10" i="1"/>
  <c r="P10" i="1" s="1"/>
  <c r="AB55" i="1"/>
  <c r="I55" i="45"/>
  <c r="L55" i="1"/>
  <c r="P55" i="1" s="1"/>
  <c r="M55" i="1"/>
  <c r="B3" i="15"/>
  <c r="AB146" i="1"/>
  <c r="I146" i="45"/>
  <c r="M146" i="1"/>
  <c r="L146" i="1"/>
  <c r="P146" i="1" s="1"/>
  <c r="L36" i="1"/>
  <c r="P36" i="1" s="1"/>
  <c r="I36" i="45"/>
  <c r="AB36" i="1"/>
  <c r="M36" i="1"/>
  <c r="K41" i="45"/>
  <c r="R41" i="1"/>
  <c r="Q41" i="1"/>
  <c r="AB12" i="1"/>
  <c r="I12" i="45"/>
  <c r="M12" i="1"/>
  <c r="L12" i="1"/>
  <c r="P12" i="1" s="1"/>
  <c r="AB168" i="1"/>
  <c r="I168" i="45"/>
  <c r="M168" i="1"/>
  <c r="AB170" i="1"/>
  <c r="I170" i="45"/>
  <c r="M170" i="1"/>
  <c r="L170" i="1"/>
  <c r="P170" i="1" s="1"/>
  <c r="AB145" i="1"/>
  <c r="I145" i="45"/>
  <c r="L145" i="1"/>
  <c r="P145" i="1" s="1"/>
  <c r="M145" i="1"/>
  <c r="AB155" i="1"/>
  <c r="I155" i="45"/>
  <c r="M155" i="1"/>
  <c r="L155" i="1"/>
  <c r="P155" i="1" s="1"/>
  <c r="I92" i="45"/>
  <c r="M92" i="1"/>
  <c r="AB92" i="1"/>
  <c r="L92" i="1"/>
  <c r="P92" i="1" s="1"/>
  <c r="M85" i="1"/>
  <c r="AB85" i="1"/>
  <c r="I85" i="45"/>
  <c r="L85" i="1"/>
  <c r="P85" i="1" s="1"/>
  <c r="L22" i="1"/>
  <c r="P22" i="1" s="1"/>
  <c r="AB22" i="1"/>
  <c r="M22" i="1"/>
  <c r="I22" i="45"/>
  <c r="AB19" i="1"/>
  <c r="I19" i="45"/>
  <c r="M19" i="1"/>
  <c r="L19" i="1"/>
  <c r="P19" i="1" s="1"/>
  <c r="L32" i="1"/>
  <c r="P32" i="1" s="1"/>
  <c r="AB32" i="1"/>
  <c r="I32" i="45"/>
  <c r="M32" i="1"/>
  <c r="AB150" i="1"/>
  <c r="I150" i="45"/>
  <c r="J150" i="1"/>
  <c r="M150" i="1"/>
  <c r="L150" i="1"/>
  <c r="P150" i="1" s="1"/>
  <c r="AB68" i="1"/>
  <c r="I68" i="45"/>
  <c r="M68" i="1"/>
  <c r="AB99" i="1"/>
  <c r="I99" i="45"/>
  <c r="J99" i="1"/>
  <c r="M99" i="1"/>
  <c r="L99" i="1"/>
  <c r="P99" i="1" s="1"/>
  <c r="AB40" i="1"/>
  <c r="M40" i="1"/>
  <c r="I40" i="45"/>
  <c r="L40" i="1"/>
  <c r="P40" i="1" s="1"/>
  <c r="I33" i="45"/>
  <c r="AB33" i="1"/>
  <c r="M33" i="1"/>
  <c r="L33" i="1"/>
  <c r="P33" i="1" s="1"/>
  <c r="AB136" i="1"/>
  <c r="I136" i="45"/>
  <c r="M136" i="1"/>
  <c r="L136" i="1"/>
  <c r="P136" i="1" s="1"/>
  <c r="I148" i="45"/>
  <c r="AB148" i="1"/>
  <c r="M148" i="1"/>
  <c r="L148" i="1"/>
  <c r="P148" i="1" s="1"/>
  <c r="AB93" i="1"/>
  <c r="I93" i="45"/>
  <c r="M93" i="1"/>
  <c r="L93" i="1"/>
  <c r="P93" i="1" s="1"/>
  <c r="M23" i="1"/>
  <c r="L23" i="1"/>
  <c r="P23" i="1" s="1"/>
  <c r="AB23" i="1"/>
  <c r="I23" i="45"/>
  <c r="M143" i="1"/>
  <c r="AB143" i="1"/>
  <c r="I143" i="45"/>
  <c r="L143" i="1"/>
  <c r="P143" i="1" s="1"/>
  <c r="AB104" i="1"/>
  <c r="I104" i="45"/>
  <c r="J104" i="1"/>
  <c r="L104" i="1"/>
  <c r="P104" i="1" s="1"/>
  <c r="M104" i="1"/>
  <c r="M141" i="1"/>
  <c r="I141" i="45"/>
  <c r="AB141" i="1"/>
  <c r="J141" i="1"/>
  <c r="L141" i="1"/>
  <c r="P141" i="1" s="1"/>
  <c r="I8" i="45"/>
  <c r="AB8" i="1"/>
  <c r="M8" i="1"/>
  <c r="L8" i="1"/>
  <c r="P8" i="1" s="1"/>
  <c r="I127" i="45"/>
  <c r="J127" i="1"/>
  <c r="M127" i="1"/>
  <c r="AB127" i="1"/>
  <c r="I46" i="45"/>
  <c r="AB46" i="1"/>
  <c r="M46" i="1"/>
  <c r="L46" i="1"/>
  <c r="P46" i="1" s="1"/>
  <c r="AB118" i="1"/>
  <c r="I118" i="45"/>
  <c r="L118" i="1"/>
  <c r="P118" i="1" s="1"/>
  <c r="M118" i="1"/>
  <c r="M43" i="1"/>
  <c r="I43" i="45"/>
  <c r="AB43" i="1"/>
  <c r="L43" i="1"/>
  <c r="P43" i="1" s="1"/>
  <c r="M152" i="1"/>
  <c r="I152" i="45"/>
  <c r="AB152" i="1"/>
  <c r="L152" i="1"/>
  <c r="P152" i="1" s="1"/>
  <c r="M20" i="1"/>
  <c r="L20" i="1"/>
  <c r="P20" i="1" s="1"/>
  <c r="AB20" i="1"/>
  <c r="I20" i="45"/>
  <c r="M105" i="1"/>
  <c r="AB105" i="1"/>
  <c r="I105" i="45"/>
  <c r="L105" i="1"/>
  <c r="P105" i="1" s="1"/>
  <c r="L29" i="1"/>
  <c r="P29" i="1" s="1"/>
  <c r="M29" i="1"/>
  <c r="AB29" i="1"/>
  <c r="I29" i="45"/>
  <c r="AB49" i="1"/>
  <c r="I49" i="45"/>
  <c r="M49" i="1"/>
  <c r="I123" i="45"/>
  <c r="AB123" i="1"/>
  <c r="M123" i="1"/>
  <c r="L123" i="1"/>
  <c r="P123" i="1" s="1"/>
  <c r="M7" i="1"/>
  <c r="AB7" i="1"/>
  <c r="L7" i="1"/>
  <c r="P7" i="1" s="1"/>
  <c r="I7" i="45"/>
  <c r="AB86" i="1"/>
  <c r="I86" i="45"/>
  <c r="L86" i="1"/>
  <c r="P86" i="1" s="1"/>
  <c r="M86" i="1"/>
  <c r="M30" i="1"/>
  <c r="AB30" i="1"/>
  <c r="I30" i="45"/>
  <c r="L30" i="1"/>
  <c r="P30" i="1" s="1"/>
  <c r="M159" i="1"/>
  <c r="AB159" i="1"/>
  <c r="I159" i="45"/>
  <c r="L159" i="1"/>
  <c r="P159" i="1" s="1"/>
  <c r="AB65" i="1"/>
  <c r="I65" i="45"/>
  <c r="M65" i="1"/>
  <c r="L65" i="1"/>
  <c r="P65" i="1" s="1"/>
  <c r="Q129" i="1"/>
  <c r="K129" i="45"/>
  <c r="R129" i="1"/>
  <c r="I77" i="45"/>
  <c r="AB77" i="1"/>
  <c r="M77" i="1"/>
  <c r="L77" i="1"/>
  <c r="P77" i="1" s="1"/>
  <c r="I107" i="45"/>
  <c r="M107" i="1"/>
  <c r="AB107" i="1"/>
  <c r="L107" i="1"/>
  <c r="P107" i="1" s="1"/>
  <c r="M91" i="1"/>
  <c r="I91" i="45"/>
  <c r="AB91" i="1"/>
  <c r="L91" i="1"/>
  <c r="P91" i="1" s="1"/>
  <c r="I112" i="45"/>
  <c r="AB112" i="1"/>
  <c r="M112" i="1"/>
  <c r="L112" i="1"/>
  <c r="P112" i="1" s="1"/>
  <c r="M164" i="1"/>
  <c r="AB164" i="1"/>
  <c r="I164" i="45"/>
  <c r="J164" i="1"/>
  <c r="L164" i="1"/>
  <c r="P164" i="1" s="1"/>
  <c r="M163" i="1"/>
  <c r="AB163" i="1"/>
  <c r="I163" i="45"/>
  <c r="J163" i="1"/>
  <c r="L163" i="1"/>
  <c r="P163" i="1" s="1"/>
  <c r="M154" i="1"/>
  <c r="AB154" i="1"/>
  <c r="I154" i="45"/>
  <c r="AB113" i="1"/>
  <c r="I113" i="45"/>
  <c r="M113" i="1"/>
  <c r="L113" i="1"/>
  <c r="P113" i="1" s="1"/>
  <c r="I121" i="45"/>
  <c r="AB121" i="1"/>
  <c r="M121" i="1"/>
  <c r="L121" i="1"/>
  <c r="P121" i="1" s="1"/>
  <c r="AB126" i="1"/>
  <c r="I126" i="45"/>
  <c r="M126" i="1"/>
  <c r="I64" i="45"/>
  <c r="AB64" i="1"/>
  <c r="M64" i="1"/>
  <c r="L64" i="1"/>
  <c r="P64" i="1" s="1"/>
  <c r="T174" i="1"/>
  <c r="AB101" i="1"/>
  <c r="I101" i="45"/>
  <c r="J101" i="1"/>
  <c r="L101" i="1"/>
  <c r="P101" i="1" s="1"/>
  <c r="M101" i="1"/>
  <c r="I132" i="45"/>
  <c r="AB132" i="1"/>
  <c r="M132" i="1"/>
  <c r="L132" i="1"/>
  <c r="P132" i="1" s="1"/>
  <c r="AB139" i="1"/>
  <c r="I139" i="45"/>
  <c r="M139" i="1"/>
  <c r="L139" i="1"/>
  <c r="P139" i="1" s="1"/>
  <c r="AB66" i="1"/>
  <c r="I66" i="45"/>
  <c r="L66" i="1"/>
  <c r="P66" i="1" s="1"/>
  <c r="M66" i="1"/>
  <c r="J44" i="1"/>
  <c r="AB44" i="1"/>
  <c r="I44" i="45"/>
  <c r="M44" i="1"/>
  <c r="L44" i="1"/>
  <c r="P44" i="1" s="1"/>
  <c r="I131" i="45"/>
  <c r="AB131" i="1"/>
  <c r="J131" i="1"/>
  <c r="M131" i="1"/>
  <c r="AB74" i="1"/>
  <c r="I74" i="45"/>
  <c r="M74" i="1"/>
  <c r="L74" i="1"/>
  <c r="P74" i="1" s="1"/>
  <c r="L34" i="1"/>
  <c r="P34" i="1" s="1"/>
  <c r="AB34" i="1"/>
  <c r="I34" i="45"/>
  <c r="M34" i="1"/>
  <c r="M88" i="1"/>
  <c r="I88" i="45"/>
  <c r="AB88" i="1"/>
  <c r="L88" i="1"/>
  <c r="P88" i="1" s="1"/>
  <c r="AB102" i="1"/>
  <c r="I102" i="45"/>
  <c r="L102" i="1"/>
  <c r="P102" i="1" s="1"/>
  <c r="M102" i="1"/>
  <c r="AB115" i="1"/>
  <c r="J115" i="1"/>
  <c r="M115" i="1"/>
  <c r="I115" i="45"/>
  <c r="L115" i="1"/>
  <c r="P115" i="1" s="1"/>
  <c r="AB45" i="1"/>
  <c r="I45" i="45"/>
  <c r="M45" i="1"/>
  <c r="L45" i="1"/>
  <c r="P45" i="1" s="1"/>
  <c r="AB76" i="1"/>
  <c r="I76" i="45"/>
  <c r="M76" i="1"/>
  <c r="L76" i="1"/>
  <c r="P76" i="1" s="1"/>
  <c r="I108" i="45"/>
  <c r="M108" i="1"/>
  <c r="AB108" i="1"/>
  <c r="M153" i="1"/>
  <c r="I153" i="45"/>
  <c r="AB153" i="1"/>
  <c r="L153" i="1"/>
  <c r="P153" i="1" s="1"/>
  <c r="I110" i="45"/>
  <c r="AB110" i="1"/>
  <c r="L110" i="1"/>
  <c r="P110" i="1" s="1"/>
  <c r="M110" i="1"/>
  <c r="I58" i="45"/>
  <c r="AB58" i="1"/>
  <c r="M58" i="1"/>
  <c r="L58" i="1"/>
  <c r="P58" i="1" s="1"/>
  <c r="AB133" i="1"/>
  <c r="I133" i="45"/>
  <c r="M133" i="1"/>
  <c r="L133" i="1"/>
  <c r="P133" i="1" s="1"/>
  <c r="AB38" i="1"/>
  <c r="I38" i="45"/>
  <c r="M38" i="1"/>
  <c r="AB128" i="1"/>
  <c r="I128" i="45"/>
  <c r="L128" i="1"/>
  <c r="P128" i="1" s="1"/>
  <c r="M128" i="1"/>
  <c r="I56" i="45"/>
  <c r="AB56" i="1"/>
  <c r="M56" i="1"/>
  <c r="L56" i="1"/>
  <c r="P56" i="1" s="1"/>
  <c r="AB78" i="1"/>
  <c r="I78" i="45"/>
  <c r="M78" i="1"/>
  <c r="L78" i="1"/>
  <c r="P78" i="1" s="1"/>
  <c r="AB61" i="1"/>
  <c r="I61" i="45"/>
  <c r="M61" i="1"/>
  <c r="L61" i="1"/>
  <c r="P61" i="1" s="1"/>
  <c r="I51" i="45"/>
  <c r="AB51" i="1"/>
  <c r="J51" i="1"/>
  <c r="L51" i="1"/>
  <c r="P51" i="1" s="1"/>
  <c r="M51" i="1"/>
  <c r="AB42" i="1"/>
  <c r="I42" i="45"/>
  <c r="M42" i="1"/>
  <c r="L42" i="1"/>
  <c r="P42" i="1" s="1"/>
  <c r="I48" i="45"/>
  <c r="AB48" i="1"/>
  <c r="M48" i="1"/>
  <c r="L48" i="1"/>
  <c r="P48" i="1" s="1"/>
  <c r="AB79" i="1"/>
  <c r="M79" i="1"/>
  <c r="I79" i="45"/>
  <c r="AB62" i="1"/>
  <c r="I62" i="45"/>
  <c r="M62" i="1"/>
  <c r="L62" i="1"/>
  <c r="P62" i="1" s="1"/>
  <c r="AB173" i="1"/>
  <c r="I173" i="45"/>
  <c r="M173" i="1"/>
  <c r="L173" i="1"/>
  <c r="P173" i="1" s="1"/>
  <c r="AB144" i="1"/>
  <c r="I144" i="45"/>
  <c r="M144" i="1"/>
  <c r="L144" i="1"/>
  <c r="P144" i="1" s="1"/>
  <c r="L37" i="1"/>
  <c r="P37" i="1" s="1"/>
  <c r="AB37" i="1"/>
  <c r="I37" i="45"/>
  <c r="M37" i="1"/>
  <c r="I47" i="45"/>
  <c r="AB47" i="1"/>
  <c r="M47" i="1"/>
  <c r="L47" i="1"/>
  <c r="P47" i="1" s="1"/>
  <c r="H18" i="45"/>
  <c r="H18" i="1"/>
  <c r="J66" i="1" s="1"/>
  <c r="AB149" i="1"/>
  <c r="I149" i="45"/>
  <c r="M149" i="1"/>
  <c r="L149" i="1"/>
  <c r="P149" i="1" s="1"/>
  <c r="I63" i="45"/>
  <c r="AB63" i="1"/>
  <c r="M63" i="1"/>
  <c r="L63" i="1"/>
  <c r="P63" i="1" s="1"/>
  <c r="M114" i="1"/>
  <c r="AB114" i="1"/>
  <c r="I114" i="45"/>
  <c r="L114" i="1"/>
  <c r="P114" i="1" s="1"/>
  <c r="I151" i="45"/>
  <c r="AB151" i="1"/>
  <c r="M151" i="1"/>
  <c r="M97" i="1"/>
  <c r="J97" i="1"/>
  <c r="AB97" i="1"/>
  <c r="I97" i="45"/>
  <c r="L97" i="1"/>
  <c r="P97" i="1" s="1"/>
  <c r="AB156" i="1"/>
  <c r="I156" i="45"/>
  <c r="M156" i="1"/>
  <c r="I158" i="45"/>
  <c r="J158" i="1"/>
  <c r="M158" i="1"/>
  <c r="AB158" i="1"/>
  <c r="L158" i="1"/>
  <c r="P158" i="1" s="1"/>
  <c r="AB60" i="1"/>
  <c r="I60" i="45"/>
  <c r="M60" i="1"/>
  <c r="L60" i="1"/>
  <c r="P60" i="1" s="1"/>
  <c r="AB160" i="1"/>
  <c r="I160" i="45"/>
  <c r="M160" i="1"/>
  <c r="L160" i="1"/>
  <c r="P160" i="1" s="1"/>
  <c r="AB138" i="1"/>
  <c r="I138" i="45"/>
  <c r="M138" i="1"/>
  <c r="L138" i="1"/>
  <c r="P138" i="1" s="1"/>
  <c r="I119" i="45"/>
  <c r="M119" i="1"/>
  <c r="AB119" i="1"/>
  <c r="L119" i="1"/>
  <c r="P119" i="1" s="1"/>
  <c r="AB98" i="1"/>
  <c r="J98" i="1"/>
  <c r="L98" i="1"/>
  <c r="P98" i="1" s="1"/>
  <c r="I98" i="45"/>
  <c r="M98" i="1"/>
  <c r="I169" i="45"/>
  <c r="AB169" i="1"/>
  <c r="L169" i="1"/>
  <c r="P169" i="1" s="1"/>
  <c r="M169" i="1"/>
  <c r="AB71" i="1"/>
  <c r="I71" i="45"/>
  <c r="M71" i="1"/>
  <c r="L71" i="1"/>
  <c r="P71" i="1" s="1"/>
  <c r="AB83" i="1"/>
  <c r="I83" i="45"/>
  <c r="M83" i="1"/>
  <c r="L83" i="1"/>
  <c r="P83" i="1" s="1"/>
  <c r="M31" i="1"/>
  <c r="AB31" i="1"/>
  <c r="L31" i="1"/>
  <c r="P31" i="1" s="1"/>
  <c r="I31" i="45"/>
  <c r="AB165" i="1"/>
  <c r="M165" i="1"/>
  <c r="I165" i="45"/>
  <c r="I162" i="45"/>
  <c r="AB162" i="1"/>
  <c r="M162" i="1"/>
  <c r="L162" i="1"/>
  <c r="P162" i="1" s="1"/>
  <c r="I69" i="45"/>
  <c r="AB69" i="1"/>
  <c r="M69" i="1"/>
  <c r="L69" i="1"/>
  <c r="P69" i="1" s="1"/>
  <c r="M21" i="1"/>
  <c r="L21" i="1"/>
  <c r="P21" i="1" s="1"/>
  <c r="I21" i="45"/>
  <c r="J21" i="1"/>
  <c r="AB21" i="1"/>
  <c r="I147" i="45"/>
  <c r="AB147" i="1"/>
  <c r="M147" i="1"/>
  <c r="L147" i="1"/>
  <c r="P147" i="1" s="1"/>
  <c r="I116" i="45"/>
  <c r="AB116" i="1"/>
  <c r="J116" i="1"/>
  <c r="M116" i="1"/>
  <c r="L116" i="1"/>
  <c r="P116" i="1" s="1"/>
  <c r="J157" i="1"/>
  <c r="M157" i="1"/>
  <c r="AB157" i="1"/>
  <c r="I157" i="45"/>
  <c r="I70" i="45"/>
  <c r="J70" i="1"/>
  <c r="AB70" i="1"/>
  <c r="M70" i="1"/>
  <c r="AB94" i="1"/>
  <c r="I94" i="45"/>
  <c r="J94" i="1"/>
  <c r="M94" i="1"/>
  <c r="L94" i="1"/>
  <c r="P94" i="1" s="1"/>
  <c r="AB134" i="1"/>
  <c r="I134" i="45"/>
  <c r="J134" i="1"/>
  <c r="M134" i="1"/>
  <c r="L134" i="1"/>
  <c r="P134" i="1" s="1"/>
  <c r="I100" i="45"/>
  <c r="AB100" i="1"/>
  <c r="M100" i="1"/>
  <c r="L100" i="1"/>
  <c r="P100" i="1" s="1"/>
  <c r="I96" i="45"/>
  <c r="AB96" i="1"/>
  <c r="M96" i="1"/>
  <c r="J96" i="1"/>
  <c r="L96" i="1"/>
  <c r="P96" i="1" s="1"/>
  <c r="AB90" i="1"/>
  <c r="I90" i="45"/>
  <c r="M90" i="1"/>
  <c r="L90" i="1"/>
  <c r="P90" i="1" s="1"/>
  <c r="AB166" i="1"/>
  <c r="I166" i="45"/>
  <c r="M166" i="1"/>
  <c r="J166" i="1"/>
  <c r="L166" i="1"/>
  <c r="P166" i="1" s="1"/>
  <c r="AB26" i="1"/>
  <c r="J26" i="1"/>
  <c r="I26" i="45"/>
  <c r="L26" i="1"/>
  <c r="P26" i="1" s="1"/>
  <c r="M26" i="1"/>
  <c r="R87" i="1"/>
  <c r="Q87" i="1"/>
  <c r="K87" i="45"/>
  <c r="I72" i="45"/>
  <c r="AB72" i="1"/>
  <c r="M72" i="1"/>
  <c r="L72" i="1"/>
  <c r="P72" i="1" s="1"/>
  <c r="I11" i="45"/>
  <c r="AB11" i="1"/>
  <c r="L11" i="1"/>
  <c r="P11" i="1" s="1"/>
  <c r="M11" i="1"/>
  <c r="AB106" i="1"/>
  <c r="I106" i="45"/>
  <c r="M106" i="1"/>
  <c r="L106" i="1"/>
  <c r="P106" i="1" s="1"/>
  <c r="AB135" i="1"/>
  <c r="I135" i="45"/>
  <c r="J135" i="1"/>
  <c r="M135" i="1"/>
  <c r="L135" i="1"/>
  <c r="P135" i="1" s="1"/>
  <c r="R84" i="1"/>
  <c r="K84" i="45"/>
  <c r="Q84" i="1"/>
  <c r="I130" i="45"/>
  <c r="J130" i="1"/>
  <c r="M130" i="1"/>
  <c r="AB130" i="1"/>
  <c r="L130" i="1"/>
  <c r="P130" i="1" s="1"/>
  <c r="AB140" i="1"/>
  <c r="I140" i="45"/>
  <c r="M140" i="1"/>
  <c r="L140" i="1"/>
  <c r="P140" i="1" s="1"/>
  <c r="I25" i="45"/>
  <c r="M25" i="1"/>
  <c r="L25" i="1"/>
  <c r="P25" i="1" s="1"/>
  <c r="AB25" i="1"/>
  <c r="AB24" i="1"/>
  <c r="L24" i="1"/>
  <c r="P24" i="1" s="1"/>
  <c r="I24" i="45"/>
  <c r="M24" i="1"/>
  <c r="I67" i="45"/>
  <c r="J67" i="1"/>
  <c r="AB67" i="1"/>
  <c r="M67" i="1"/>
  <c r="L67" i="1"/>
  <c r="P67" i="1" s="1"/>
  <c r="M35" i="1"/>
  <c r="L35" i="1"/>
  <c r="P35" i="1" s="1"/>
  <c r="AB35" i="1"/>
  <c r="I35" i="45"/>
  <c r="M142" i="1"/>
  <c r="AB142" i="1"/>
  <c r="I142" i="45"/>
  <c r="L142" i="1"/>
  <c r="P142" i="1" s="1"/>
  <c r="I57" i="45"/>
  <c r="AB57" i="1"/>
  <c r="M57" i="1"/>
  <c r="L57" i="1"/>
  <c r="P57" i="1" s="1"/>
  <c r="I122" i="45"/>
  <c r="J122" i="1"/>
  <c r="AB122" i="1"/>
  <c r="M122" i="1"/>
  <c r="L122" i="1"/>
  <c r="P122" i="1" s="1"/>
  <c r="L161" i="1"/>
  <c r="P161" i="1" s="1"/>
  <c r="M161" i="1"/>
  <c r="AB161" i="1"/>
  <c r="I161" i="45"/>
  <c r="AB103" i="1"/>
  <c r="I103" i="45"/>
  <c r="M103" i="1"/>
  <c r="J103" i="1"/>
  <c r="I172" i="45"/>
  <c r="AB172" i="1"/>
  <c r="M172" i="1"/>
  <c r="I89" i="45"/>
  <c r="AB89" i="1"/>
  <c r="L89" i="1"/>
  <c r="P89" i="1" s="1"/>
  <c r="M89" i="1"/>
  <c r="AB81" i="1"/>
  <c r="M81" i="1"/>
  <c r="I81" i="45"/>
  <c r="L81" i="1"/>
  <c r="P81" i="1" s="1"/>
  <c r="L28" i="1"/>
  <c r="P28" i="1" s="1"/>
  <c r="M28" i="1"/>
  <c r="AB28" i="1"/>
  <c r="I28" i="45"/>
  <c r="I82" i="45"/>
  <c r="AB82" i="1"/>
  <c r="M82" i="1"/>
  <c r="L82" i="1"/>
  <c r="P82" i="1" s="1"/>
  <c r="M16" i="1"/>
  <c r="AB16" i="1"/>
  <c r="J16" i="1"/>
  <c r="I16" i="45"/>
  <c r="L16" i="1"/>
  <c r="P16" i="1" s="1"/>
  <c r="Q13" i="1"/>
  <c r="R13" i="1"/>
  <c r="J137" i="1"/>
  <c r="AB137" i="1"/>
  <c r="M137" i="1"/>
  <c r="L137" i="1"/>
  <c r="P137" i="1" s="1"/>
  <c r="I137" i="45"/>
  <c r="AB53" i="1"/>
  <c r="I53" i="45"/>
  <c r="M53" i="1"/>
  <c r="L53" i="1"/>
  <c r="P53" i="1" s="1"/>
  <c r="I52" i="45"/>
  <c r="AB52" i="1"/>
  <c r="M52" i="1"/>
  <c r="L52" i="1"/>
  <c r="P52" i="1" s="1"/>
  <c r="J73" i="1"/>
  <c r="AB73" i="1"/>
  <c r="I73" i="45"/>
  <c r="M73" i="1"/>
  <c r="L73" i="1"/>
  <c r="P73" i="1" s="1"/>
  <c r="M27" i="1"/>
  <c r="L27" i="1"/>
  <c r="P27" i="1" s="1"/>
  <c r="AB27" i="1"/>
  <c r="I27" i="45"/>
  <c r="AB17" i="1"/>
  <c r="M17" i="1"/>
  <c r="I17" i="45"/>
  <c r="L17" i="1"/>
  <c r="P17" i="1" s="1"/>
  <c r="AB75" i="1"/>
  <c r="I75" i="45"/>
  <c r="M75" i="1"/>
  <c r="I50" i="45"/>
  <c r="J50" i="1"/>
  <c r="AB50" i="1"/>
  <c r="M50" i="1"/>
  <c r="L50" i="1"/>
  <c r="P50" i="1" s="1"/>
  <c r="J109" i="1"/>
  <c r="AB109" i="1"/>
  <c r="I109" i="45"/>
  <c r="M109" i="1"/>
  <c r="L109" i="1"/>
  <c r="P109" i="1" s="1"/>
  <c r="I15" i="45"/>
  <c r="J15" i="1"/>
  <c r="AB15" i="1"/>
  <c r="M15" i="1"/>
  <c r="L15" i="1"/>
  <c r="P15" i="1" s="1"/>
  <c r="M124" i="1"/>
  <c r="J124" i="1"/>
  <c r="I124" i="45"/>
  <c r="AB124" i="1"/>
  <c r="L124" i="1"/>
  <c r="P124" i="1" s="1"/>
  <c r="J161" i="1" l="1"/>
  <c r="J57" i="1"/>
  <c r="R117" i="1"/>
  <c r="J89" i="1"/>
  <c r="J52" i="1"/>
  <c r="J140" i="1"/>
  <c r="J24" i="1"/>
  <c r="J72" i="1"/>
  <c r="J27" i="1"/>
  <c r="J28" i="1"/>
  <c r="J75" i="1"/>
  <c r="J53" i="1"/>
  <c r="J63" i="1"/>
  <c r="J19" i="1"/>
  <c r="J107" i="1"/>
  <c r="J47" i="1"/>
  <c r="J171" i="1"/>
  <c r="J117" i="1"/>
  <c r="J133" i="1"/>
  <c r="J20" i="1"/>
  <c r="J71" i="1"/>
  <c r="Q117" i="1"/>
  <c r="J172" i="1"/>
  <c r="J90" i="1"/>
  <c r="J147" i="1"/>
  <c r="J11" i="1"/>
  <c r="J17" i="1"/>
  <c r="J142" i="1"/>
  <c r="J35" i="1"/>
  <c r="J81" i="1"/>
  <c r="J82" i="1"/>
  <c r="J8" i="1"/>
  <c r="J83" i="1"/>
  <c r="J162" i="1"/>
  <c r="J25" i="1"/>
  <c r="J169" i="1"/>
  <c r="J156" i="1"/>
  <c r="J149" i="1"/>
  <c r="J74" i="1"/>
  <c r="J120" i="1"/>
  <c r="J31" i="1"/>
  <c r="J119" i="1"/>
  <c r="J114" i="1"/>
  <c r="H174" i="1"/>
  <c r="J129" i="1"/>
  <c r="J62" i="1"/>
  <c r="J78" i="1"/>
  <c r="J38" i="1"/>
  <c r="J108" i="1"/>
  <c r="J111" i="1"/>
  <c r="J60" i="1"/>
  <c r="J34" i="1"/>
  <c r="J118" i="1"/>
  <c r="J68" i="1"/>
  <c r="J59" i="1"/>
  <c r="J139" i="1"/>
  <c r="J121" i="1"/>
  <c r="J159" i="1"/>
  <c r="J110" i="1"/>
  <c r="J91" i="1"/>
  <c r="J143" i="1"/>
  <c r="J106" i="1"/>
  <c r="J14" i="1"/>
  <c r="J151" i="1"/>
  <c r="J76" i="1"/>
  <c r="J84" i="1"/>
  <c r="J165" i="1"/>
  <c r="J64" i="1"/>
  <c r="J41" i="1"/>
  <c r="J100" i="1"/>
  <c r="J37" i="1"/>
  <c r="J128" i="1"/>
  <c r="J153" i="1"/>
  <c r="J167" i="1"/>
  <c r="J138" i="1"/>
  <c r="J160" i="1"/>
  <c r="J7" i="1"/>
  <c r="J69" i="1"/>
  <c r="J144" i="1"/>
  <c r="J79" i="1"/>
  <c r="J173" i="1"/>
  <c r="J42" i="1"/>
  <c r="J58" i="1"/>
  <c r="J105" i="1"/>
  <c r="J87" i="1"/>
  <c r="J48" i="1"/>
  <c r="J32" i="1"/>
  <c r="J77" i="1"/>
  <c r="J146" i="1"/>
  <c r="J132" i="1"/>
  <c r="J113" i="1"/>
  <c r="J45" i="1"/>
  <c r="J123" i="1"/>
  <c r="J22" i="1"/>
  <c r="J92" i="1"/>
  <c r="J12" i="1"/>
  <c r="J54" i="1"/>
  <c r="J88" i="1"/>
  <c r="J86" i="1"/>
  <c r="J93" i="1"/>
  <c r="J10" i="1"/>
  <c r="J126" i="1"/>
  <c r="J43" i="1"/>
  <c r="J46" i="1"/>
  <c r="J33" i="1"/>
  <c r="J155" i="1"/>
  <c r="J170" i="1"/>
  <c r="J61" i="1"/>
  <c r="J56" i="1"/>
  <c r="J49" i="1"/>
  <c r="J23" i="1"/>
  <c r="J85" i="1"/>
  <c r="J30" i="1"/>
  <c r="J29" i="1"/>
  <c r="J95" i="1"/>
  <c r="J154" i="1"/>
  <c r="J65" i="1"/>
  <c r="J148" i="1"/>
  <c r="J40" i="1"/>
  <c r="J168" i="1"/>
  <c r="J36" i="1"/>
  <c r="J55" i="1"/>
  <c r="J39" i="1"/>
  <c r="J112" i="1"/>
  <c r="J145" i="1"/>
  <c r="J102" i="1"/>
  <c r="J152" i="1"/>
  <c r="J136" i="1"/>
  <c r="J13" i="1"/>
  <c r="Q80" i="1"/>
  <c r="R80" i="1"/>
  <c r="K80" i="45"/>
  <c r="K14" i="45"/>
  <c r="R14" i="1"/>
  <c r="Q14" i="1"/>
  <c r="R122" i="1"/>
  <c r="Q122" i="1"/>
  <c r="K122" i="45"/>
  <c r="K149" i="45"/>
  <c r="Q149" i="1"/>
  <c r="R149" i="1"/>
  <c r="K16" i="45"/>
  <c r="Q16" i="1"/>
  <c r="R16" i="1"/>
  <c r="K169" i="45"/>
  <c r="R169" i="1"/>
  <c r="Q169" i="1"/>
  <c r="R56" i="1"/>
  <c r="K56" i="45"/>
  <c r="Q56" i="1"/>
  <c r="K110" i="45"/>
  <c r="Q110" i="1"/>
  <c r="R110" i="1"/>
  <c r="K126" i="45"/>
  <c r="Q126" i="1"/>
  <c r="R126" i="1"/>
  <c r="K152" i="45"/>
  <c r="Q152" i="1"/>
  <c r="R152" i="1"/>
  <c r="R46" i="1"/>
  <c r="K46" i="45"/>
  <c r="Q46" i="1"/>
  <c r="R32" i="1"/>
  <c r="Q32" i="1"/>
  <c r="K32" i="45"/>
  <c r="K22" i="45"/>
  <c r="R22" i="1"/>
  <c r="Q22" i="1"/>
  <c r="R170" i="1"/>
  <c r="K170" i="45"/>
  <c r="Q170" i="1"/>
  <c r="R120" i="1"/>
  <c r="Q120" i="1"/>
  <c r="K120" i="45"/>
  <c r="R159" i="1"/>
  <c r="Q159" i="1"/>
  <c r="K159" i="45"/>
  <c r="K162" i="45"/>
  <c r="Q162" i="1"/>
  <c r="R162" i="1"/>
  <c r="K31" i="45"/>
  <c r="R31" i="1"/>
  <c r="Q31" i="1"/>
  <c r="R119" i="1"/>
  <c r="K119" i="45"/>
  <c r="Q119" i="1"/>
  <c r="K131" i="45"/>
  <c r="Q131" i="1"/>
  <c r="R131" i="1"/>
  <c r="R101" i="1"/>
  <c r="K101" i="45"/>
  <c r="Q101" i="1"/>
  <c r="K91" i="45"/>
  <c r="Q91" i="1"/>
  <c r="R91" i="1"/>
  <c r="K49" i="45"/>
  <c r="Q49" i="1"/>
  <c r="R49" i="1"/>
  <c r="R33" i="1"/>
  <c r="K33" i="45"/>
  <c r="Q33" i="1"/>
  <c r="Q171" i="1"/>
  <c r="R171" i="1"/>
  <c r="K171" i="45"/>
  <c r="R134" i="1"/>
  <c r="K134" i="45"/>
  <c r="Q134" i="1"/>
  <c r="Q48" i="1"/>
  <c r="K48" i="45"/>
  <c r="R48" i="1"/>
  <c r="R82" i="1"/>
  <c r="K82" i="45"/>
  <c r="Q82" i="1"/>
  <c r="Q96" i="1"/>
  <c r="R96" i="1"/>
  <c r="K96" i="45"/>
  <c r="Q157" i="1"/>
  <c r="R157" i="1"/>
  <c r="K157" i="45"/>
  <c r="R60" i="1"/>
  <c r="K60" i="45"/>
  <c r="Q60" i="1"/>
  <c r="R62" i="1"/>
  <c r="K62" i="45"/>
  <c r="Q62" i="1"/>
  <c r="R61" i="1"/>
  <c r="K61" i="45"/>
  <c r="Q61" i="1"/>
  <c r="R115" i="1"/>
  <c r="Q115" i="1"/>
  <c r="K115" i="45"/>
  <c r="K88" i="45"/>
  <c r="R88" i="1"/>
  <c r="Q88" i="1"/>
  <c r="R105" i="1"/>
  <c r="K105" i="45"/>
  <c r="Q105" i="1"/>
  <c r="K155" i="45"/>
  <c r="Q155" i="1"/>
  <c r="R155" i="1"/>
  <c r="B14" i="15"/>
  <c r="B11" i="15"/>
  <c r="B7" i="15"/>
  <c r="B6" i="15"/>
  <c r="R95" i="1"/>
  <c r="Q95" i="1"/>
  <c r="K95" i="45"/>
  <c r="Q72" i="1"/>
  <c r="R72" i="1"/>
  <c r="K72" i="45"/>
  <c r="R124" i="1"/>
  <c r="Q124" i="1"/>
  <c r="K124" i="45"/>
  <c r="R50" i="1"/>
  <c r="K50" i="45"/>
  <c r="Q50" i="1"/>
  <c r="R52" i="1"/>
  <c r="K52" i="45"/>
  <c r="Q52" i="1"/>
  <c r="R83" i="1"/>
  <c r="K83" i="45"/>
  <c r="Q83" i="1"/>
  <c r="M18" i="1"/>
  <c r="I18" i="45"/>
  <c r="AB18" i="1"/>
  <c r="B15" i="15" s="1"/>
  <c r="J18" i="1"/>
  <c r="L18" i="1"/>
  <c r="P18" i="1" s="1"/>
  <c r="R133" i="1"/>
  <c r="K133" i="45"/>
  <c r="Q133" i="1"/>
  <c r="K76" i="45"/>
  <c r="Q76" i="1"/>
  <c r="R76" i="1"/>
  <c r="K34" i="45"/>
  <c r="Q34" i="1"/>
  <c r="R34" i="1"/>
  <c r="R164" i="1"/>
  <c r="Q164" i="1"/>
  <c r="K164" i="45"/>
  <c r="Q143" i="1"/>
  <c r="R143" i="1"/>
  <c r="K143" i="45"/>
  <c r="R148" i="1"/>
  <c r="Q148" i="1"/>
  <c r="K148" i="45"/>
  <c r="R68" i="1"/>
  <c r="K68" i="45"/>
  <c r="Q68" i="1"/>
  <c r="R55" i="1"/>
  <c r="K55" i="45"/>
  <c r="Q55" i="1"/>
  <c r="Q135" i="1"/>
  <c r="R135" i="1"/>
  <c r="K135" i="45"/>
  <c r="K99" i="45"/>
  <c r="Q99" i="1"/>
  <c r="R99" i="1"/>
  <c r="Q103" i="1"/>
  <c r="R103" i="1"/>
  <c r="K103" i="45"/>
  <c r="R89" i="1"/>
  <c r="K89" i="45"/>
  <c r="Q89" i="1"/>
  <c r="R57" i="1"/>
  <c r="K57" i="45"/>
  <c r="Q57" i="1"/>
  <c r="R130" i="1"/>
  <c r="K130" i="45"/>
  <c r="Q130" i="1"/>
  <c r="R106" i="1"/>
  <c r="K106" i="45"/>
  <c r="Q106" i="1"/>
  <c r="Q166" i="1"/>
  <c r="R166" i="1"/>
  <c r="K166" i="45"/>
  <c r="Q94" i="1"/>
  <c r="K94" i="45"/>
  <c r="R94" i="1"/>
  <c r="R138" i="1"/>
  <c r="K138" i="45"/>
  <c r="Q138" i="1"/>
  <c r="K114" i="45"/>
  <c r="Q114" i="1"/>
  <c r="R114" i="1"/>
  <c r="R144" i="1"/>
  <c r="K144" i="45"/>
  <c r="Q144" i="1"/>
  <c r="K42" i="45"/>
  <c r="R42" i="1"/>
  <c r="Q42" i="1"/>
  <c r="R128" i="1"/>
  <c r="K128" i="45"/>
  <c r="Q128" i="1"/>
  <c r="Q139" i="1"/>
  <c r="R139" i="1"/>
  <c r="K139" i="45"/>
  <c r="K154" i="45"/>
  <c r="Q154" i="1"/>
  <c r="R154" i="1"/>
  <c r="K107" i="45"/>
  <c r="Q107" i="1"/>
  <c r="R107" i="1"/>
  <c r="Q65" i="1"/>
  <c r="R65" i="1"/>
  <c r="K65" i="45"/>
  <c r="K168" i="45"/>
  <c r="Q168" i="1"/>
  <c r="R168" i="1"/>
  <c r="R36" i="1"/>
  <c r="Q36" i="1"/>
  <c r="K36" i="45"/>
  <c r="Q59" i="1"/>
  <c r="R59" i="1"/>
  <c r="K59" i="45"/>
  <c r="Q156" i="1"/>
  <c r="R156" i="1"/>
  <c r="K156" i="45"/>
  <c r="R108" i="1"/>
  <c r="Q108" i="1"/>
  <c r="K108" i="45"/>
  <c r="Q35" i="1"/>
  <c r="R35" i="1"/>
  <c r="K35" i="45"/>
  <c r="Q116" i="1"/>
  <c r="R116" i="1"/>
  <c r="K116" i="45"/>
  <c r="Q98" i="1"/>
  <c r="R98" i="1"/>
  <c r="K98" i="45"/>
  <c r="Q102" i="1"/>
  <c r="K102" i="45"/>
  <c r="R102" i="1"/>
  <c r="K121" i="45"/>
  <c r="R121" i="1"/>
  <c r="Q121" i="1"/>
  <c r="R112" i="1"/>
  <c r="Q112" i="1"/>
  <c r="K112" i="45"/>
  <c r="K30" i="45"/>
  <c r="R30" i="1"/>
  <c r="Q30" i="1"/>
  <c r="K43" i="45"/>
  <c r="Q43" i="1"/>
  <c r="R43" i="1"/>
  <c r="R127" i="1"/>
  <c r="Q127" i="1"/>
  <c r="K127" i="45"/>
  <c r="Q141" i="1"/>
  <c r="R141" i="1"/>
  <c r="K141" i="45"/>
  <c r="Q92" i="1"/>
  <c r="R92" i="1"/>
  <c r="K92" i="45"/>
  <c r="R81" i="1"/>
  <c r="K81" i="45"/>
  <c r="Q81" i="1"/>
  <c r="Q25" i="1"/>
  <c r="R25" i="1"/>
  <c r="K25" i="45"/>
  <c r="R100" i="1"/>
  <c r="K100" i="45"/>
  <c r="Q100" i="1"/>
  <c r="R21" i="1"/>
  <c r="Q21" i="1"/>
  <c r="K21" i="45"/>
  <c r="K165" i="45"/>
  <c r="Q165" i="1"/>
  <c r="R165" i="1"/>
  <c r="R63" i="1"/>
  <c r="K63" i="45"/>
  <c r="Q63" i="1"/>
  <c r="K47" i="45"/>
  <c r="Q47" i="1"/>
  <c r="R47" i="1"/>
  <c r="K44" i="45"/>
  <c r="R44" i="1"/>
  <c r="Q44" i="1"/>
  <c r="R86" i="1"/>
  <c r="K86" i="45"/>
  <c r="Q86" i="1"/>
  <c r="AB174" i="1"/>
  <c r="K118" i="45"/>
  <c r="R118" i="1"/>
  <c r="Q118" i="1"/>
  <c r="R104" i="1"/>
  <c r="K104" i="45"/>
  <c r="Q104" i="1"/>
  <c r="R19" i="1"/>
  <c r="K19" i="45"/>
  <c r="Q19" i="1"/>
  <c r="K145" i="45"/>
  <c r="R145" i="1"/>
  <c r="Q145" i="1"/>
  <c r="K137" i="45"/>
  <c r="Q137" i="1"/>
  <c r="R137" i="1"/>
  <c r="Q75" i="1"/>
  <c r="R75" i="1"/>
  <c r="K75" i="45"/>
  <c r="K27" i="45"/>
  <c r="Q27" i="1"/>
  <c r="R27" i="1"/>
  <c r="R67" i="1"/>
  <c r="K67" i="45"/>
  <c r="Q67" i="1"/>
  <c r="R97" i="1"/>
  <c r="Q97" i="1"/>
  <c r="K97" i="45"/>
  <c r="Q79" i="1"/>
  <c r="R79" i="1"/>
  <c r="K79" i="45"/>
  <c r="R78" i="1"/>
  <c r="K78" i="45"/>
  <c r="Q78" i="1"/>
  <c r="K7" i="45"/>
  <c r="R7" i="1"/>
  <c r="Q7" i="1"/>
  <c r="R20" i="1"/>
  <c r="Q20" i="1"/>
  <c r="K20" i="45"/>
  <c r="Q85" i="1"/>
  <c r="K85" i="45"/>
  <c r="R85" i="1"/>
  <c r="K9" i="45"/>
  <c r="R9" i="1"/>
  <c r="Q9" i="1"/>
  <c r="R24" i="1"/>
  <c r="K24" i="45"/>
  <c r="Q24" i="1"/>
  <c r="K17" i="45"/>
  <c r="Q17" i="1"/>
  <c r="R17" i="1"/>
  <c r="K53" i="45"/>
  <c r="Q53" i="1"/>
  <c r="R53" i="1"/>
  <c r="Q28" i="1"/>
  <c r="R28" i="1"/>
  <c r="K28" i="45"/>
  <c r="R161" i="1"/>
  <c r="K161" i="45"/>
  <c r="Q161" i="1"/>
  <c r="Q11" i="1"/>
  <c r="R11" i="1"/>
  <c r="K11" i="45"/>
  <c r="R90" i="1"/>
  <c r="K90" i="45"/>
  <c r="Q90" i="1"/>
  <c r="K70" i="45"/>
  <c r="Q70" i="1"/>
  <c r="R70" i="1"/>
  <c r="R69" i="1"/>
  <c r="K69" i="45"/>
  <c r="Q69" i="1"/>
  <c r="R71" i="1"/>
  <c r="Q71" i="1"/>
  <c r="K71" i="45"/>
  <c r="R158" i="1"/>
  <c r="K158" i="45"/>
  <c r="Q158" i="1"/>
  <c r="K151" i="45"/>
  <c r="Q151" i="1"/>
  <c r="R151" i="1"/>
  <c r="R51" i="1"/>
  <c r="Q51" i="1"/>
  <c r="K51" i="45"/>
  <c r="R58" i="1"/>
  <c r="K58" i="45"/>
  <c r="Q58" i="1"/>
  <c r="K45" i="45"/>
  <c r="Q45" i="1"/>
  <c r="R45" i="1"/>
  <c r="R64" i="1"/>
  <c r="K64" i="45"/>
  <c r="Q64" i="1"/>
  <c r="K77" i="45"/>
  <c r="R77" i="1"/>
  <c r="Q77" i="1"/>
  <c r="R29" i="1"/>
  <c r="Q29" i="1"/>
  <c r="K29" i="45"/>
  <c r="Q23" i="1"/>
  <c r="R23" i="1"/>
  <c r="K23" i="45"/>
  <c r="R136" i="1"/>
  <c r="K136" i="45"/>
  <c r="Q136" i="1"/>
  <c r="Q40" i="1"/>
  <c r="R40" i="1"/>
  <c r="K40" i="45"/>
  <c r="K150" i="45"/>
  <c r="R150" i="1"/>
  <c r="Q150" i="1"/>
  <c r="R111" i="1"/>
  <c r="Q111" i="1"/>
  <c r="K111" i="45"/>
  <c r="R142" i="1"/>
  <c r="K142" i="45"/>
  <c r="Q142" i="1"/>
  <c r="Q125" i="1"/>
  <c r="R125" i="1"/>
  <c r="K125" i="45"/>
  <c r="Q172" i="1"/>
  <c r="K172" i="45"/>
  <c r="R172" i="1"/>
  <c r="R26" i="1"/>
  <c r="K26" i="45"/>
  <c r="Q26" i="1"/>
  <c r="Q38" i="1"/>
  <c r="R38" i="1"/>
  <c r="K38" i="45"/>
  <c r="R153" i="1"/>
  <c r="K153" i="45"/>
  <c r="Q153" i="1"/>
  <c r="Q74" i="1"/>
  <c r="K74" i="45"/>
  <c r="R74" i="1"/>
  <c r="R132" i="1"/>
  <c r="K132" i="45"/>
  <c r="Q132" i="1"/>
  <c r="R123" i="1"/>
  <c r="K123" i="45"/>
  <c r="Q123" i="1"/>
  <c r="R8" i="1"/>
  <c r="K8" i="45"/>
  <c r="Q8" i="1"/>
  <c r="Q12" i="1"/>
  <c r="R12" i="1"/>
  <c r="K12" i="45"/>
  <c r="R10" i="1"/>
  <c r="Q10" i="1"/>
  <c r="K10" i="45"/>
  <c r="Q54" i="1"/>
  <c r="R54" i="1"/>
  <c r="K54" i="45"/>
  <c r="Q15" i="1"/>
  <c r="K15" i="45"/>
  <c r="R15" i="1"/>
  <c r="R109" i="1"/>
  <c r="Q109" i="1"/>
  <c r="K109" i="45"/>
  <c r="R73" i="1"/>
  <c r="Q73" i="1"/>
  <c r="K73" i="45"/>
  <c r="Q140" i="1"/>
  <c r="K140" i="45"/>
  <c r="R140" i="1"/>
  <c r="R147" i="1"/>
  <c r="K147" i="45"/>
  <c r="Q147" i="1"/>
  <c r="K160" i="45"/>
  <c r="R160" i="1"/>
  <c r="Q160" i="1"/>
  <c r="Q37" i="1"/>
  <c r="R37" i="1"/>
  <c r="K37" i="45"/>
  <c r="R173" i="1"/>
  <c r="K173" i="45"/>
  <c r="Q173" i="1"/>
  <c r="R66" i="1"/>
  <c r="K66" i="45"/>
  <c r="Q66" i="1"/>
  <c r="K113" i="45"/>
  <c r="R113" i="1"/>
  <c r="Q113" i="1"/>
  <c r="R163" i="1"/>
  <c r="Q163" i="1"/>
  <c r="K163" i="45"/>
  <c r="Q93" i="1"/>
  <c r="K93" i="45"/>
  <c r="R93" i="1"/>
  <c r="R146" i="1"/>
  <c r="Q146" i="1"/>
  <c r="K146" i="45"/>
  <c r="Q39" i="1"/>
  <c r="R39" i="1"/>
  <c r="K39" i="45"/>
  <c r="B13" i="15" l="1"/>
  <c r="B19" i="15"/>
  <c r="B18" i="15" s="1"/>
  <c r="B12" i="15"/>
  <c r="R18" i="1"/>
  <c r="K18" i="45"/>
  <c r="Q18" i="1"/>
  <c r="B10" i="15" l="1"/>
  <c r="B20" i="15"/>
</calcChain>
</file>

<file path=xl/comments1.xml><?xml version="1.0" encoding="utf-8"?>
<comments xmlns="http://schemas.openxmlformats.org/spreadsheetml/2006/main">
  <authors>
    <author>Steve</author>
  </authors>
  <commentList>
    <comment ref="C5" authorId="0" shapeId="0">
      <text>
        <r>
          <rPr>
            <b/>
            <sz val="9"/>
            <color indexed="81"/>
            <rFont val="Tahoma"/>
            <family val="2"/>
          </rPr>
          <t>Steve:</t>
        </r>
        <r>
          <rPr>
            <sz val="9"/>
            <color indexed="81"/>
            <rFont val="Tahoma"/>
            <family val="2"/>
          </rPr>
          <t xml:space="preserve">
This is calculated from Total. If there is no total (student did not write) then hardcode a DEF or ABS.</t>
        </r>
      </text>
    </comment>
  </commentList>
</comments>
</file>

<file path=xl/sharedStrings.xml><?xml version="1.0" encoding="utf-8"?>
<sst xmlns="http://schemas.openxmlformats.org/spreadsheetml/2006/main" count="6652" uniqueCount="1621">
  <si>
    <t>Q1</t>
  </si>
  <si>
    <t>Q2</t>
  </si>
  <si>
    <t>Q3</t>
  </si>
  <si>
    <t>Q4</t>
  </si>
  <si>
    <t>Q5</t>
  </si>
  <si>
    <t>Exam</t>
  </si>
  <si>
    <t>Averages</t>
  </si>
  <si>
    <t>Pass rate (%)</t>
  </si>
  <si>
    <t>Average final mark (%)</t>
  </si>
  <si>
    <t>Students passing</t>
  </si>
  <si>
    <t>Students failing</t>
  </si>
  <si>
    <t>Students obtaining firsts</t>
  </si>
  <si>
    <t>Capture Check</t>
  </si>
  <si>
    <t>SIS User ID</t>
  </si>
  <si>
    <t>ID</t>
  </si>
  <si>
    <t>Student</t>
  </si>
  <si>
    <t>Weighting</t>
  </si>
  <si>
    <t>Course Components</t>
  </si>
  <si>
    <t>Khumalo</t>
  </si>
  <si>
    <t>Kunene</t>
  </si>
  <si>
    <t>Masilela</t>
  </si>
  <si>
    <t>Naidoo</t>
  </si>
  <si>
    <t>Ndhlovu</t>
  </si>
  <si>
    <t>Seedat</t>
  </si>
  <si>
    <t>Comment</t>
  </si>
  <si>
    <t>Out of</t>
  </si>
  <si>
    <t>Overall Mark</t>
  </si>
  <si>
    <t>Moderated</t>
  </si>
  <si>
    <t>Total</t>
  </si>
  <si>
    <t>Total (%)</t>
  </si>
  <si>
    <t>Rank</t>
  </si>
  <si>
    <t>Course Mark</t>
  </si>
  <si>
    <t>Deferred</t>
  </si>
  <si>
    <t>Supplementary</t>
  </si>
  <si>
    <t>Borderline</t>
  </si>
  <si>
    <t>Stats</t>
  </si>
  <si>
    <t>Test</t>
  </si>
  <si>
    <t>Software Development II (2022)</t>
  </si>
  <si>
    <t>Abrahams</t>
  </si>
  <si>
    <t>1906349@students.wits.ac.za</t>
  </si>
  <si>
    <t>Akhalwaya</t>
  </si>
  <si>
    <t>Anas</t>
  </si>
  <si>
    <t>2166010@students.wits.ac.za</t>
  </si>
  <si>
    <t>Antunes</t>
  </si>
  <si>
    <t>Areff</t>
  </si>
  <si>
    <t>Badat</t>
  </si>
  <si>
    <t>Bagapi</t>
  </si>
  <si>
    <t>Baloyi</t>
  </si>
  <si>
    <t>1826929@students.wits.ac.za</t>
  </si>
  <si>
    <t>Bekezulu</t>
  </si>
  <si>
    <t>2327745@students.wits.ac.za</t>
  </si>
  <si>
    <t>Bepat</t>
  </si>
  <si>
    <t>2324917@students.wits.ac.za</t>
  </si>
  <si>
    <t>Bera</t>
  </si>
  <si>
    <t>Bhaga</t>
  </si>
  <si>
    <t>Bux</t>
  </si>
  <si>
    <t>Chauke</t>
  </si>
  <si>
    <t>Chiloane</t>
  </si>
  <si>
    <t>2303450@students.wits.ac.za</t>
  </si>
  <si>
    <t>Chipkin</t>
  </si>
  <si>
    <t>Cohen</t>
  </si>
  <si>
    <t>Daras</t>
  </si>
  <si>
    <t>Dibakoane</t>
  </si>
  <si>
    <t>Dladla</t>
  </si>
  <si>
    <t>1278510@students.wits.ac.za</t>
  </si>
  <si>
    <t>Dlamini</t>
  </si>
  <si>
    <t>Dlezi</t>
  </si>
  <si>
    <t>Docrat</t>
  </si>
  <si>
    <t>Dollie</t>
  </si>
  <si>
    <t>Dworcan</t>
  </si>
  <si>
    <t>Elliott</t>
  </si>
  <si>
    <t>Ellis</t>
  </si>
  <si>
    <t>Feldman</t>
  </si>
  <si>
    <t>2231460@students.wits.ac.za</t>
  </si>
  <si>
    <t>Finger</t>
  </si>
  <si>
    <t>Fipaza</t>
  </si>
  <si>
    <t>Fisher</t>
  </si>
  <si>
    <t>2323162@students.wits.ac.za</t>
  </si>
  <si>
    <t>Gcanga</t>
  </si>
  <si>
    <t>2104199@students.wits.ac.za</t>
  </si>
  <si>
    <t>Ginster</t>
  </si>
  <si>
    <t>Goldblatt</t>
  </si>
  <si>
    <t>Gowan</t>
  </si>
  <si>
    <t>2050175@students.wits.ac.za</t>
  </si>
  <si>
    <t>Grahn</t>
  </si>
  <si>
    <t>Grayman</t>
  </si>
  <si>
    <t>Gurahoo</t>
  </si>
  <si>
    <t>2309262@students.wits.ac.za</t>
  </si>
  <si>
    <t>Hammond</t>
  </si>
  <si>
    <t>Hand</t>
  </si>
  <si>
    <t>Harrar</t>
  </si>
  <si>
    <t>Hunter</t>
  </si>
  <si>
    <t>Jali</t>
  </si>
  <si>
    <t>Jamaloodien</t>
  </si>
  <si>
    <t>2344063@students.wits.ac.za</t>
  </si>
  <si>
    <t>Jiyane</t>
  </si>
  <si>
    <t>2331132@students.wits.ac.za</t>
  </si>
  <si>
    <t>Joffe</t>
  </si>
  <si>
    <t>Johannes</t>
  </si>
  <si>
    <t>Zewuwel</t>
  </si>
  <si>
    <t>Johari</t>
  </si>
  <si>
    <t>Kala</t>
  </si>
  <si>
    <t>Kangisser</t>
  </si>
  <si>
    <t>Katz</t>
  </si>
  <si>
    <t>Kemraj</t>
  </si>
  <si>
    <t>2127000@students.wits.ac.za</t>
  </si>
  <si>
    <t>Khoza</t>
  </si>
  <si>
    <t>Khuzwayo</t>
  </si>
  <si>
    <t>2242940@students.wits.ac.za</t>
  </si>
  <si>
    <t>Kipruto</t>
  </si>
  <si>
    <t>Konyane</t>
  </si>
  <si>
    <t>2117841@students.wits.ac.za</t>
  </si>
  <si>
    <t>Kouassi</t>
  </si>
  <si>
    <t>Krawe</t>
  </si>
  <si>
    <t>1744150@students.wits.ac.za</t>
  </si>
  <si>
    <t>Krishanlall</t>
  </si>
  <si>
    <t>1919247@students.wits.ac.za</t>
  </si>
  <si>
    <t>1834022@students.wits.ac.za</t>
  </si>
  <si>
    <t>Landgrebe</t>
  </si>
  <si>
    <t>Legoabe</t>
  </si>
  <si>
    <t>2307157@students.wits.ac.za</t>
  </si>
  <si>
    <t>Lepako</t>
  </si>
  <si>
    <t>Lorgat</t>
  </si>
  <si>
    <t>Luningo</t>
  </si>
  <si>
    <t>2108293@students.wits.ac.za</t>
  </si>
  <si>
    <t>Mabula</t>
  </si>
  <si>
    <t>2356839@students.wits.ac.za</t>
  </si>
  <si>
    <t>Magidi</t>
  </si>
  <si>
    <t>Mahlathi</t>
  </si>
  <si>
    <t>1077227@students.wits.ac.za</t>
  </si>
  <si>
    <t>Makgwale</t>
  </si>
  <si>
    <t>Mamatlepa</t>
  </si>
  <si>
    <t>1775759@students.wits.ac.za</t>
  </si>
  <si>
    <t>Manjra</t>
  </si>
  <si>
    <t>Manone</t>
  </si>
  <si>
    <t>1832762@students.wits.ac.za</t>
  </si>
  <si>
    <t>Manqele</t>
  </si>
  <si>
    <t>Mantsha</t>
  </si>
  <si>
    <t>Marantos</t>
  </si>
  <si>
    <t>Marareni</t>
  </si>
  <si>
    <t>Maseko</t>
  </si>
  <si>
    <t>2164579@students.wits.ac.za</t>
  </si>
  <si>
    <t>Mashinini</t>
  </si>
  <si>
    <t>Mathebula</t>
  </si>
  <si>
    <t>Mbonani</t>
  </si>
  <si>
    <t>Menon</t>
  </si>
  <si>
    <t>Mgano</t>
  </si>
  <si>
    <t>Mkhize</t>
  </si>
  <si>
    <t>2141245@students.wits.ac.za</t>
  </si>
  <si>
    <t>Mlaba</t>
  </si>
  <si>
    <t>Mlambo</t>
  </si>
  <si>
    <t>Mngomeni</t>
  </si>
  <si>
    <t>Mngomezulu</t>
  </si>
  <si>
    <t>2363523@students.wits.ac.za</t>
  </si>
  <si>
    <t>Moagi</t>
  </si>
  <si>
    <t>Modise</t>
  </si>
  <si>
    <t>1132593@students.wits.ac.za</t>
  </si>
  <si>
    <t>Mofokeng</t>
  </si>
  <si>
    <t>1501646@students.wits.ac.za</t>
  </si>
  <si>
    <t>Mohamed</t>
  </si>
  <si>
    <t>2103173@students.wits.ac.za</t>
  </si>
  <si>
    <t>Mokgehle</t>
  </si>
  <si>
    <t>1852217@students.wits.ac.za</t>
  </si>
  <si>
    <t>Moloi</t>
  </si>
  <si>
    <t>Moloto</t>
  </si>
  <si>
    <t>2345892@students.wits.ac.za</t>
  </si>
  <si>
    <t>Mongalo</t>
  </si>
  <si>
    <t>1864879@students.wits.ac.za</t>
  </si>
  <si>
    <t>Moodie</t>
  </si>
  <si>
    <t>Moolla</t>
  </si>
  <si>
    <t>Moore</t>
  </si>
  <si>
    <t>Morukhu</t>
  </si>
  <si>
    <t>1844501@students.wits.ac.za</t>
  </si>
  <si>
    <t>Mosoeu</t>
  </si>
  <si>
    <t>2112071@students.wits.ac.za</t>
  </si>
  <si>
    <t>Moteane</t>
  </si>
  <si>
    <t>2109796@students.wits.ac.za</t>
  </si>
  <si>
    <t>Moustafa</t>
  </si>
  <si>
    <t>2088077@students.wits.ac.za</t>
  </si>
  <si>
    <t>Mpano</t>
  </si>
  <si>
    <t>Mphahlele</t>
  </si>
  <si>
    <t>Mpinga</t>
  </si>
  <si>
    <t>1455713@students.wits.ac.za</t>
  </si>
  <si>
    <t>Msele</t>
  </si>
  <si>
    <t>Mthethwa</t>
  </si>
  <si>
    <t>2341407@students.wits.ac.za</t>
  </si>
  <si>
    <t>Mtsweni</t>
  </si>
  <si>
    <t>Mugawazi</t>
  </si>
  <si>
    <t>Muller</t>
  </si>
  <si>
    <t>957850@students.wits.ac.za</t>
  </si>
  <si>
    <t>Muradya</t>
  </si>
  <si>
    <t>2305580@students.wits.ac.za</t>
  </si>
  <si>
    <t>Ncube</t>
  </si>
  <si>
    <t>Ndaba</t>
  </si>
  <si>
    <t>Ndlambuzi</t>
  </si>
  <si>
    <t>Mthandeki</t>
  </si>
  <si>
    <t>1818219@students.wits.ac.za</t>
  </si>
  <si>
    <t>Ngirazi</t>
  </si>
  <si>
    <t>Ngoepe</t>
  </si>
  <si>
    <t>2208622@students.wits.ac.za</t>
  </si>
  <si>
    <t>Ngomane</t>
  </si>
  <si>
    <t>1436500@students.wits.ac.za</t>
  </si>
  <si>
    <t>Ngutshane</t>
  </si>
  <si>
    <t>2144205@students.wits.ac.za</t>
  </si>
  <si>
    <t>Nomvela</t>
  </si>
  <si>
    <t>1448040@students.wits.ac.za</t>
  </si>
  <si>
    <t>Nthoroane</t>
  </si>
  <si>
    <t>1832055@students.wits.ac.za</t>
  </si>
  <si>
    <t>Ntshangase</t>
  </si>
  <si>
    <t>Ntshingila</t>
  </si>
  <si>
    <t>Ntsooa</t>
  </si>
  <si>
    <t>2140390@students.wits.ac.za</t>
  </si>
  <si>
    <t>Nzama</t>
  </si>
  <si>
    <t>1830373@students.wits.ac.za</t>
  </si>
  <si>
    <t>Olivier</t>
  </si>
  <si>
    <t>Omar</t>
  </si>
  <si>
    <t>2102640@students.wits.ac.za</t>
  </si>
  <si>
    <t>Peretz</t>
  </si>
  <si>
    <t>Petersen</t>
  </si>
  <si>
    <t>2309354@students.wits.ac.za</t>
  </si>
  <si>
    <t>Pule</t>
  </si>
  <si>
    <t>Radebe</t>
  </si>
  <si>
    <t>1608406@students.wits.ac.za</t>
  </si>
  <si>
    <t>Radowsky</t>
  </si>
  <si>
    <t>Ralph</t>
  </si>
  <si>
    <t>2152679@students.wits.ac.za</t>
  </si>
  <si>
    <t>Rasesepa</t>
  </si>
  <si>
    <t>Rawlings</t>
  </si>
  <si>
    <t>Rawuka</t>
  </si>
  <si>
    <t>Rolle</t>
  </si>
  <si>
    <t>Ruthel</t>
  </si>
  <si>
    <t>2156293@students.wits.ac.za</t>
  </si>
  <si>
    <t>Sekamogeng</t>
  </si>
  <si>
    <t>Sekhwama</t>
  </si>
  <si>
    <t>Motchinya</t>
  </si>
  <si>
    <t>1715463@students.wits.ac.za</t>
  </si>
  <si>
    <t>Sender</t>
  </si>
  <si>
    <t>Sengoane</t>
  </si>
  <si>
    <t>2096785@students.wits.ac.za</t>
  </si>
  <si>
    <t>Shakir</t>
  </si>
  <si>
    <t>Shapiro</t>
  </si>
  <si>
    <t>Singh</t>
  </si>
  <si>
    <t>Sithole</t>
  </si>
  <si>
    <t>1823178@students.wits.ac.za</t>
  </si>
  <si>
    <t>Solomao</t>
  </si>
  <si>
    <t>1722529@students.wits.ac.za</t>
  </si>
  <si>
    <t>Taim</t>
  </si>
  <si>
    <t>Tar-Mahomed</t>
  </si>
  <si>
    <t>Thamane</t>
  </si>
  <si>
    <t>Thomson</t>
  </si>
  <si>
    <t>Tlaka</t>
  </si>
  <si>
    <t>Tom</t>
  </si>
  <si>
    <t>Tshibalo</t>
  </si>
  <si>
    <t>Tshikombeni</t>
  </si>
  <si>
    <t>1908825@students.wits.ac.za</t>
  </si>
  <si>
    <t>Tshude</t>
  </si>
  <si>
    <t>2219934@students.wits.ac.za</t>
  </si>
  <si>
    <t>Valla</t>
  </si>
  <si>
    <t>Van Staden</t>
  </si>
  <si>
    <t>Wright</t>
  </si>
  <si>
    <t>Zulase</t>
  </si>
  <si>
    <t>Zulu</t>
  </si>
  <si>
    <t>Zwane</t>
  </si>
  <si>
    <t>Project</t>
  </si>
  <si>
    <t>Lab 1</t>
  </si>
  <si>
    <t>Lab 2</t>
  </si>
  <si>
    <t>Lab 3</t>
  </si>
  <si>
    <t>Lab 4</t>
  </si>
  <si>
    <t>Bonus marks</t>
  </si>
  <si>
    <t>Muthaphuli</t>
  </si>
  <si>
    <t>2201238@students.wits.ac.za</t>
  </si>
  <si>
    <t>1906349</t>
  </si>
  <si>
    <t>1845217</t>
  </si>
  <si>
    <t>2166010</t>
  </si>
  <si>
    <t>2377042</t>
  </si>
  <si>
    <t>2136605</t>
  </si>
  <si>
    <t>2304150</t>
  </si>
  <si>
    <t>1849732</t>
  </si>
  <si>
    <t>1826929</t>
  </si>
  <si>
    <t>2327745</t>
  </si>
  <si>
    <t>2324917</t>
  </si>
  <si>
    <t>2303789</t>
  </si>
  <si>
    <t>2094752</t>
  </si>
  <si>
    <t>2130436</t>
  </si>
  <si>
    <t>1701547</t>
  </si>
  <si>
    <t>2303450</t>
  </si>
  <si>
    <t>2306815</t>
  </si>
  <si>
    <t>2168179</t>
  </si>
  <si>
    <t>2118894</t>
  </si>
  <si>
    <t>2199951</t>
  </si>
  <si>
    <t>1278510</t>
  </si>
  <si>
    <t>1610736</t>
  </si>
  <si>
    <t>2090845</t>
  </si>
  <si>
    <t>1660819</t>
  </si>
  <si>
    <t>2366542</t>
  </si>
  <si>
    <t>2127819</t>
  </si>
  <si>
    <t>1924564</t>
  </si>
  <si>
    <t>2129200</t>
  </si>
  <si>
    <t>2173105</t>
  </si>
  <si>
    <t>2231460</t>
  </si>
  <si>
    <t>1830380</t>
  </si>
  <si>
    <t>1877695</t>
  </si>
  <si>
    <t>2323162</t>
  </si>
  <si>
    <t>2104199</t>
  </si>
  <si>
    <t>2335476</t>
  </si>
  <si>
    <t>2095374</t>
  </si>
  <si>
    <t>2050175</t>
  </si>
  <si>
    <t>2138347</t>
  </si>
  <si>
    <t>2344104</t>
  </si>
  <si>
    <t>2309262</t>
  </si>
  <si>
    <t>1876127</t>
  </si>
  <si>
    <t>2194051</t>
  </si>
  <si>
    <t>2355933</t>
  </si>
  <si>
    <t>2143227</t>
  </si>
  <si>
    <t>1876297</t>
  </si>
  <si>
    <t>2344063</t>
  </si>
  <si>
    <t>2331132</t>
  </si>
  <si>
    <t>2330797</t>
  </si>
  <si>
    <t>2094978</t>
  </si>
  <si>
    <t>1832991</t>
  </si>
  <si>
    <t>1146648</t>
  </si>
  <si>
    <t>2367017</t>
  </si>
  <si>
    <t>2209317</t>
  </si>
  <si>
    <t>2351913</t>
  </si>
  <si>
    <t>2127000</t>
  </si>
  <si>
    <t>2105080</t>
  </si>
  <si>
    <t>2095396</t>
  </si>
  <si>
    <t>2242940</t>
  </si>
  <si>
    <t>2172968</t>
  </si>
  <si>
    <t>2325604</t>
  </si>
  <si>
    <t>2117841</t>
  </si>
  <si>
    <t>2341547</t>
  </si>
  <si>
    <t>1744150</t>
  </si>
  <si>
    <t>1919247</t>
  </si>
  <si>
    <t>1834022</t>
  </si>
  <si>
    <t>704140</t>
  </si>
  <si>
    <t>2307157</t>
  </si>
  <si>
    <t>1827340</t>
  </si>
  <si>
    <t>2306202</t>
  </si>
  <si>
    <t>2108293</t>
  </si>
  <si>
    <t>2356839</t>
  </si>
  <si>
    <t>1864128</t>
  </si>
  <si>
    <t>1077227</t>
  </si>
  <si>
    <t>2165920</t>
  </si>
  <si>
    <t>1775759</t>
  </si>
  <si>
    <t>2088691</t>
  </si>
  <si>
    <t>1832762</t>
  </si>
  <si>
    <t>2136569</t>
  </si>
  <si>
    <t>2305164</t>
  </si>
  <si>
    <t>2116287</t>
  </si>
  <si>
    <t>1392525</t>
  </si>
  <si>
    <t>2164579</t>
  </si>
  <si>
    <t>2107610</t>
  </si>
  <si>
    <t>2367318</t>
  </si>
  <si>
    <t>2352044</t>
  </si>
  <si>
    <t>2089948</t>
  </si>
  <si>
    <t>2313178</t>
  </si>
  <si>
    <t>2142882</t>
  </si>
  <si>
    <t>2141245</t>
  </si>
  <si>
    <t>1854920</t>
  </si>
  <si>
    <t>2345339</t>
  </si>
  <si>
    <t>1284667</t>
  </si>
  <si>
    <t>2129606</t>
  </si>
  <si>
    <t>2363523</t>
  </si>
  <si>
    <t>2347976</t>
  </si>
  <si>
    <t>1132593</t>
  </si>
  <si>
    <t>1501646</t>
  </si>
  <si>
    <t>2103173</t>
  </si>
  <si>
    <t>1852217</t>
  </si>
  <si>
    <t>2172598</t>
  </si>
  <si>
    <t>2345892</t>
  </si>
  <si>
    <t>1864879</t>
  </si>
  <si>
    <t>2089978</t>
  </si>
  <si>
    <t>2327728</t>
  </si>
  <si>
    <t>2118213</t>
  </si>
  <si>
    <t>1844501</t>
  </si>
  <si>
    <t>2112071</t>
  </si>
  <si>
    <t>2109796</t>
  </si>
  <si>
    <t>2088077</t>
  </si>
  <si>
    <t>2320484</t>
  </si>
  <si>
    <t>2347343</t>
  </si>
  <si>
    <t>1455713</t>
  </si>
  <si>
    <t>1815772</t>
  </si>
  <si>
    <t>2341407</t>
  </si>
  <si>
    <t>1355061</t>
  </si>
  <si>
    <t>1851387</t>
  </si>
  <si>
    <t>957850</t>
  </si>
  <si>
    <t>2388404</t>
  </si>
  <si>
    <t>2201238</t>
  </si>
  <si>
    <t>2305580</t>
  </si>
  <si>
    <t>2416886</t>
  </si>
  <si>
    <t>1767237</t>
  </si>
  <si>
    <t>2126340</t>
  </si>
  <si>
    <t>1818219</t>
  </si>
  <si>
    <t>1848116</t>
  </si>
  <si>
    <t>2208622</t>
  </si>
  <si>
    <t>1436500</t>
  </si>
  <si>
    <t>2144205</t>
  </si>
  <si>
    <t>1448040</t>
  </si>
  <si>
    <t>1832055</t>
  </si>
  <si>
    <t>1287323</t>
  </si>
  <si>
    <t>1445411</t>
  </si>
  <si>
    <t>2140390</t>
  </si>
  <si>
    <t>1830373</t>
  </si>
  <si>
    <t>2347919</t>
  </si>
  <si>
    <t>2102640</t>
  </si>
  <si>
    <t>2373287</t>
  </si>
  <si>
    <t>2309354</t>
  </si>
  <si>
    <t>482412</t>
  </si>
  <si>
    <t>1608406</t>
  </si>
  <si>
    <t>2366643</t>
  </si>
  <si>
    <t>2152679</t>
  </si>
  <si>
    <t>2327104</t>
  </si>
  <si>
    <t>2179595</t>
  </si>
  <si>
    <t>1730123</t>
  </si>
  <si>
    <t>2304928</t>
  </si>
  <si>
    <t>2366020</t>
  </si>
  <si>
    <t>2156293</t>
  </si>
  <si>
    <t>0200223N</t>
  </si>
  <si>
    <t>1715463</t>
  </si>
  <si>
    <t>2332451</t>
  </si>
  <si>
    <t>2096785</t>
  </si>
  <si>
    <t>2010805</t>
  </si>
  <si>
    <t>1860900</t>
  </si>
  <si>
    <t>2308227</t>
  </si>
  <si>
    <t>1823178</t>
  </si>
  <si>
    <t>2155841</t>
  </si>
  <si>
    <t>1722529</t>
  </si>
  <si>
    <t>2305656</t>
  </si>
  <si>
    <t>2328822</t>
  </si>
  <si>
    <t>2103308</t>
  </si>
  <si>
    <t>2186479</t>
  </si>
  <si>
    <t>1623989</t>
  </si>
  <si>
    <t>2340555</t>
  </si>
  <si>
    <t>1823614</t>
  </si>
  <si>
    <t>1908825</t>
  </si>
  <si>
    <t>2219934</t>
  </si>
  <si>
    <t>2353833</t>
  </si>
  <si>
    <t>2113490</t>
  </si>
  <si>
    <t>2351852</t>
  </si>
  <si>
    <t>2141604</t>
  </si>
  <si>
    <t>2373926</t>
  </si>
  <si>
    <t>Surname</t>
  </si>
  <si>
    <t>Mark</t>
  </si>
  <si>
    <t>SIS Login ID</t>
  </si>
  <si>
    <t>Section</t>
  </si>
  <si>
    <t xml:space="preserve">    Points Possible</t>
  </si>
  <si>
    <t>1437039</t>
  </si>
  <si>
    <t>Abrahams, Shuraygh-suwayd</t>
  </si>
  <si>
    <t>Akhalwaya, Ateka</t>
  </si>
  <si>
    <t>Anas, Syed Mohammad Khizar</t>
  </si>
  <si>
    <t>Antunes, Michael</t>
  </si>
  <si>
    <t>Areff, Nur'ain</t>
  </si>
  <si>
    <t>Badat, Uwais</t>
  </si>
  <si>
    <t>Bagapi, Gosego</t>
  </si>
  <si>
    <t>Baloyi, Tebogo</t>
  </si>
  <si>
    <t>Bekezulu, Tshegofatso</t>
  </si>
  <si>
    <t>Bepat, Kiyash</t>
  </si>
  <si>
    <t>Bera, Oussama</t>
  </si>
  <si>
    <t>Bhaga, Veeral</t>
  </si>
  <si>
    <t>Bux, Muhammad</t>
  </si>
  <si>
    <t>Chauke, Erick</t>
  </si>
  <si>
    <t>Chiloane, Israel</t>
  </si>
  <si>
    <t>Chipkin, Eitan</t>
  </si>
  <si>
    <t>Cohen, Sam</t>
  </si>
  <si>
    <t>Daras, Maria</t>
  </si>
  <si>
    <t>Dibakoane, Tebogo</t>
  </si>
  <si>
    <t>Dladla, Fanelesibonge</t>
  </si>
  <si>
    <t>Dlamini, Njabulo</t>
  </si>
  <si>
    <t>Dlamini, Nolwazi</t>
  </si>
  <si>
    <t>Dlezi, Thuthukani</t>
  </si>
  <si>
    <t>Docrat, Hamzah</t>
  </si>
  <si>
    <t>Dworcan, Jess</t>
  </si>
  <si>
    <t>Elliott, Taine</t>
  </si>
  <si>
    <t>Ellis, Reuben</t>
  </si>
  <si>
    <t>Feldman, Tyrique</t>
  </si>
  <si>
    <t>Finger, Shehwar</t>
  </si>
  <si>
    <t>Fipaza, Olwethu</t>
  </si>
  <si>
    <t>Fisher, Clint</t>
  </si>
  <si>
    <t>Gcanga, Tsietsi</t>
  </si>
  <si>
    <t>Ginster, Philip</t>
  </si>
  <si>
    <t>Goldblatt, Hannah</t>
  </si>
  <si>
    <t>Gowan, Sudheer</t>
  </si>
  <si>
    <t>Grahn, Bryce</t>
  </si>
  <si>
    <t>Grayman, Natan</t>
  </si>
  <si>
    <t>Gurahoo, Jashna</t>
  </si>
  <si>
    <t>Hammond, Meg</t>
  </si>
  <si>
    <t>Hand, Brayden</t>
  </si>
  <si>
    <t>Harrar, Saudah</t>
  </si>
  <si>
    <t>Hunter, Miguel</t>
  </si>
  <si>
    <t>Jali, Thabani</t>
  </si>
  <si>
    <t>Jamaloodien, Hamzah</t>
  </si>
  <si>
    <t>Jiyane, Sibongiseni</t>
  </si>
  <si>
    <t>Joffe, Ellie</t>
  </si>
  <si>
    <t>Johannes, Zewuwel</t>
  </si>
  <si>
    <t>Johari, Mannan</t>
  </si>
  <si>
    <t>Kala, Priyanka</t>
  </si>
  <si>
    <t>Kangisser, Gilad</t>
  </si>
  <si>
    <t>Katz, Jonathan</t>
  </si>
  <si>
    <t>Katz, Kira</t>
  </si>
  <si>
    <t>Kemraj, Caitlin</t>
  </si>
  <si>
    <t>Khoza, Abram</t>
  </si>
  <si>
    <t>Khumalo, Dumisani</t>
  </si>
  <si>
    <t>Khuzwayo, Siyanda</t>
  </si>
  <si>
    <t>Kipruto, Bradley</t>
  </si>
  <si>
    <t>Konyane, Kgothatso</t>
  </si>
  <si>
    <t>Kouassi, Ogou John Marlon Rich</t>
  </si>
  <si>
    <t>Krawe, Thulani</t>
  </si>
  <si>
    <t>Krishanlall, Shekhar</t>
  </si>
  <si>
    <t>Kunene, Mbali</t>
  </si>
  <si>
    <t>Landgrebe, Michael</t>
  </si>
  <si>
    <t>Legoabe, Tebogo</t>
  </si>
  <si>
    <t>Lepako, Mahlatse</t>
  </si>
  <si>
    <t>Lorgat, Sameer</t>
  </si>
  <si>
    <t>Luningo, Okuhle</t>
  </si>
  <si>
    <t>Mabula, Mosa</t>
  </si>
  <si>
    <t>Magidi, Murendeni</t>
  </si>
  <si>
    <t>Mahlathi, Ntsikelelo</t>
  </si>
  <si>
    <t>Makgwale, Mahlogonolo</t>
  </si>
  <si>
    <t>Mamatlepa, Ignatious</t>
  </si>
  <si>
    <t>Manjra, Ishak</t>
  </si>
  <si>
    <t>Manone, Martha</t>
  </si>
  <si>
    <t>Manqele, Anele Pretty</t>
  </si>
  <si>
    <t>Mantsha, Rotenda</t>
  </si>
  <si>
    <t>Marantos, George</t>
  </si>
  <si>
    <t>Maseko, Koketso</t>
  </si>
  <si>
    <t>Mashinini, Thamsanqa</t>
  </si>
  <si>
    <t>Masilela, Kabelo</t>
  </si>
  <si>
    <t>Mathebula, Vukosi</t>
  </si>
  <si>
    <t>Mbonani, Sfiso</t>
  </si>
  <si>
    <t>Menon, Rohit</t>
  </si>
  <si>
    <t>Mgano, Siphesihle</t>
  </si>
  <si>
    <t>Mkhize, Bhekanani</t>
  </si>
  <si>
    <t>Mkhize, Zethembe</t>
  </si>
  <si>
    <t>Mlaba, Zamaswazi</t>
  </si>
  <si>
    <t>Mlambo, Bongani</t>
  </si>
  <si>
    <t>Mngomeni, Nompumelelo</t>
  </si>
  <si>
    <t>Mngomezulu, Nhlakanipho</t>
  </si>
  <si>
    <t>Moagi, Thapelo</t>
  </si>
  <si>
    <t>Modise, Thokozani</t>
  </si>
  <si>
    <t>Mofokeng, Lefa</t>
  </si>
  <si>
    <t>Mohamed, Faadhil</t>
  </si>
  <si>
    <t>Mokgehle, Phuti</t>
  </si>
  <si>
    <t>Moloi, Maphale</t>
  </si>
  <si>
    <t>Moloto, Revinah</t>
  </si>
  <si>
    <t>Mongalo, Neo</t>
  </si>
  <si>
    <t>Moodie, Donato</t>
  </si>
  <si>
    <t>Moolla, Ahmad</t>
  </si>
  <si>
    <t>Moore, Michael</t>
  </si>
  <si>
    <t>Morukhu, Matome</t>
  </si>
  <si>
    <t>Mosoeu, Mashudu</t>
  </si>
  <si>
    <t>Moteane, Bonolo</t>
  </si>
  <si>
    <t>Moustafa, Umar</t>
  </si>
  <si>
    <t>Mpano, Iverson</t>
  </si>
  <si>
    <t>Mphahlele, Tokelo</t>
  </si>
  <si>
    <t>Mpinga, Bonginkosi</t>
  </si>
  <si>
    <t>Msele, Mnelisi</t>
  </si>
  <si>
    <t>Mthethwa, Dumisani</t>
  </si>
  <si>
    <t>Mugawazi, Taziva</t>
  </si>
  <si>
    <t>Muller, David</t>
  </si>
  <si>
    <t>Muradya, Anotidaishe</t>
  </si>
  <si>
    <t>Muthaphuli, Phathutshedzo</t>
  </si>
  <si>
    <t>Naidoo, Jaryd</t>
  </si>
  <si>
    <t>Ncube, Joseph</t>
  </si>
  <si>
    <t>Ndaba, Lungelo</t>
  </si>
  <si>
    <t>Ndhlovu, Michael</t>
  </si>
  <si>
    <t>Ndlambuzi, Mthandeki</t>
  </si>
  <si>
    <t>Ngirazi, Rutendo</t>
  </si>
  <si>
    <t>Ngoepe, Edgar</t>
  </si>
  <si>
    <t>Ngomane, Emarantia</t>
  </si>
  <si>
    <t>Ngutshane, Mandlenkosi</t>
  </si>
  <si>
    <t>Nomvela, Isabella</t>
  </si>
  <si>
    <t>Nthoroane, Samuel</t>
  </si>
  <si>
    <t>Ntshangase, Noluthando</t>
  </si>
  <si>
    <t>Ntshingila, Lwazi</t>
  </si>
  <si>
    <t>Ntsooa, Refilwe</t>
  </si>
  <si>
    <t>Nzama, Ziphokazizamagcugcwa</t>
  </si>
  <si>
    <t>Olivier, Liam</t>
  </si>
  <si>
    <t>Omar, Meezaan</t>
  </si>
  <si>
    <t>Peretz, Liad</t>
  </si>
  <si>
    <t>Petersen, Jozeal</t>
  </si>
  <si>
    <t>Pule, Mabasata</t>
  </si>
  <si>
    <t>Radebe, Nonofo</t>
  </si>
  <si>
    <t>Radowsky, Asher</t>
  </si>
  <si>
    <t>Ralph, Matthew</t>
  </si>
  <si>
    <t>Rasesepa, Takalani</t>
  </si>
  <si>
    <t>Rawlings, Christopher</t>
  </si>
  <si>
    <t>Rawuka, Alungile</t>
  </si>
  <si>
    <t>Rolle, Michael</t>
  </si>
  <si>
    <t>Ruthel, Joshua-Daniel</t>
  </si>
  <si>
    <t>Seedat, Ismail</t>
  </si>
  <si>
    <t>Sekamogeng, Letlhogonolo</t>
  </si>
  <si>
    <t>Sekhwama, Motchinya</t>
  </si>
  <si>
    <t>Sender, Daron</t>
  </si>
  <si>
    <t>Sengoane, Koketso</t>
  </si>
  <si>
    <t>Shakir, Muhammad</t>
  </si>
  <si>
    <t>Shapiro, Joshua</t>
  </si>
  <si>
    <t>Singh, Chad</t>
  </si>
  <si>
    <t>Sithole, Bongane</t>
  </si>
  <si>
    <t>Sithole, Morihle</t>
  </si>
  <si>
    <t>Solomao, Amelia</t>
  </si>
  <si>
    <t>Taim, Daniel</t>
  </si>
  <si>
    <t>Tar-Mahomed, Mohammed</t>
  </si>
  <si>
    <t>Thamane, Neo</t>
  </si>
  <si>
    <t>Thomson, Ethan</t>
  </si>
  <si>
    <t>Tom, Shaleen</t>
  </si>
  <si>
    <t>Tshibalo, Tondani</t>
  </si>
  <si>
    <t>Tshikombeni, Ompha</t>
  </si>
  <si>
    <t>Tshude, Ziyanda</t>
  </si>
  <si>
    <t>Valla, Karan</t>
  </si>
  <si>
    <t>Van Staden, Erin</t>
  </si>
  <si>
    <t>Wright, Ruth-Ann</t>
  </si>
  <si>
    <t>Zulase, Nathan</t>
  </si>
  <si>
    <t>Zulu, Cebolenkosi</t>
  </si>
  <si>
    <t>Zwane, Kwazinkosi</t>
  </si>
  <si>
    <t>Integration ID</t>
  </si>
  <si>
    <t>Team</t>
  </si>
  <si>
    <t>Student No.</t>
  </si>
  <si>
    <t>GitHub Username</t>
  </si>
  <si>
    <t>Session</t>
  </si>
  <si>
    <t>Marker</t>
  </si>
  <si>
    <t>Reason</t>
  </si>
  <si>
    <t>Notes for us (not the students)</t>
  </si>
  <si>
    <t>Pull Request Search Query</t>
  </si>
  <si>
    <t>Session 1</t>
  </si>
  <si>
    <t>Drozdov</t>
  </si>
  <si>
    <t>Missing or partial/inadequate solution</t>
  </si>
  <si>
    <t>"2022-lab-?-session-?" is:pr is:open org:witseie-elen3009 updated:&lt;2022-08-18</t>
  </si>
  <si>
    <t>Missed out part of Ex 4.2</t>
  </si>
  <si>
    <t xml:space="preserve">It was only a small question </t>
  </si>
  <si>
    <r>
      <rPr>
        <b/>
        <i/>
        <sz val="10"/>
        <color rgb="FF000000"/>
        <rFont val="Arial"/>
        <family val="2"/>
      </rPr>
      <t>For example, for lab 1 session 1</t>
    </r>
    <r>
      <rPr>
        <sz val="10"/>
        <color rgb="FF000000"/>
        <rFont val="Arial"/>
        <family val="2"/>
      </rPr>
      <t>: "2022-lab-1-session-1" is:pr is:open org:witseie-elen3009 updated:&lt;2022-08-18</t>
    </r>
  </si>
  <si>
    <t xml:space="preserve">The last solution was really bad. </t>
  </si>
  <si>
    <t>The updated date must be the day following the submission deadline</t>
  </si>
  <si>
    <t>No commits from this group member</t>
  </si>
  <si>
    <t>Pull request not found using search query</t>
  </si>
  <si>
    <t>Reason (for not awarding the lab mark)</t>
  </si>
  <si>
    <t>No comment necessary</t>
  </si>
  <si>
    <t>Incorrect commit history</t>
  </si>
  <si>
    <t>Performed a pull request to master four times and therefore commits are missing in the last pull request</t>
  </si>
  <si>
    <t>&gt; 2 commits not linked to GitHub account</t>
  </si>
  <si>
    <t>Identify the issue: Not one commit per exercise; extra commits; commits incorrectly named; both members responsible for a commit; missing merge commits; missing initial commit</t>
  </si>
  <si>
    <t>Identify the specific commit/s and explain</t>
  </si>
  <si>
    <t>A commit includes solutions to multiple exercises</t>
  </si>
  <si>
    <t>No comment necessary; students are able to verify this for themselves</t>
  </si>
  <si>
    <t>If there are any other comments that you wish to give the students, post them on GitHub when reviewing their solutions.</t>
  </si>
  <si>
    <t>A class has not been created for Ex 5.1</t>
  </si>
  <si>
    <t>Ex 4.6 commit contained solutions to the other exercises</t>
  </si>
  <si>
    <t>Only changed code in main not the actual solutions?</t>
  </si>
  <si>
    <t>Not one commit per exercise</t>
  </si>
  <si>
    <t>Commited Ex 3 straight to solutions - missing merge</t>
  </si>
  <si>
    <t>Session 2</t>
  </si>
  <si>
    <t>Papageorgiou</t>
  </si>
  <si>
    <t>Did not complete Ex 4.3 and Ex 4.5 - For both these questions a comment was required with explanation and was not provided (Eg. For 4.3: Is this member function a necessity for clients of Screen? was not answered )</t>
  </si>
  <si>
    <t xml:space="preserve">Good apart from missing comments </t>
  </si>
  <si>
    <t>Commit for Ex 4.1 contains the solution to Ex 2.1</t>
  </si>
  <si>
    <t>Solutions to exercises were good other than the commit error</t>
  </si>
  <si>
    <t>Commit for ex 5.1 contains solutions for Ex 3</t>
  </si>
  <si>
    <t xml:space="preserve">Commit for Ex3.1 contains soutions to Ex 5.1 and comit for Ex 5.1 has no solutions </t>
  </si>
  <si>
    <t>For Ex 4.5 - the square function has not been created or attempted, it is only allude to in a comment - a function call is made but no function exists to create or try create the square</t>
  </si>
  <si>
    <t>Session 3</t>
  </si>
  <si>
    <t>Chokoe</t>
  </si>
  <si>
    <t>Exercise 4.6 includes Exercise 4.5 written response answer</t>
  </si>
  <si>
    <t>Didn't attempt written response question for Exercise 4.5</t>
  </si>
  <si>
    <t>Session 4</t>
  </si>
  <si>
    <t>Lepolesa</t>
  </si>
  <si>
    <t>Section 4 not complete</t>
  </si>
  <si>
    <t>Exercises 3.3 and 5.1 not correctly implemented. 3.3 gives wrong solutions. 5.1 not done in an OOP manner</t>
  </si>
  <si>
    <t>Exercises 3.3 and 5.1 not correctly implemented</t>
  </si>
  <si>
    <t>Exercise 2.1: random number should exclude 0</t>
  </si>
  <si>
    <t>Session 5</t>
  </si>
  <si>
    <t>Khosa</t>
  </si>
  <si>
    <t>Multiple commits for Exercise 3.1</t>
  </si>
  <si>
    <t>Exercise 4.5 doesn't have implementation</t>
  </si>
  <si>
    <t>Session 6</t>
  </si>
  <si>
    <t>Marope</t>
  </si>
  <si>
    <t>Exercise 5.1 is not modeled as a class.</t>
  </si>
  <si>
    <t>Late pull request</t>
  </si>
  <si>
    <t xml:space="preserve">Exercise 4.3 includes solutions to Exercise 4.4 </t>
  </si>
  <si>
    <t>4.3 Overloaded move function using strongly typed enum not implemented</t>
  </si>
  <si>
    <t>Exercise 3.1 includes solutions to 3.2</t>
  </si>
  <si>
    <t>Session 7</t>
  </si>
  <si>
    <t>Diketane</t>
  </si>
  <si>
    <t>An alias was not used for exercise 3.2</t>
  </si>
  <si>
    <t xml:space="preserve">Solution to exercise 5.1 is inadequate </t>
  </si>
  <si>
    <t>Exercise 2.1 was commited under exercise 4.1</t>
  </si>
  <si>
    <t>Exercise 4.5 is incomplete</t>
  </si>
  <si>
    <t>Session 8</t>
  </si>
  <si>
    <t>Mzobe</t>
  </si>
  <si>
    <t>Multiple commits for exercise 2.1</t>
  </si>
  <si>
    <t>Exercise 3.1 includes solutions to exercise 5.1</t>
  </si>
  <si>
    <t>No commits at all made by this user.</t>
  </si>
  <si>
    <t>Only 1 commit present in the solutions branch, no section is merged into solutions branch</t>
  </si>
  <si>
    <t xml:space="preserve">Commit for Ex 4.4 has an inadequate solution, does not take into account the wrap around for every column (ie for every lcoation in the bottom and top rows), rather just begining and end. Apart from the one inadequate solution, this was good. </t>
  </si>
  <si>
    <t>No real attempt to model a Stopwatch. Stopwatch not used for timing in main.</t>
  </si>
  <si>
    <t>Commits incorrectly named so that you cannot identify which commit contains which exercise</t>
  </si>
  <si>
    <t>No real attempt to model a Stopwatch.</t>
  </si>
  <si>
    <t>Commits to exercise 4.5 and 4.6 missing</t>
  </si>
  <si>
    <t>Did not respond to comment questions (4.3&amp; 4.5)</t>
  </si>
  <si>
    <t>No real attempt for Exercise 5.1</t>
  </si>
  <si>
    <t>No commits at all from this user.</t>
  </si>
  <si>
    <t>The first two exercises not correctly addressed</t>
  </si>
  <si>
    <t>Exercise 5.1 has been committed with 3.1</t>
  </si>
  <si>
    <t>4.3 is part of 4.2</t>
  </si>
  <si>
    <t>artOfHope</t>
  </si>
  <si>
    <t>"2022-lab-2-session-4" is:pr is:open org:witseie-elen3009 updated:&lt;2022-08-31</t>
  </si>
  <si>
    <t>Entropy85</t>
  </si>
  <si>
    <r>
      <rPr>
        <b/>
        <i/>
        <sz val="10"/>
        <color rgb="FF000000"/>
        <rFont val="Arial"/>
        <family val="2"/>
      </rPr>
      <t>For example, for lab 2 session 1</t>
    </r>
    <r>
      <rPr>
        <sz val="10"/>
        <color rgb="FF000000"/>
        <rFont val="Arial"/>
        <family val="2"/>
      </rPr>
      <t>: "2022-lab-2-session-1" is:pr is:open org:witseie-elen3009 updated:&lt;2022-09-01</t>
    </r>
  </si>
  <si>
    <t>Faadza</t>
  </si>
  <si>
    <t>meezyomar</t>
  </si>
  <si>
    <t>There are no commits from this user, exercise 2.1 is not present in the solution.</t>
  </si>
  <si>
    <t>Fanelesibonge7</t>
  </si>
  <si>
    <t>Revinah-M</t>
  </si>
  <si>
    <t>2104199-23</t>
  </si>
  <si>
    <t>Section-5 solution is merged into master instead of solutions.</t>
  </si>
  <si>
    <t>SabiePule</t>
  </si>
  <si>
    <t>Broydansk</t>
  </si>
  <si>
    <t>Michael-Rolle</t>
  </si>
  <si>
    <t xml:space="preserve">PhutiB-Mokgehle </t>
  </si>
  <si>
    <t>MorukhuMatome</t>
  </si>
  <si>
    <t>Shelton-808</t>
  </si>
  <si>
    <t>There are 3 commits for exercise 4.1</t>
  </si>
  <si>
    <t>Karan-Valla</t>
  </si>
  <si>
    <t>cluster1738</t>
  </si>
  <si>
    <t>Siphesihle9</t>
  </si>
  <si>
    <t>meghammond</t>
  </si>
  <si>
    <t>Mannan2105</t>
  </si>
  <si>
    <t>NurAreff</t>
  </si>
  <si>
    <t>Veeral-B</t>
  </si>
  <si>
    <t>guymosa</t>
  </si>
  <si>
    <t>TakalaniRS</t>
  </si>
  <si>
    <t>KalaPri</t>
  </si>
  <si>
    <t>caitkemraj</t>
  </si>
  <si>
    <t>Reuben58</t>
  </si>
  <si>
    <t>There are files in the commits that should not be there. Also inadequate solution for Ex 5.3 - missing assertion statements in Test cases.</t>
  </si>
  <si>
    <t>HanGoldblatt</t>
  </si>
  <si>
    <t xml:space="preserve">There are files in the commits that should not be there. </t>
  </si>
  <si>
    <t>melusijali</t>
  </si>
  <si>
    <t xml:space="preserve">There are three commits for Ex. 5.4 and none for the other exercises in the pull request. </t>
  </si>
  <si>
    <t>Mbali-Kunene</t>
  </si>
  <si>
    <t xml:space="preserve">echipkin </t>
  </si>
  <si>
    <t>ejoffe5</t>
  </si>
  <si>
    <t>sendr7</t>
  </si>
  <si>
    <t>Koshti01</t>
  </si>
  <si>
    <t>Miguel-Hunter</t>
  </si>
  <si>
    <t>allitarm</t>
  </si>
  <si>
    <t>HamzahDocrat</t>
  </si>
  <si>
    <t>AhmadMoolla</t>
  </si>
  <si>
    <t>Sfiso-Mbonani</t>
  </si>
  <si>
    <t>Tests were deleted in Ex 5.1 and missing test in Ex 5.3</t>
  </si>
  <si>
    <t>Bonganesithole</t>
  </si>
  <si>
    <t xml:space="preserve">samacohen </t>
  </si>
  <si>
    <t>Tainejelliott</t>
  </si>
  <si>
    <t>KonyaneKgothatso</t>
  </si>
  <si>
    <t>KoketsoJess</t>
  </si>
  <si>
    <t>MaphaleAmos</t>
  </si>
  <si>
    <t>Partial solution for Ex5.3 - Incomplete Integration test</t>
  </si>
  <si>
    <t>Refilwe7</t>
  </si>
  <si>
    <t>JessDworcan</t>
  </si>
  <si>
    <t>MarantosGeorge</t>
  </si>
  <si>
    <t>Thulanikrawe</t>
  </si>
  <si>
    <t>SamNthoroane</t>
  </si>
  <si>
    <t>Gcobhini</t>
  </si>
  <si>
    <t xml:space="preserve">Pull request wants to merge commits from revery-3-solutions to solutions, instead of: into master from solutions. Commit history does not show just the commits and instead shows a revert, commit history of the pull request only shows the revert and merge and not any of the solutions. </t>
  </si>
  <si>
    <t>kwazinkosi</t>
  </si>
  <si>
    <t>Pull request wants to merge commits from revery-3-solutions to solutions, instead of: into master from solutions. Commit history does not show just the commits and instead shows a revert, commit history of the pull request only shows the revert and merge and not any of the solutions.</t>
  </si>
  <si>
    <t>EY1920</t>
  </si>
  <si>
    <t>MM-Software2</t>
  </si>
  <si>
    <t>Ateka-A</t>
  </si>
  <si>
    <t>TshegoX</t>
  </si>
  <si>
    <t>Khizar-Anas</t>
  </si>
  <si>
    <t>Xosfer</t>
  </si>
  <si>
    <t>Solution for 4.1 inadequate, tests will not pass.</t>
  </si>
  <si>
    <t xml:space="preserve">I ran the code for ex4.1 and does not run properly nor will the tests pass. </t>
  </si>
  <si>
    <t>AneleP</t>
  </si>
  <si>
    <t>Lhelho</t>
  </si>
  <si>
    <t>TebogoDibakoane228</t>
  </si>
  <si>
    <t>Commit for 5.1 is incorrect - contains extra files such as line and paragraph. The commit seems to have reverted changes and removing code as opposed to adding code.  See Exercise 5.1 commit. Doesn't make sense</t>
  </si>
  <si>
    <t>Commit for 5.1 is incorrect - contains extra files such as line and paragraph. The commit seems to have reverted changes and removing code as opposed to adding code. See Exercise 5.1 commit. Doesn't make sense</t>
  </si>
  <si>
    <t>SudhuG</t>
  </si>
  <si>
    <t>bcgrahn</t>
  </si>
  <si>
    <t>neothamane</t>
  </si>
  <si>
    <t>OussamaBera</t>
  </si>
  <si>
    <t>HamzJ1</t>
  </si>
  <si>
    <t>TebogoLegoabe</t>
  </si>
  <si>
    <t>TondokiePoonkie</t>
  </si>
  <si>
    <t>ISSEEDAT</t>
  </si>
  <si>
    <t>h-shakir</t>
  </si>
  <si>
    <t>MillyMilly04</t>
  </si>
  <si>
    <t>surventy</t>
  </si>
  <si>
    <t>ML214</t>
  </si>
  <si>
    <t>dmulles</t>
  </si>
  <si>
    <t>shurayghabr</t>
  </si>
  <si>
    <t>Ty-Feldman</t>
  </si>
  <si>
    <t>Thuthukan</t>
  </si>
  <si>
    <t>emarantia97</t>
  </si>
  <si>
    <t>IshakManjra</t>
  </si>
  <si>
    <t xml:space="preserve">Koketso26 </t>
  </si>
  <si>
    <t>KuroIvy</t>
  </si>
  <si>
    <t>Exercise 5 not attempted</t>
  </si>
  <si>
    <t>AsherRadowsky</t>
  </si>
  <si>
    <t>GSWNJay</t>
  </si>
  <si>
    <t>Lefamofokeng</t>
  </si>
  <si>
    <t>MoSalman611</t>
  </si>
  <si>
    <t>MichaelMoore342</t>
  </si>
  <si>
    <t>evanmodise</t>
  </si>
  <si>
    <t>Commit to exercise 5.1 contains changes to all files</t>
  </si>
  <si>
    <t>dumisanimthethwa</t>
  </si>
  <si>
    <t>Mosoeu17</t>
  </si>
  <si>
    <t>NateParkerz1</t>
  </si>
  <si>
    <t>mahlatse06</t>
  </si>
  <si>
    <t>pull request only contains exercise 2.1 and 5.1 commits</t>
  </si>
  <si>
    <t>SaudahH</t>
  </si>
  <si>
    <t>01Sibongiseni</t>
  </si>
  <si>
    <t>nqobilemtsweni</t>
  </si>
  <si>
    <t>LwaziN</t>
  </si>
  <si>
    <t>GosegoBagapi</t>
  </si>
  <si>
    <t>No pull request for section 5</t>
  </si>
  <si>
    <t>ErickChauke</t>
  </si>
  <si>
    <t>Keamelo</t>
  </si>
  <si>
    <t>multiple commit messages for exercise 5.3. Both pull requests for section 5 merged</t>
  </si>
  <si>
    <t>Edgars08</t>
  </si>
  <si>
    <t>TazivaM</t>
  </si>
  <si>
    <t xml:space="preserve">only 4 commits, no pull requests for section 5 </t>
  </si>
  <si>
    <t>MikeyNu</t>
  </si>
  <si>
    <t>only 4 commits, no pull requests for section 5</t>
  </si>
  <si>
    <t>BKipruto14</t>
  </si>
  <si>
    <t>tests for Paragraph not implemented</t>
  </si>
  <si>
    <t>sameer1x1</t>
  </si>
  <si>
    <t>Morris18</t>
  </si>
  <si>
    <t>Blavklord</t>
  </si>
  <si>
    <t>Nomvela1</t>
  </si>
  <si>
    <t>Exercise 5.1 contains solutions to 5.2</t>
  </si>
  <si>
    <t>Morihle-Sithole</t>
  </si>
  <si>
    <t>DarasMaria</t>
  </si>
  <si>
    <t>jonnykatz27</t>
  </si>
  <si>
    <t>michael092749</t>
  </si>
  <si>
    <t>Cole-01</t>
  </si>
  <si>
    <t>No section 5 pull request made</t>
  </si>
  <si>
    <t>NtsikoMahlathi</t>
  </si>
  <si>
    <t>NoluthandoNtshangase</t>
  </si>
  <si>
    <t>umar752</t>
  </si>
  <si>
    <t>Incorrect use of version control- multiple versions of a file</t>
  </si>
  <si>
    <t>Da-Ol-Ta</t>
  </si>
  <si>
    <t>namtekor</t>
  </si>
  <si>
    <t>WreckItRalph02</t>
  </si>
  <si>
    <t>No Section 5 pull request made</t>
  </si>
  <si>
    <t>Tokelo-Mphahlele</t>
  </si>
  <si>
    <t>ZuluCebo</t>
  </si>
  <si>
    <t>KiraKatz</t>
  </si>
  <si>
    <t>Did not make a pull request on their Section- 5</t>
  </si>
  <si>
    <t>jshap26</t>
  </si>
  <si>
    <t>anotida-nicole</t>
  </si>
  <si>
    <t>RutendoNgirazi</t>
  </si>
  <si>
    <t>philmarting</t>
  </si>
  <si>
    <t>Liad-P</t>
  </si>
  <si>
    <t>Melz77</t>
  </si>
  <si>
    <t>Omphatshi</t>
  </si>
  <si>
    <t>NatanGrayman</t>
  </si>
  <si>
    <t>Gilad-Kangisser</t>
  </si>
  <si>
    <t>Jaryd27</t>
  </si>
  <si>
    <t>Zealous-25</t>
  </si>
  <si>
    <t>Xirynx</t>
  </si>
  <si>
    <t>JoshRuthel</t>
  </si>
  <si>
    <t>Donato-M</t>
  </si>
  <si>
    <t>Multiple commits for exercises in section 5</t>
  </si>
  <si>
    <t>Christopher-Rawlings-Kit</t>
  </si>
  <si>
    <t>AbramKhoza</t>
  </si>
  <si>
    <t>Different parts of section 5 committed under Exercise 5.1. 5.2 contains commits for 5.3</t>
  </si>
  <si>
    <t>Ziphokazi-Nzama</t>
  </si>
  <si>
    <t>eesaadollie15</t>
  </si>
  <si>
    <t>Elderestfever21</t>
  </si>
  <si>
    <t>9Noah</t>
  </si>
  <si>
    <t>Ignatiousmj</t>
  </si>
  <si>
    <t>BonoloT</t>
  </si>
  <si>
    <t xml:space="preserve"> Fullbr-ght</t>
  </si>
  <si>
    <t>itsJustIzzy</t>
  </si>
  <si>
    <t>Tshudeziyanda</t>
  </si>
  <si>
    <t>Nolwazidlamini2000</t>
  </si>
  <si>
    <t>Shekz21</t>
  </si>
  <si>
    <t>A part of exercise 5.3 was committed under exercise 5.4</t>
  </si>
  <si>
    <t>MurendeniMagidi</t>
  </si>
  <si>
    <t>RotendaM</t>
  </si>
  <si>
    <t>Improper submission for exercise 5</t>
  </si>
  <si>
    <t>Chad-singh7</t>
  </si>
  <si>
    <t>fipazao</t>
  </si>
  <si>
    <t>Exercise 5 is incomplete</t>
  </si>
  <si>
    <t>MkhizeZ</t>
  </si>
  <si>
    <t>Universe-00</t>
  </si>
  <si>
    <t>Vukosi-Mathebula</t>
  </si>
  <si>
    <t xml:space="preserve">Lungelotheghost </t>
  </si>
  <si>
    <t>Exercise 2.1 appears twice in the commit histrory</t>
  </si>
  <si>
    <t>AlungileRawuka</t>
  </si>
  <si>
    <t>Exercise 5.4 is incomplete</t>
  </si>
  <si>
    <t>Shaleentom</t>
  </si>
  <si>
    <t>ErinvanStaden</t>
  </si>
  <si>
    <t>NonofoRadebe</t>
  </si>
  <si>
    <t>SHAUNKHUZWAYO</t>
  </si>
  <si>
    <t>Exercise 5 solutions are scattered in the sub-exercises</t>
  </si>
  <si>
    <t>bhekananiMkhize</t>
  </si>
  <si>
    <t>MainlyMujahid</t>
  </si>
  <si>
    <t>KiyashBepat</t>
  </si>
  <si>
    <t>Exercise 5.4 has not been implemented</t>
  </si>
  <si>
    <t>Zamaswazi7</t>
  </si>
  <si>
    <t>Phathutshedzo2201238</t>
  </si>
  <si>
    <t>No pull request made for section- 5</t>
  </si>
  <si>
    <t>nokarr</t>
  </si>
  <si>
    <t/>
  </si>
  <si>
    <t>Notes for us (not shown to students)</t>
  </si>
  <si>
    <t xml:space="preserve"> </t>
  </si>
  <si>
    <t>Fullbr-ght</t>
  </si>
  <si>
    <t>Worked alone</t>
  </si>
  <si>
    <t>Wrote Sup</t>
  </si>
  <si>
    <t>Wrote Def</t>
  </si>
  <si>
    <t>Wrote Exam</t>
  </si>
  <si>
    <t>All Components</t>
  </si>
  <si>
    <t>Engagement</t>
  </si>
  <si>
    <t>Multiple initial commits</t>
  </si>
  <si>
    <r>
      <rPr>
        <b/>
        <i/>
        <sz val="10"/>
        <color rgb="FF000000"/>
        <rFont val="Arial"/>
        <family val="2"/>
      </rPr>
      <t>For example, for lab 2 session 1</t>
    </r>
    <r>
      <rPr>
        <sz val="10"/>
        <color rgb="FF000000"/>
        <rFont val="Arial"/>
        <family val="2"/>
      </rPr>
      <t>: "2022-lab-3-session-1" is:pr is:open org:witseie-elen3009 updated:&lt;2022-09-29</t>
    </r>
  </si>
  <si>
    <t>The test cases in exercise 2.2 and 2.4 have too many assertions</t>
  </si>
  <si>
    <t>Exercise 2.1 contains exercise 2.2 solutions</t>
  </si>
  <si>
    <t>Some of the tests of the additional tests on exercise 2.4, are just additional and do not test what they claim to test.</t>
  </si>
  <si>
    <t>Exercise 2.2 only tests for one invalid date possibility, exercise 2.5 could also do with more tests</t>
  </si>
  <si>
    <t>Exercise 3.1 includes not the entire solution but changes on test file associated with exercise 2</t>
  </si>
  <si>
    <t>The test in exercise 2.2 has too many assertions</t>
  </si>
  <si>
    <t>Additional leap year tests could have been added</t>
  </si>
  <si>
    <t>Multiple commits for exercise 3.1 (Includes commits for exercise 3.2 - 3.4 which are not in the brief)</t>
  </si>
  <si>
    <t>Multiple commits for exercise 2.3 (Commit: Revert "Exercise 2.4")</t>
  </si>
  <si>
    <t>Commit Exercise 2.1 includes solutions for exercise 2.4.</t>
  </si>
  <si>
    <t>Merge commit missing for Ex 3</t>
  </si>
  <si>
    <t>Ex 2.1 contains the soltions to Ex 2.2, Ex 2.4 and Ex 2.5</t>
  </si>
  <si>
    <t>Missing merge commit for section 3</t>
  </si>
  <si>
    <t>Constructor is defined using the method given for Ex 2.5</t>
  </si>
  <si>
    <t>Not the best solution to Ex 2.5 - does not create a default dat properly</t>
  </si>
  <si>
    <t>Missing merge commit for section 2</t>
  </si>
  <si>
    <t xml:space="preserve">Seem to have very similar code for Ex 2.1 as Moloi  and Ntsooa I think - it is a bit different so it could be that they just made the same mistake </t>
  </si>
  <si>
    <t>Not the best answer for Ex 3</t>
  </si>
  <si>
    <t>The commits for Ex 2 don't seem to have solutions in the pull request</t>
  </si>
  <si>
    <t>Missing Merge commit for Ex 2, Ex 2.1 and Ex 2.5 seem to be mixed</t>
  </si>
  <si>
    <t xml:space="preserve">Seem to have very similar code for Ex 2.1 as Anas and Finger I think -  it is a bit different so it could be that they just made the same mistake </t>
  </si>
  <si>
    <t>Missing Merge commit for Ex 3</t>
  </si>
  <si>
    <t>Ex 2.1 contains Ex 2.2, Ex 2.3, Ex 2.4 and Ex 2.5</t>
  </si>
  <si>
    <t>Missing Solution and Incorrect commit history - Not every question required is provided in the Ex3.1 commit and the commit does not add anything  The commit history is incorrect since the solution to 3.1 was provided in the initial commit instead of commit for 3.1</t>
  </si>
  <si>
    <t>Inadequate Solution - Questions 2 and 3 not answered fully. Was expecting an answer for a - f and only a handful have been provided.</t>
  </si>
  <si>
    <t>Initial Commit contains solutions to multiple Exercises in exercise 2 such as default constructor and operator overloading. Also contains inadequate solution for 2.2 because only one test provided when multiple were required.</t>
  </si>
  <si>
    <t>Mark of 0 - incorrect commit history and Inadequate Solution</t>
  </si>
  <si>
    <t>Named Pull request incorectly -&gt; "lab 3-session 4" expected -&gt; 'lab-3-session-4"</t>
  </si>
  <si>
    <t xml:space="preserve">Inadequate solution: for exercise 3.1 did not provide sufficient answers for 2) or 3)
</t>
  </si>
  <si>
    <t>Multiple commits for Exercises 2.3 and 2.5 - (cannot have Exercise 2.3 and Exercise 2.3 final)</t>
  </si>
  <si>
    <t>Solution to Exercise 2.5 is missing</t>
  </si>
  <si>
    <t>Exercise 3 solution is incomplete</t>
  </si>
  <si>
    <t>Commits incorrectly named</t>
  </si>
  <si>
    <t>Extra commits (Exercise 3.2);</t>
  </si>
  <si>
    <t>Commit for Exercise 2.4 contains Exercise 2.3 solution additions</t>
  </si>
  <si>
    <t>Exercise 3.1 solution is incomplete</t>
  </si>
  <si>
    <t>Exercise 2.3 is incomplete; test cases less than 3</t>
  </si>
  <si>
    <t>Exercise 2 commited directly to Solutions</t>
  </si>
  <si>
    <t>Exercise 3 not complete</t>
  </si>
  <si>
    <t>Ex 2.1 contains partial solutions for future exercises.</t>
  </si>
  <si>
    <t>Tests for Exercise 2.1 not written under commit 2.1. The test is provided in Ex 2.2.</t>
  </si>
  <si>
    <t xml:space="preserve">3 Additional Tests not implemented for Ex 2.3 as required. </t>
  </si>
  <si>
    <t>Most answers to exercise 3.1 are not correct</t>
  </si>
  <si>
    <t>excercise 2.1 commit also includes ex. 2.2 solution, ex.2.3 includes 2.4, 2.5...</t>
  </si>
  <si>
    <t>Name the pull request a proper name, not a search query, Most answers to exercise 3.1 are not correct</t>
  </si>
  <si>
    <t>Name the pull request a proper name, not a search query</t>
  </si>
  <si>
    <t>nolwazidlamini2000</t>
  </si>
  <si>
    <t>Steve</t>
  </si>
  <si>
    <t>Permission to submit late</t>
  </si>
  <si>
    <r>
      <rPr>
        <b/>
        <i/>
        <sz val="10"/>
        <color rgb="FF000000"/>
        <rFont val="Arial"/>
        <family val="2"/>
      </rPr>
      <t>For example, for lab 4 session 1</t>
    </r>
    <r>
      <rPr>
        <sz val="10"/>
        <color rgb="FF000000"/>
        <rFont val="Arial"/>
        <family val="2"/>
      </rPr>
      <t>: "2022-lab-4-session-1" is:pr is:open org:witseie-elen3009 updated:&lt;2022-10-13</t>
    </r>
  </si>
  <si>
    <t>For exercises 3.2 and 3.3 commits, classes and functions definitions are not shown</t>
  </si>
  <si>
    <t>Exercise 2.2. has not been done. 2.3 is not complete.</t>
  </si>
  <si>
    <t>Exercise 3.1 not fully addressed</t>
  </si>
  <si>
    <t>Exercise 3.1 not complete</t>
  </si>
  <si>
    <t xml:space="preserve">New class under exercise 2.2 not commited </t>
  </si>
  <si>
    <t>Exercise 3.2  not completed</t>
  </si>
  <si>
    <t>Exercise 2.1 is not complete, exercise 2.3 contains solutions from 2.1</t>
  </si>
  <si>
    <t xml:space="preserve">Under exercise 2.1, an attempt was made to delete solutions to exercise 2.1 </t>
  </si>
  <si>
    <t>Missing exercise 3.3 commit/solution</t>
  </si>
  <si>
    <t xml:space="preserve">They wrote lab 1 rather than lab 4 in their pull request </t>
  </si>
  <si>
    <t>Missing merge commit</t>
  </si>
  <si>
    <t>Ex 3.1 is missing and missing merge commit</t>
  </si>
  <si>
    <t>Did not identify whether each class or structure is part of the logic or presentation layer. Also answers more than one question in the commit for Ex 3.2</t>
  </si>
  <si>
    <t xml:space="preserve">Not the best answer to Ex 2.1. </t>
  </si>
  <si>
    <t>Merge commits missing. The Ex 2.3 commit contains both  Ex2.3.  and Ex 2.2.</t>
  </si>
  <si>
    <t>Ex 2.2 and 2.3 are missing and Ex 2.3 has been named Ex 3.2</t>
  </si>
  <si>
    <t>There are two commits for Ex 3.2</t>
  </si>
  <si>
    <t>Ex 3 was done by this student - not sure if both should be penalised</t>
  </si>
  <si>
    <t xml:space="preserve">Ex 2.3 is missing </t>
  </si>
  <si>
    <t>Missing merge commit for Ex 3</t>
  </si>
  <si>
    <t>Missing merge commit, Did not answer all questions in Ex 3.1</t>
  </si>
  <si>
    <t>Exercise 2.2 Requires a new class to model a worker, the pull request only has an implementation in main, which is not an adequate solution.</t>
  </si>
  <si>
    <t>Answer not provided for Ex3.1.1, presentaion and logic layer must be provided for each class, this was not provided in your solution</t>
  </si>
  <si>
    <t>Dashed Line Style Class not found for Ex3.2</t>
  </si>
  <si>
    <t>No solution</t>
  </si>
  <si>
    <t>No solution provided by this group member</t>
  </si>
  <si>
    <t>Seem to have solutions for an older version of Lab 4</t>
  </si>
  <si>
    <t>Is this a solution to a previous lab??</t>
  </si>
  <si>
    <t>There are multiple commits for a single exercise, multiple commits for 2.2 and 2.3, there can only be a single commit per exercise</t>
  </si>
  <si>
    <t>All Commits are not linked to a GitHub account</t>
  </si>
  <si>
    <t>Exercise 3.3 solution is missing</t>
  </si>
  <si>
    <t>Exercise 2.3 solution is missing</t>
  </si>
  <si>
    <t>Multiple commits for exercise 3.2</t>
  </si>
  <si>
    <t>Multiple commits for exercise 2.2</t>
  </si>
  <si>
    <t>&gt; 2 commits not linked to GitHub account - concession given as this was not picked up earlier</t>
  </si>
  <si>
    <t>Exercise 2.1 commit also includes ex. 2.2 solution. Not enough test cases for ex. 2.2.</t>
  </si>
  <si>
    <t>Exercise 3.1 contains solutions to exercise 3.2, an attempt to delete them was made</t>
  </si>
  <si>
    <t xml:space="preserve">There are multiple commits for Exercise 2.1 from each member, there should only be one commit per exercise, and one student should do a single section </t>
  </si>
  <si>
    <t xml:space="preserve">There are multiple commits for Exercise 3.3 from each member, there should only be one commit per exercise, and one student should do a single section </t>
  </si>
  <si>
    <t>Exercise 3.3 not implemented</t>
  </si>
  <si>
    <t>Response to Exercise 2.1 could be better</t>
  </si>
  <si>
    <t>Table name:</t>
  </si>
  <si>
    <t>Name</t>
  </si>
  <si>
    <t>Course Component</t>
  </si>
  <si>
    <t>Copy and paste this table - as values only! - for each course component.</t>
  </si>
  <si>
    <t>1st Submission Penalty</t>
  </si>
  <si>
    <t>2nd Submission Penalty</t>
  </si>
  <si>
    <t>3rd Submission Penalty</t>
  </si>
  <si>
    <t>Deadline Bonus/Penalty</t>
  </si>
  <si>
    <t>Discretionary Mark</t>
  </si>
  <si>
    <t>Mark capped due to contribution &lt; 35%</t>
  </si>
  <si>
    <t>Mark capped due to Unacceptable rating</t>
  </si>
  <si>
    <t>Mark from ratings</t>
  </si>
  <si>
    <t>Mark after capping</t>
  </si>
  <si>
    <t>Add discretionary/bonuses/penalties</t>
  </si>
  <si>
    <t>Student Name</t>
  </si>
  <si>
    <t>Available marks</t>
  </si>
  <si>
    <t>Q2-Q4 Total</t>
  </si>
  <si>
    <t>Deferred approved</t>
  </si>
  <si>
    <t>Absent</t>
  </si>
  <si>
    <t>Extra time</t>
  </si>
  <si>
    <t>Q8</t>
  </si>
  <si>
    <t>Q7</t>
  </si>
  <si>
    <t>Q6</t>
  </si>
  <si>
    <t>ExcessChoices</t>
  </si>
  <si>
    <t>LenientTotalMark</t>
  </si>
  <si>
    <t>TotalMark</t>
  </si>
  <si>
    <t>StudentNumber</t>
  </si>
  <si>
    <t>Corrected error on filled-in student number</t>
  </si>
  <si>
    <t>StudentNumberText</t>
  </si>
  <si>
    <t>Not on exam register</t>
  </si>
  <si>
    <t>MCQ</t>
  </si>
  <si>
    <t>Exam &lt; 35%</t>
  </si>
  <si>
    <t>Moderated: 34 -&gt;35</t>
  </si>
  <si>
    <t>FSB but pass</t>
  </si>
  <si>
    <t>Grade</t>
  </si>
  <si>
    <t>FSB but passing course mark</t>
  </si>
  <si>
    <t>FSB</t>
  </si>
  <si>
    <t>Mgano,Siphesihle Sihle</t>
  </si>
  <si>
    <t>Makgwale,Mahlogonolo</t>
  </si>
  <si>
    <t>Badat,Uwais Munier</t>
  </si>
  <si>
    <t>Nzama,Ziphokazizamagcugcwa</t>
  </si>
  <si>
    <t>Bepat,Kiyash Chevian</t>
  </si>
  <si>
    <t>Ndaba,Lungelo Previlage</t>
  </si>
  <si>
    <t>Mahlathi,Ntsikelelo</t>
  </si>
  <si>
    <t>Khoza,Abram</t>
  </si>
  <si>
    <t>Ndlambuzi,Mthandeki</t>
  </si>
  <si>
    <t>Moteane,Bonolo Thato</t>
  </si>
  <si>
    <t>FAL</t>
  </si>
  <si>
    <t>Lepako,Mahlatse</t>
  </si>
  <si>
    <t>Jiyane,Sibongiseni Lesley</t>
  </si>
  <si>
    <t>Feldman,Tyrique Jason</t>
  </si>
  <si>
    <t>Dlamini,Nolwazi Zanele</t>
  </si>
  <si>
    <t>Manqele,Anele Pretty</t>
  </si>
  <si>
    <t>Tshikombeni,Ompha</t>
  </si>
  <si>
    <t>Khuzwayo,Siyanda Shaun</t>
  </si>
  <si>
    <t>Khumalo,Dumisani John</t>
  </si>
  <si>
    <t>Modise,Thokozani Evan</t>
  </si>
  <si>
    <t>Zulase,Nathan</t>
  </si>
  <si>
    <t>Nomvela,Isabella Karabo</t>
  </si>
  <si>
    <t>Mphahlele,Tokelo</t>
  </si>
  <si>
    <t>Mthethwa,Dumisani</t>
  </si>
  <si>
    <t>Manone,Martha Boitumelo</t>
  </si>
  <si>
    <t>Solomao,Amelia</t>
  </si>
  <si>
    <t>Naidoo,Jaryd Ethan</t>
  </si>
  <si>
    <t>Magidi,Murendeni</t>
  </si>
  <si>
    <t>Legoabe,Tebogo Albert</t>
  </si>
  <si>
    <t>Fipaza,Olwethu</t>
  </si>
  <si>
    <t>Ntshingila,Lwazi Mfanufikile</t>
  </si>
  <si>
    <t>Muthaphuli,Phathutshedzo</t>
  </si>
  <si>
    <t>Radebe,Nonofo Thuto</t>
  </si>
  <si>
    <t>Mlaba,Zamaswazi</t>
  </si>
  <si>
    <t>Singh,Chad</t>
  </si>
  <si>
    <t>Petersen,Jozeal Bernard</t>
  </si>
  <si>
    <t>Maseko,Koketso</t>
  </si>
  <si>
    <t>Chauke,Erick Mbaki</t>
  </si>
  <si>
    <t>Baloyi,Tebogo Milliscent</t>
  </si>
  <si>
    <t>Sengoane,Koketso Jessica</t>
  </si>
  <si>
    <t>Ngoepe,Edgar Matlou</t>
  </si>
  <si>
    <t>Konyane,Kgothatso Comfort</t>
  </si>
  <si>
    <t>Nthoroane,Samuel Majoro</t>
  </si>
  <si>
    <t>Moloto,Revinah Maropeng</t>
  </si>
  <si>
    <t>Mohamed,Faadhil</t>
  </si>
  <si>
    <t>Manjra,Ishak</t>
  </si>
  <si>
    <t>Mabula,Mosa</t>
  </si>
  <si>
    <t>Valla,Karan Kamlesh</t>
  </si>
  <si>
    <t>Sithole,Bongane Michael</t>
  </si>
  <si>
    <t>Ngomane,Emarantia Eimerie</t>
  </si>
  <si>
    <t>Muller,David Sean</t>
  </si>
  <si>
    <t>Omar,Meezaan</t>
  </si>
  <si>
    <t>Mofokeng,Lefa</t>
  </si>
  <si>
    <t>Gcanga,Tsietsi</t>
  </si>
  <si>
    <t>Dladla,Fanelesibonge</t>
  </si>
  <si>
    <t>Zulu,Cebolenkosi Bongumenzi</t>
  </si>
  <si>
    <t>Tshibalo,Tondani</t>
  </si>
  <si>
    <t>Ralph,Matthew Kevin</t>
  </si>
  <si>
    <t>Ngutshane,Mandlenkosi Lawrance</t>
  </si>
  <si>
    <t>Mokgehle,Phuti Brink</t>
  </si>
  <si>
    <t>Kipruto,Bradley Kipchumba</t>
  </si>
  <si>
    <t>Sekhwama,Motchinya</t>
  </si>
  <si>
    <t>Mathebula,Vukosi</t>
  </si>
  <si>
    <t>Kemraj,Caitlin Reece</t>
  </si>
  <si>
    <t>Bekezulu,Tshegofatso Annah</t>
  </si>
  <si>
    <t>Kunene,Mbali</t>
  </si>
  <si>
    <t>Johari,Mannan</t>
  </si>
  <si>
    <t>Jamaloodien,Hamzah</t>
  </si>
  <si>
    <t>Shakir,Muhammad Hassaan</t>
  </si>
  <si>
    <t>Ngirazi,Rutendo Hildah</t>
  </si>
  <si>
    <t>Fisher,Clint Cole</t>
  </si>
  <si>
    <t>Morukhu,Matome Ernest</t>
  </si>
  <si>
    <t>Jali,Thabani Melusi</t>
  </si>
  <si>
    <t>Thamane,Neo</t>
  </si>
  <si>
    <t>Moustafa,Umar</t>
  </si>
  <si>
    <t>Gowan,Sudheer</t>
  </si>
  <si>
    <t>Chipkin,Eitan Gedalia</t>
  </si>
  <si>
    <t>Pule,Mabasata Confidence</t>
  </si>
  <si>
    <t>Masilela,Kabelo Ronald</t>
  </si>
  <si>
    <t>Krishanlall,Shekhar Prakesh</t>
  </si>
  <si>
    <t>Kouassi,Ogou John Marlon Rich</t>
  </si>
  <si>
    <t>PAS</t>
  </si>
  <si>
    <t>Mashinini,Thamsanqa Lucky</t>
  </si>
  <si>
    <t>Katz,Kira Hannah</t>
  </si>
  <si>
    <t>Harrar,Saudah</t>
  </si>
  <si>
    <t>Ellis,Reuben</t>
  </si>
  <si>
    <t>Bux,Muhammad Salman</t>
  </si>
  <si>
    <t>Bhaga,Veeral</t>
  </si>
  <si>
    <t>Anas,Syed Mohammad Khizar</t>
  </si>
  <si>
    <t>Moore,Michael Cameron</t>
  </si>
  <si>
    <t>Mbonani,Sfiso</t>
  </si>
  <si>
    <t>Elliott,Taine Joseph</t>
  </si>
  <si>
    <t>Areff,Nur'ain</t>
  </si>
  <si>
    <t>Finger,Shehwar Faisal</t>
  </si>
  <si>
    <t>Docrat,Hamzah</t>
  </si>
  <si>
    <t>Mantsha,Rotenda</t>
  </si>
  <si>
    <t>Rasesepa,Takalani John</t>
  </si>
  <si>
    <t>Moodie,Donato Alfonso</t>
  </si>
  <si>
    <t>Johannes,Zewuwel Phelo</t>
  </si>
  <si>
    <t>Cohen,Sam Aaron</t>
  </si>
  <si>
    <t>Hunter,Miguel Dominique</t>
  </si>
  <si>
    <t>Muradya,Anotidaishe Nicole</t>
  </si>
  <si>
    <t>Lorgat,Sameer</t>
  </si>
  <si>
    <t>Grayman,Natan Ron</t>
  </si>
  <si>
    <t>Antunes,Michael Alexandre</t>
  </si>
  <si>
    <t>Shapiro,Joshua Zelig</t>
  </si>
  <si>
    <t>Marantos,George Michael</t>
  </si>
  <si>
    <t>Katz,Jonathan Gabriel</t>
  </si>
  <si>
    <t>Hand,Brayden Leslie</t>
  </si>
  <si>
    <t>Daras,Maria Nicoletta</t>
  </si>
  <si>
    <t>Olivier,Liam James</t>
  </si>
  <si>
    <t>Akhalwaya,Ateka</t>
  </si>
  <si>
    <t>Taim,Daniel Olev</t>
  </si>
  <si>
    <t>Landgrebe,Michael Konrad Bernhard</t>
  </si>
  <si>
    <t>Radowsky,Asher Josef</t>
  </si>
  <si>
    <t>Mpano,Iverson Kevin</t>
  </si>
  <si>
    <t>Menon,Rohit</t>
  </si>
  <si>
    <t>Kala,Priyanka Jayant</t>
  </si>
  <si>
    <t>Bera,Oussama</t>
  </si>
  <si>
    <t>Joffe,Ellie Jamie</t>
  </si>
  <si>
    <t>Ginster,Philip Martin</t>
  </si>
  <si>
    <t>Dlamini,Njabulo Zwelihle</t>
  </si>
  <si>
    <t>Dworcan,Jess Samuel</t>
  </si>
  <si>
    <t>Hammond,Meg</t>
  </si>
  <si>
    <t>Goldblatt,Hannah Rose</t>
  </si>
  <si>
    <t>Ruthel,Joshua-Daniel</t>
  </si>
  <si>
    <t>Sender,Daron Reuven</t>
  </si>
  <si>
    <t>Rawlings,Christopher Robert</t>
  </si>
  <si>
    <t>Peretz,Liad</t>
  </si>
  <si>
    <t>Grahn,Bryce Calvin</t>
  </si>
  <si>
    <t>Kangisser,Gilad Chaim</t>
  </si>
  <si>
    <t>Rolle,Michael Ian</t>
  </si>
  <si>
    <t>Moolla,Ahmad Mahomed</t>
  </si>
  <si>
    <t>Tar-Mahomed,Mohammed Alli</t>
  </si>
  <si>
    <t>Wright,Ruth-Ann Irene</t>
  </si>
  <si>
    <t>DEF</t>
  </si>
  <si>
    <t>Zwane,Kwazinkosi Godknows</t>
  </si>
  <si>
    <t>Tshude,Ziyanda</t>
  </si>
  <si>
    <t>Sekamogeng,Letlhogonolo</t>
  </si>
  <si>
    <t>Seedat,Ismail Ahmed</t>
  </si>
  <si>
    <t>Rawuka,Alungile</t>
  </si>
  <si>
    <t>Ntsooa,Refilwe Lydia</t>
  </si>
  <si>
    <t>Ntshangase,Noluthando Charity</t>
  </si>
  <si>
    <t>Ncube,Joseph Thabo</t>
  </si>
  <si>
    <t>Mugawazi,Taziva Dean</t>
  </si>
  <si>
    <t>Msele,Mnelisi Magnificent</t>
  </si>
  <si>
    <t>Mpinga,Bonginkosi</t>
  </si>
  <si>
    <t>Mongalo,Neo Teboho</t>
  </si>
  <si>
    <t>Moloi,Maphale Amos</t>
  </si>
  <si>
    <t>Mngomezulu,Nhlakanipho Lindokuhle</t>
  </si>
  <si>
    <t>Mngomeni,Nompumelelo Lelo</t>
  </si>
  <si>
    <t>Mkhize,Zethembe Gamelihle</t>
  </si>
  <si>
    <t>Mkhize,Bhekanani Mfanafuthi</t>
  </si>
  <si>
    <t>Mamatlepa,Ignatious Mojalefa</t>
  </si>
  <si>
    <t>Luningo,Okuhle</t>
  </si>
  <si>
    <t>Krawe,Thulani</t>
  </si>
  <si>
    <t>Gurahoo,Jashna Jyoti</t>
  </si>
  <si>
    <t>Dlezi,Thuthukani</t>
  </si>
  <si>
    <t>Dibakoane,Tebogo</t>
  </si>
  <si>
    <t>Chiloane,Israel</t>
  </si>
  <si>
    <t>Bagapi,Gosego Bryson</t>
  </si>
  <si>
    <t>Abrahams,Shuraygh-suwayd</t>
  </si>
  <si>
    <t>FABS</t>
  </si>
  <si>
    <t>FAB</t>
  </si>
  <si>
    <t>Mlambo,Bongani Goodman</t>
  </si>
  <si>
    <t>Tom,Shaleen</t>
  </si>
  <si>
    <t>Thomson,Ethan McKie</t>
  </si>
  <si>
    <t>Sithole,Morihle Phillemon</t>
  </si>
  <si>
    <t>Ndhlovu,Michael</t>
  </si>
  <si>
    <t>Mosoeu,Mashudu</t>
  </si>
  <si>
    <t>Moagi,Thapelo Isaac</t>
  </si>
  <si>
    <t>Van Staden,Erin Jade</t>
  </si>
  <si>
    <t>EXAM</t>
  </si>
  <si>
    <t>PROJ</t>
  </si>
  <si>
    <t>ENGA</t>
  </si>
  <si>
    <t>TEST</t>
  </si>
  <si>
    <t>This table (not the copies) is based on positional formatting using Ulwazi Export and cannot be moved to a different position!</t>
  </si>
  <si>
    <t>Total students completing</t>
  </si>
  <si>
    <t>Final Results (unmoderated/no FSB)</t>
  </si>
  <si>
    <t>Final Results (moderated, with FSB)</t>
  </si>
  <si>
    <t>Final</t>
  </si>
  <si>
    <t>Deferred approved. Was marked present on exam register but no script and no MCQ card</t>
  </si>
  <si>
    <t>Had to exclude one misworded MCQ question.</t>
  </si>
  <si>
    <t>EXAM2</t>
  </si>
  <si>
    <t>2nd Year</t>
  </si>
  <si>
    <t>Cap Grade</t>
  </si>
  <si>
    <t>Cap Mark</t>
  </si>
  <si>
    <t>Mark Difference</t>
  </si>
  <si>
    <t>Grade Difference</t>
  </si>
  <si>
    <t>My Grade</t>
  </si>
  <si>
    <t>My Mark</t>
  </si>
  <si>
    <t>Failed</t>
  </si>
  <si>
    <t>First</t>
  </si>
  <si>
    <t>For conditional formatting, data validation, etc</t>
  </si>
  <si>
    <t>Test - Absent</t>
  </si>
  <si>
    <t>Has Test Mark</t>
  </si>
  <si>
    <t>Sup</t>
  </si>
  <si>
    <t>Exam/Def</t>
  </si>
  <si>
    <t>Exam/Def &lt; 35%</t>
  </si>
  <si>
    <t>Winners</t>
  </si>
  <si>
    <t>All</t>
  </si>
  <si>
    <t>Invalid</t>
  </si>
  <si>
    <t>Q2-Q5 Total</t>
  </si>
  <si>
    <t>Number of students</t>
  </si>
  <si>
    <t>ID_TEXT</t>
  </si>
  <si>
    <r>
      <t xml:space="preserve">Simply copy-paste supplementary and deferred results </t>
    </r>
    <r>
      <rPr>
        <i/>
        <sz val="11"/>
        <color theme="1"/>
        <rFont val="Calibri"/>
        <family val="2"/>
        <scheme val="minor"/>
      </rPr>
      <t xml:space="preserve">above </t>
    </r>
    <r>
      <rPr>
        <sz val="11"/>
        <color theme="1"/>
        <rFont val="Calibri"/>
        <family val="2"/>
        <scheme val="minor"/>
      </rPr>
      <t>the exam results - the first match is found</t>
    </r>
  </si>
  <si>
    <t>ELEN3009A - SOFTWARE DEVELOPMENT II</t>
  </si>
  <si>
    <t>Antunes,Michael</t>
  </si>
  <si>
    <t>Badat,Uwais</t>
  </si>
  <si>
    <t>Bagapi,Gosego</t>
  </si>
  <si>
    <t>Baloyi,Tebogo</t>
  </si>
  <si>
    <t>Bekezulu,Tshegofatso</t>
  </si>
  <si>
    <t>Bepat,Kiyash</t>
  </si>
  <si>
    <t>Bux,Muhammad</t>
  </si>
  <si>
    <t>Chauke,Erick</t>
  </si>
  <si>
    <t>Chipkin,Eitan</t>
  </si>
  <si>
    <t>Cohen,Sam</t>
  </si>
  <si>
    <t>Daras,Maria</t>
  </si>
  <si>
    <t>Dlamini,Njabulo</t>
  </si>
  <si>
    <t>Dlamini,Nolwazi</t>
  </si>
  <si>
    <t>Dollie,Eesaa</t>
  </si>
  <si>
    <t>Dworcan,Jess</t>
  </si>
  <si>
    <t>Elliott,Taine</t>
  </si>
  <si>
    <t>Feldman,Tyrique</t>
  </si>
  <si>
    <t>Finger,Shehwar</t>
  </si>
  <si>
    <t>Fisher,Clint</t>
  </si>
  <si>
    <t>Ginster,Philip</t>
  </si>
  <si>
    <t>Goldblatt,Hannah</t>
  </si>
  <si>
    <t>Grahn,Bryce</t>
  </si>
  <si>
    <t>Grayman,Natan</t>
  </si>
  <si>
    <t>Gurahoo,Jashna</t>
  </si>
  <si>
    <t>Hand,Brayden</t>
  </si>
  <si>
    <t>Hunter,Miguel</t>
  </si>
  <si>
    <t>Jali,Thabani</t>
  </si>
  <si>
    <t>Jiyane,Sibongiseni</t>
  </si>
  <si>
    <t>Joffe,Ellie</t>
  </si>
  <si>
    <t>Johannes,Zewuwel</t>
  </si>
  <si>
    <t>Kala,Priyanka</t>
  </si>
  <si>
    <t>Kangisser,Gilad</t>
  </si>
  <si>
    <t>Katz,Jonathan</t>
  </si>
  <si>
    <t>Katz,Kira</t>
  </si>
  <si>
    <t>Kemraj,Caitlin</t>
  </si>
  <si>
    <t>Khumalo,Dumisani</t>
  </si>
  <si>
    <t>Khuzwayo,Siyanda</t>
  </si>
  <si>
    <t>Kipruto,Bradley</t>
  </si>
  <si>
    <t>Komape,Lebogang</t>
  </si>
  <si>
    <t>Konyane,Kgothatso</t>
  </si>
  <si>
    <t>Krishanlall,Shekhar</t>
  </si>
  <si>
    <t>Landgrebe,Michael</t>
  </si>
  <si>
    <t>Legoabe,Tebogo</t>
  </si>
  <si>
    <t>Mamatlepa,Ignatious</t>
  </si>
  <si>
    <t>Manone,Martha</t>
  </si>
  <si>
    <t>Marantos,George</t>
  </si>
  <si>
    <t>Marareni,Sithembiso</t>
  </si>
  <si>
    <t>Mashinini,Thamsanqa</t>
  </si>
  <si>
    <t>Masilela,Kabelo</t>
  </si>
  <si>
    <t>Mgano,Siphesihle</t>
  </si>
  <si>
    <t>Mkhize,Bhekanani</t>
  </si>
  <si>
    <t>Mkhize,Zethembe</t>
  </si>
  <si>
    <t>Mlambo,Bongani</t>
  </si>
  <si>
    <t>Mngomeni,Nompumelelo</t>
  </si>
  <si>
    <t>Mngomezulu,Nhlakanipho</t>
  </si>
  <si>
    <t>Moagi,Thapelo</t>
  </si>
  <si>
    <t>Modise,Thokozani</t>
  </si>
  <si>
    <t>Mokgehle,Phuti</t>
  </si>
  <si>
    <t>Moloi,Maphale</t>
  </si>
  <si>
    <t>Moloto,Revinah</t>
  </si>
  <si>
    <t>Mongalo,Neo</t>
  </si>
  <si>
    <t>Moodie,Donato</t>
  </si>
  <si>
    <t>Moolla,Ahmad</t>
  </si>
  <si>
    <t>Moore,Michael</t>
  </si>
  <si>
    <t>Morukhu,Matome</t>
  </si>
  <si>
    <t>Moteane,Bonolo</t>
  </si>
  <si>
    <t>Mpano,Iverson</t>
  </si>
  <si>
    <t>Msele,Mnelisi</t>
  </si>
  <si>
    <t>Mtsweni,Nqobile</t>
  </si>
  <si>
    <t>Mugawazi,Taziva</t>
  </si>
  <si>
    <t>Muller,David</t>
  </si>
  <si>
    <t>Muradya,Anotidaishe</t>
  </si>
  <si>
    <t>Naidoo,Jaryd</t>
  </si>
  <si>
    <t>Ncube,Joseph</t>
  </si>
  <si>
    <t>Ndaba,Lungelo</t>
  </si>
  <si>
    <t>Ngirazi,Rutendo</t>
  </si>
  <si>
    <t>Ngoepe,Edgar</t>
  </si>
  <si>
    <t>Ngomane,Emarantia</t>
  </si>
  <si>
    <t>Ngutshane,Mandlenkosi</t>
  </si>
  <si>
    <t>Nomvela,Isabella</t>
  </si>
  <si>
    <t>Nthoroane,Samuel</t>
  </si>
  <si>
    <t>Ntshangase,Noluthando</t>
  </si>
  <si>
    <t>Ntshingila,Lwazi</t>
  </si>
  <si>
    <t>Ntsooa,Refilwe</t>
  </si>
  <si>
    <t>Olivier,Liam</t>
  </si>
  <si>
    <t>Petersen,Jozeal</t>
  </si>
  <si>
    <t>Pule,Mabasata</t>
  </si>
  <si>
    <t>Radebe,Nonofo</t>
  </si>
  <si>
    <t>Radowsky,Asher</t>
  </si>
  <si>
    <t>Ralph,Matthew</t>
  </si>
  <si>
    <t>Rasesepa,Takalani</t>
  </si>
  <si>
    <t>Rawlings,Christopher</t>
  </si>
  <si>
    <t>Rolle,Michael</t>
  </si>
  <si>
    <t>Seedat,Ismail</t>
  </si>
  <si>
    <t>Sender,Daron</t>
  </si>
  <si>
    <t>Sengoane,Koketso</t>
  </si>
  <si>
    <t>Shakir,Muhammad</t>
  </si>
  <si>
    <t>Shapiro,Joshua</t>
  </si>
  <si>
    <t>Sithole,Bongane</t>
  </si>
  <si>
    <t>Sithole,Morihle</t>
  </si>
  <si>
    <t>Taim,Daniel</t>
  </si>
  <si>
    <t>Tar-Mahomed,Mohammed</t>
  </si>
  <si>
    <t>Thomson,Ethan</t>
  </si>
  <si>
    <t>Tlaka,Makgale</t>
  </si>
  <si>
    <t>Valla,Karan</t>
  </si>
  <si>
    <t>Van Staden,Erin</t>
  </si>
  <si>
    <t>Wright,Ruth-Ann</t>
  </si>
  <si>
    <t>Zulu,Cebolenkosi</t>
  </si>
  <si>
    <t>Zwane,Kwazinkosi</t>
  </si>
  <si>
    <t>Lab_4</t>
  </si>
  <si>
    <t>Sup reviewed 🙁</t>
  </si>
  <si>
    <t>Exam reviewed 🙂</t>
  </si>
  <si>
    <t>Sup reviewed 🙂</t>
  </si>
  <si>
    <t>Exam reviewed 🙁</t>
  </si>
  <si>
    <t>Valid Grade Code</t>
  </si>
  <si>
    <t>Mod Exam/Def</t>
  </si>
  <si>
    <t>Final Pass Rate (including sup)</t>
  </si>
  <si>
    <t>Total (%) Valid</t>
  </si>
  <si>
    <t>Baker, Dylan</t>
  </si>
  <si>
    <t>Barron, Kyle</t>
  </si>
  <si>
    <t>Basserabie, Yishai</t>
  </si>
  <si>
    <t>Beosumbar, Yurav</t>
  </si>
  <si>
    <t>Boles, Isabelle</t>
  </si>
  <si>
    <t>Bouwer, Matthew</t>
  </si>
  <si>
    <t>Brenner, Max</t>
  </si>
  <si>
    <t>Britz, Andrew</t>
  </si>
  <si>
    <t>Butkow, Brent</t>
  </si>
  <si>
    <t>Chamda, Sulaimaan</t>
  </si>
  <si>
    <t>Chiliza, Thulebona</t>
  </si>
  <si>
    <t>Cohen, Samuel</t>
  </si>
  <si>
    <t>Dadabhay, Muaawiyah</t>
  </si>
  <si>
    <t>Dekeda, Lehlohonolo</t>
  </si>
  <si>
    <t>Dindar, Muhammad</t>
  </si>
  <si>
    <t>Fakude, Noluthando</t>
  </si>
  <si>
    <t>Gaborone, Lesego</t>
  </si>
  <si>
    <t>Hermanus, Liam</t>
  </si>
  <si>
    <t>Jandrell, Joshua</t>
  </si>
  <si>
    <t>Kaplan, Joseph</t>
  </si>
  <si>
    <t>Kgoleng, Kamogelo</t>
  </si>
  <si>
    <t>Khan, Mohammed</t>
  </si>
  <si>
    <t>Khan, Muhammed</t>
  </si>
  <si>
    <t>Khunwana, Mukovhe</t>
  </si>
  <si>
    <t>Kolia, Taahir</t>
  </si>
  <si>
    <t>Komape, Lebogang</t>
  </si>
  <si>
    <t>Kudia, Mohemad</t>
  </si>
  <si>
    <t>Levitt, Akiva</t>
  </si>
  <si>
    <t>Mansingh, Taoni</t>
  </si>
  <si>
    <t>Marakalala, Mmatlou</t>
  </si>
  <si>
    <t>Masemola, Kgadile</t>
  </si>
  <si>
    <t>Mashishi, Kgolagano</t>
  </si>
  <si>
    <t>Mathonsi, Thandokuhle</t>
  </si>
  <si>
    <t>Mia, Irfaan</t>
  </si>
  <si>
    <t>Mkhabela, Mandla</t>
  </si>
  <si>
    <t>Mnguni, Mduduzi</t>
  </si>
  <si>
    <t>Mokoena, Cebolenkosi</t>
  </si>
  <si>
    <t>Mokwele, Tshepo</t>
  </si>
  <si>
    <t>Molekwa, Keorapetsoe</t>
  </si>
  <si>
    <t>Motsatse, Lehlohonolo</t>
  </si>
  <si>
    <t>Msibi, Thabani</t>
  </si>
  <si>
    <t>Mukwayi, Moris Scofield</t>
  </si>
  <si>
    <t>Ndlovu, Emmanuel</t>
  </si>
  <si>
    <t>Ndlovu, Sizakele</t>
  </si>
  <si>
    <t>Ngwenya, Bongani</t>
  </si>
  <si>
    <t>Ntibane, Noncedo</t>
  </si>
  <si>
    <t>Nundlall, Rahul</t>
  </si>
  <si>
    <t>Nxumalo, Siphelele</t>
  </si>
  <si>
    <t>Nyanyabedi, Matshidiso</t>
  </si>
  <si>
    <t>Paslovsky, Eliyah</t>
  </si>
  <si>
    <t>Pearse, Christopher</t>
  </si>
  <si>
    <t>Phezisa, Mdumiseni</t>
  </si>
  <si>
    <t>Quthu, Nande</t>
  </si>
  <si>
    <t>Rabinowitz, Aidan</t>
  </si>
  <si>
    <t>Radebe, Sphamandla</t>
  </si>
  <si>
    <t>Ramphabana, Wilson</t>
  </si>
  <si>
    <t>Ramphal, Yasteel</t>
  </si>
  <si>
    <t>Rapulana, Tshireletso</t>
  </si>
  <si>
    <t>Reddy, Shen</t>
  </si>
  <si>
    <t>Sacks, Jacob</t>
  </si>
  <si>
    <t>Schwark, Joshua</t>
  </si>
  <si>
    <t>Sekeleni, Sanele</t>
  </si>
  <si>
    <t>Seopa, Ledile</t>
  </si>
  <si>
    <t>Sharif, Mohammed</t>
  </si>
  <si>
    <t>Shitholani, Koxometani</t>
  </si>
  <si>
    <t>Singh, Pragna</t>
  </si>
  <si>
    <t>Stubbs, Matthew</t>
  </si>
  <si>
    <t>Thabethe, Luthando</t>
  </si>
  <si>
    <t>Torlage, Rudolph</t>
  </si>
  <si>
    <t>Tshivhase, Gundo Ebenezer</t>
  </si>
  <si>
    <t>Viljoen, Caelyn</t>
  </si>
  <si>
    <t>Zulu, Siphokuhle</t>
  </si>
  <si>
    <t>2093671</t>
  </si>
  <si>
    <t>2302849</t>
  </si>
  <si>
    <t>2386419</t>
  </si>
  <si>
    <t>2345739</t>
  </si>
  <si>
    <t>2329942</t>
  </si>
  <si>
    <t>2350428</t>
  </si>
  <si>
    <t>2108438</t>
  </si>
  <si>
    <t>2305109</t>
  </si>
  <si>
    <t>2438311</t>
  </si>
  <si>
    <t>2425037</t>
  </si>
  <si>
    <t>2465966</t>
  </si>
  <si>
    <t>2341191</t>
  </si>
  <si>
    <t>2426234</t>
  </si>
  <si>
    <t>2200193</t>
  </si>
  <si>
    <t>2453739</t>
  </si>
  <si>
    <t>2305486</t>
  </si>
  <si>
    <t>1838298</t>
  </si>
  <si>
    <t>2144391</t>
  </si>
  <si>
    <t>2333213</t>
  </si>
  <si>
    <t>2216639</t>
  </si>
  <si>
    <t>2454639</t>
  </si>
  <si>
    <t>2358219</t>
  </si>
  <si>
    <t>1840227</t>
  </si>
  <si>
    <t>2351553</t>
  </si>
  <si>
    <t>2423748</t>
  </si>
  <si>
    <t>2110974</t>
  </si>
  <si>
    <t>2130578</t>
  </si>
  <si>
    <t>2349884</t>
  </si>
  <si>
    <t>2508990</t>
  </si>
  <si>
    <t>876729</t>
  </si>
  <si>
    <t>1870154</t>
  </si>
  <si>
    <t>2453668</t>
  </si>
  <si>
    <t>2434204</t>
  </si>
  <si>
    <t>2445833</t>
  </si>
  <si>
    <t>2304537</t>
  </si>
  <si>
    <t>2509481</t>
  </si>
  <si>
    <t>1928298</t>
  </si>
  <si>
    <t>2345054</t>
  </si>
  <si>
    <t>2331843</t>
  </si>
  <si>
    <t>1916796</t>
  </si>
  <si>
    <t>1965568</t>
  </si>
  <si>
    <t>1965164</t>
  </si>
  <si>
    <t>2338953</t>
  </si>
  <si>
    <t>1851961</t>
  </si>
  <si>
    <t>1924688</t>
  </si>
  <si>
    <t>2428146</t>
  </si>
  <si>
    <t>2089349</t>
  </si>
  <si>
    <t>2350157</t>
  </si>
  <si>
    <t>2488026</t>
  </si>
  <si>
    <t>2437986</t>
  </si>
  <si>
    <t>1889597</t>
  </si>
  <si>
    <t>1853700</t>
  </si>
  <si>
    <t>2341197</t>
  </si>
  <si>
    <t>2329633</t>
  </si>
  <si>
    <t>2496405</t>
  </si>
  <si>
    <t>2108498</t>
  </si>
  <si>
    <t>2094616</t>
  </si>
  <si>
    <t>2102687</t>
  </si>
  <si>
    <t>2342154</t>
  </si>
  <si>
    <t>2118091</t>
  </si>
  <si>
    <t>2253526</t>
  </si>
  <si>
    <t>2091153</t>
  </si>
  <si>
    <t>2467335</t>
  </si>
  <si>
    <t>2306937</t>
  </si>
  <si>
    <t>2138875</t>
  </si>
  <si>
    <t>2107627</t>
  </si>
  <si>
    <t>2443532</t>
  </si>
  <si>
    <t>1104383</t>
  </si>
  <si>
    <t>2330400</t>
  </si>
  <si>
    <t>2302770</t>
  </si>
  <si>
    <t>2107596</t>
  </si>
  <si>
    <t>Software Development II-2022-GEN</t>
  </si>
  <si>
    <t>1845217@students.wits.ac.za</t>
  </si>
  <si>
    <t>2377042@students.wits.ac.za</t>
  </si>
  <si>
    <t>2136605@students.wits.ac.za</t>
  </si>
  <si>
    <t>2304150@students.wits.ac.za</t>
  </si>
  <si>
    <t>1849732@students.wits.ac.za</t>
  </si>
  <si>
    <t>2303789@students.wits.ac.za</t>
  </si>
  <si>
    <t>2094752@students.wits.ac.za</t>
  </si>
  <si>
    <t>2130436@students.wits.ac.za</t>
  </si>
  <si>
    <t>1701547@students.wits.ac.za</t>
  </si>
  <si>
    <t>2306815@students.wits.ac.za</t>
  </si>
  <si>
    <t>2168179@students.wits.ac.za</t>
  </si>
  <si>
    <t>2118894@students.wits.ac.za</t>
  </si>
  <si>
    <t>2199951@students.wits.ac.za</t>
  </si>
  <si>
    <t>1610736@students.wits.ac.za</t>
  </si>
  <si>
    <t>2090845@students.wits.ac.za</t>
  </si>
  <si>
    <t>1660819@students.wits.ac.za</t>
  </si>
  <si>
    <t>2366542@students.wits.ac.za</t>
  </si>
  <si>
    <t>1924564@students.wits.ac.za</t>
  </si>
  <si>
    <t>2129200@students.wits.ac.za</t>
  </si>
  <si>
    <t>2173105@students.wits.ac.za</t>
  </si>
  <si>
    <t>1830380@students.wits.ac.za</t>
  </si>
  <si>
    <t>1877695@students.wits.ac.za</t>
  </si>
  <si>
    <t>2335476@students.wits.ac.za</t>
  </si>
  <si>
    <t>2095374@students.wits.ac.za</t>
  </si>
  <si>
    <t>2138347@students.wits.ac.za</t>
  </si>
  <si>
    <t>2344104@students.wits.ac.za</t>
  </si>
  <si>
    <t>1876127@students.wits.ac.za</t>
  </si>
  <si>
    <t>2194051@students.wits.ac.za</t>
  </si>
  <si>
    <t>2355933@students.wits.ac.za</t>
  </si>
  <si>
    <t>2143227@students.wits.ac.za</t>
  </si>
  <si>
    <t>1876297@students.wits.ac.za</t>
  </si>
  <si>
    <t>2330797@students.wits.ac.za</t>
  </si>
  <si>
    <t>2094978@students.wits.ac.za</t>
  </si>
  <si>
    <t>1832991@students.wits.ac.za</t>
  </si>
  <si>
    <t>1146648@students.wits.ac.za</t>
  </si>
  <si>
    <t>2367017@students.wits.ac.za</t>
  </si>
  <si>
    <t>2209317@students.wits.ac.za</t>
  </si>
  <si>
    <t>2351913@students.wits.ac.za</t>
  </si>
  <si>
    <t>2105080@students.wits.ac.za</t>
  </si>
  <si>
    <t>2095396@students.wits.ac.za</t>
  </si>
  <si>
    <t>2172968@students.wits.ac.za</t>
  </si>
  <si>
    <t>2341547@students.wits.ac.za</t>
  </si>
  <si>
    <t>704140@students.wits.ac.za</t>
  </si>
  <si>
    <t>1827340@students.wits.ac.za</t>
  </si>
  <si>
    <t>2306202@students.wits.ac.za</t>
  </si>
  <si>
    <t>1864128@students.wits.ac.za</t>
  </si>
  <si>
    <t>2165920@students.wits.ac.za</t>
  </si>
  <si>
    <t>2088691@students.wits.ac.za</t>
  </si>
  <si>
    <t>2136569@students.wits.ac.za</t>
  </si>
  <si>
    <t>2305164@students.wits.ac.za</t>
  </si>
  <si>
    <t>2116287@students.wits.ac.za</t>
  </si>
  <si>
    <t>2107610@students.wits.ac.za</t>
  </si>
  <si>
    <t>2367318@students.wits.ac.za</t>
  </si>
  <si>
    <t>2352044@students.wits.ac.za</t>
  </si>
  <si>
    <t>2089948@students.wits.ac.za</t>
  </si>
  <si>
    <t>2313178@students.wits.ac.za</t>
  </si>
  <si>
    <t>2142882@students.wits.ac.za</t>
  </si>
  <si>
    <t>1854920@students.wits.ac.za</t>
  </si>
  <si>
    <t>2345339@students.wits.ac.za</t>
  </si>
  <si>
    <t>1284667@students.wits.ac.za</t>
  </si>
  <si>
    <t>2129606@students.wits.ac.za</t>
  </si>
  <si>
    <t>2347976@students.wits.ac.za</t>
  </si>
  <si>
    <t>2172598@students.wits.ac.za</t>
  </si>
  <si>
    <t>2089978@students.wits.ac.za</t>
  </si>
  <si>
    <t>2327728@students.wits.ac.za</t>
  </si>
  <si>
    <t>2118213@students.wits.ac.za</t>
  </si>
  <si>
    <t>2320484@students.wits.ac.za</t>
  </si>
  <si>
    <t>2347343@students.wits.ac.za</t>
  </si>
  <si>
    <t>1815772@students.wits.ac.za</t>
  </si>
  <si>
    <t>1851387@students.wits.ac.za</t>
  </si>
  <si>
    <t>2388404@students.wits.ac.za</t>
  </si>
  <si>
    <t>2416886@students.wits.ac.za</t>
  </si>
  <si>
    <t>1767237@students.wits.ac.za</t>
  </si>
  <si>
    <t>2126340@students.wits.ac.za</t>
  </si>
  <si>
    <t>1848116@students.wits.ac.za</t>
  </si>
  <si>
    <t>1287323@students.wits.ac.za</t>
  </si>
  <si>
    <t>1445411@students.wits.ac.za</t>
  </si>
  <si>
    <t>2347919@students.wits.ac.za</t>
  </si>
  <si>
    <t>2373287@students.wits.ac.za</t>
  </si>
  <si>
    <t>482412@students.wits.ac.za</t>
  </si>
  <si>
    <t>2366643@students.wits.ac.za</t>
  </si>
  <si>
    <t>2327104@students.wits.ac.za</t>
  </si>
  <si>
    <t>2179595@students.wits.ac.za</t>
  </si>
  <si>
    <t>1730123@students.wits.ac.za</t>
  </si>
  <si>
    <t>2304928@students.wits.ac.za</t>
  </si>
  <si>
    <t>2366020@students.wits.ac.za</t>
  </si>
  <si>
    <t>0200223N@students.wits.ac.za</t>
  </si>
  <si>
    <t>2332451@students.wits.ac.za</t>
  </si>
  <si>
    <t>2010805@students.wits.ac.za</t>
  </si>
  <si>
    <t>1860900@students.wits.ac.za</t>
  </si>
  <si>
    <t>2308227@students.wits.ac.za</t>
  </si>
  <si>
    <t>2155841@students.wits.ac.za</t>
  </si>
  <si>
    <t>2305656@students.wits.ac.za</t>
  </si>
  <si>
    <t>2328822@students.wits.ac.za</t>
  </si>
  <si>
    <t>2103308@students.wits.ac.za</t>
  </si>
  <si>
    <t>2186479@students.wits.ac.za</t>
  </si>
  <si>
    <t>2340555@students.wits.ac.za</t>
  </si>
  <si>
    <t>1823614@students.wits.ac.za</t>
  </si>
  <si>
    <t>2353833@students.wits.ac.za</t>
  </si>
  <si>
    <t>2113490@students.wits.ac.za</t>
  </si>
  <si>
    <t>2351852@students.wits.ac.za</t>
  </si>
  <si>
    <t>2141604@students.wits.ac.za</t>
  </si>
  <si>
    <t>2373926@students.wits.ac.za</t>
  </si>
  <si>
    <t>1437039@students.wits.ac.za</t>
  </si>
  <si>
    <t>?</t>
  </si>
  <si>
    <t>Paste students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</si>
</sst>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
    <numFmt numFmtId="166" formatCode="\'#"/>
  </numFmts>
  <fonts count="6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B050"/>
      <name val="Calibri"/>
      <family val="2"/>
      <scheme val="minor"/>
    </font>
    <font>
      <b/>
      <sz val="11"/>
      <color rgb="FFFF0000"/>
      <name val="Calibri"/>
      <family val="2"/>
      <scheme val="minor"/>
    </font>
    <font>
      <b/>
      <sz val="16"/>
      <color theme="1"/>
      <name val="Calibri"/>
      <family val="2"/>
      <scheme val="minor"/>
    </font>
    <font>
      <sz val="10"/>
      <color rgb="FF000000"/>
      <name val="Calibri"/>
      <family val="2"/>
      <scheme val="minor"/>
    </font>
    <font>
      <b/>
      <sz val="11"/>
      <color theme="4" tint="-0.249977111117893"/>
      <name val="Calibri"/>
      <family val="2"/>
      <scheme val="minor"/>
    </font>
    <font>
      <sz val="11"/>
      <color theme="4" tint="-0.249977111117893"/>
      <name val="Calibri"/>
      <family val="2"/>
      <scheme val="minor"/>
    </font>
    <font>
      <b/>
      <sz val="24"/>
      <color theme="3"/>
      <name val="Calibri"/>
      <family val="2"/>
      <scheme val="minor"/>
    </font>
    <font>
      <sz val="24"/>
      <color theme="3"/>
      <name val="Calibri"/>
      <family val="2"/>
      <scheme val="minor"/>
    </font>
    <font>
      <b/>
      <sz val="24"/>
      <color theme="1" tint="0.34998626667073579"/>
      <name val="Calibri"/>
      <family val="2"/>
      <scheme val="minor"/>
    </font>
    <font>
      <sz val="11"/>
      <color theme="1"/>
      <name val="Calibri"/>
      <family val="2"/>
      <scheme val="minor"/>
    </font>
    <font>
      <sz val="24"/>
      <color rgb="FF2E75B5"/>
      <name val="Calibri"/>
      <family val="2"/>
    </font>
    <font>
      <sz val="11"/>
      <color theme="1"/>
      <name val="Calibri"/>
      <family val="2"/>
    </font>
    <font>
      <b/>
      <sz val="11"/>
      <color theme="0"/>
      <name val="Calibri"/>
      <family val="2"/>
    </font>
    <font>
      <sz val="11"/>
      <color theme="0"/>
      <name val="Calibri"/>
      <family val="2"/>
    </font>
    <font>
      <b/>
      <sz val="12"/>
      <color theme="1"/>
      <name val="Calibri"/>
      <family val="2"/>
    </font>
    <font>
      <sz val="11"/>
      <color rgb="FF2E75B5"/>
      <name val="Calibri"/>
      <family val="2"/>
    </font>
    <font>
      <sz val="10"/>
      <color rgb="FF000000"/>
      <name val="Arial"/>
      <family val="2"/>
    </font>
    <font>
      <b/>
      <i/>
      <sz val="10"/>
      <color rgb="FF000000"/>
      <name val="Arial"/>
      <family val="2"/>
    </font>
    <font>
      <b/>
      <sz val="11"/>
      <color theme="1"/>
      <name val="Calibri"/>
      <family val="2"/>
    </font>
    <font>
      <sz val="11"/>
      <color rgb="FF2E75B5"/>
      <name val="Docs-Calibri"/>
    </font>
    <font>
      <sz val="11"/>
      <color rgb="FF000000"/>
      <name val="Docs-Calibri"/>
    </font>
    <font>
      <sz val="11"/>
      <color theme="1"/>
      <name val="Calibri"/>
      <family val="2"/>
      <scheme val="minor"/>
    </font>
    <font>
      <sz val="24"/>
      <color rgb="FF2E75B5"/>
      <name val="Calibri"/>
      <family val="2"/>
    </font>
    <font>
      <sz val="11"/>
      <color theme="1"/>
      <name val="Calibri"/>
      <family val="2"/>
    </font>
    <font>
      <b/>
      <sz val="11"/>
      <color theme="0"/>
      <name val="Calibri"/>
      <family val="2"/>
    </font>
    <font>
      <sz val="11"/>
      <color theme="0"/>
      <name val="Calibri"/>
      <family val="2"/>
    </font>
    <font>
      <b/>
      <sz val="12"/>
      <color theme="1"/>
      <name val="Calibri"/>
      <family val="2"/>
    </font>
    <font>
      <sz val="11"/>
      <color rgb="FF2E75B5"/>
      <name val="Calibri"/>
      <family val="2"/>
    </font>
    <font>
      <sz val="10"/>
      <color rgb="FF000000"/>
      <name val="Arial"/>
      <family val="2"/>
    </font>
    <font>
      <b/>
      <sz val="11"/>
      <color theme="1"/>
      <name val="Calibri"/>
      <family val="2"/>
    </font>
    <font>
      <sz val="11"/>
      <color rgb="FF000000"/>
      <name val="Calibri"/>
      <family val="2"/>
    </font>
    <font>
      <b/>
      <sz val="24"/>
      <color theme="6" tint="-0.249977111117893"/>
      <name val="Calibri"/>
      <family val="2"/>
      <scheme val="minor"/>
    </font>
    <font>
      <b/>
      <sz val="11"/>
      <name val="Calibri"/>
      <family val="2"/>
      <scheme val="minor"/>
    </font>
    <font>
      <strike/>
      <sz val="11"/>
      <color theme="1"/>
      <name val="Calibri"/>
      <family val="2"/>
      <scheme val="minor"/>
    </font>
    <font>
      <sz val="10"/>
      <color theme="1"/>
      <name val="Calibri"/>
      <family val="2"/>
      <scheme val="minor"/>
    </font>
    <font>
      <b/>
      <sz val="10"/>
      <color theme="1"/>
      <name val="Calibri"/>
      <family val="2"/>
      <scheme val="minor"/>
    </font>
    <font>
      <b/>
      <sz val="10"/>
      <color theme="4" tint="-0.249977111117893"/>
      <name val="Calibri"/>
      <family val="2"/>
      <scheme val="minor"/>
    </font>
    <font>
      <b/>
      <sz val="10"/>
      <color theme="0"/>
      <name val="Calibri"/>
      <family val="2"/>
      <scheme val="minor"/>
    </font>
    <font>
      <sz val="10"/>
      <color theme="4" tint="-0.249977111117893"/>
      <name val="Calibri"/>
      <family val="2"/>
      <scheme val="minor"/>
    </font>
    <font>
      <b/>
      <i/>
      <sz val="10"/>
      <color theme="1"/>
      <name val="Calibri"/>
      <family val="2"/>
      <scheme val="minor"/>
    </font>
    <font>
      <sz val="10"/>
      <color theme="3"/>
      <name val="Calibri"/>
      <family val="2"/>
      <scheme val="minor"/>
    </font>
    <font>
      <b/>
      <sz val="10"/>
      <color rgb="FFFF0000"/>
      <name val="Calibri"/>
      <family val="2"/>
      <scheme val="minor"/>
    </font>
    <font>
      <b/>
      <sz val="10"/>
      <color rgb="FF00B050"/>
      <name val="Calibri"/>
      <family val="2"/>
      <scheme val="minor"/>
    </font>
    <font>
      <sz val="18"/>
      <color theme="3"/>
      <name val="Cambria"/>
      <family val="2"/>
      <scheme val="major"/>
    </font>
    <font>
      <i/>
      <sz val="11"/>
      <color theme="1"/>
      <name val="Calibri"/>
      <family val="2"/>
      <scheme val="minor"/>
    </font>
    <font>
      <sz val="10"/>
      <color rgb="FF99FFFF"/>
      <name val="Consolas"/>
      <family val="3"/>
    </font>
    <font>
      <sz val="11"/>
      <color theme="4" tint="-0.249977111117893"/>
      <name val="Calibri"/>
      <scheme val="minor"/>
    </font>
    <font>
      <b/>
      <sz val="11"/>
      <color theme="4" tint="-0.249977111117893"/>
      <name val="Calibri"/>
      <scheme val="minor"/>
    </font>
    <font>
      <sz val="10"/>
      <color theme="4" tint="-0.249977111117893"/>
      <name val="Calibri"/>
      <scheme val="minor"/>
    </font>
    <font>
      <sz val="9"/>
      <color indexed="81"/>
      <name val="Tahoma"/>
      <family val="2"/>
    </font>
    <font>
      <b/>
      <sz val="9"/>
      <color indexed="81"/>
      <name val="Tahoma"/>
      <family val="2"/>
    </font>
  </fonts>
  <fills count="5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4506668294322"/>
        <bgColor indexed="64"/>
      </patternFill>
    </fill>
    <fill>
      <patternFill patternType="solid">
        <fgColor theme="2" tint="-9.9948118533890809E-2"/>
        <bgColor theme="4" tint="0.79992065187536243"/>
      </patternFill>
    </fill>
    <fill>
      <patternFill patternType="solid">
        <fgColor theme="0" tint="-0.499984740745262"/>
        <bgColor indexed="64"/>
      </patternFill>
    </fill>
    <fill>
      <patternFill patternType="solid">
        <fgColor theme="4"/>
        <bgColor theme="4"/>
      </patternFill>
    </fill>
    <fill>
      <patternFill patternType="solid">
        <fgColor rgb="FFDEEAF6"/>
        <bgColor rgb="FFDEEAF6"/>
      </patternFill>
    </fill>
    <fill>
      <patternFill patternType="solid">
        <fgColor rgb="FFFBE4D5"/>
        <bgColor rgb="FFFBE4D5"/>
      </patternFill>
    </fill>
    <fill>
      <patternFill patternType="solid">
        <fgColor rgb="FFFFFFFF"/>
        <bgColor rgb="FFFFFFFF"/>
      </patternFill>
    </fill>
    <fill>
      <patternFill patternType="solid">
        <fgColor rgb="FFE8F0FE"/>
        <bgColor rgb="FFE8F0FE"/>
      </patternFill>
    </fill>
    <fill>
      <patternFill patternType="solid">
        <fgColor theme="8"/>
        <bgColor theme="8"/>
      </patternFill>
    </fill>
    <fill>
      <patternFill patternType="solid">
        <fgColor rgb="FFFFFF99"/>
        <bgColor indexed="64"/>
      </patternFill>
    </fill>
    <fill>
      <patternFill patternType="solid">
        <fgColor rgb="FF2E75B5"/>
        <bgColor rgb="FF2E75B5"/>
      </patternFill>
    </fill>
    <fill>
      <patternFill patternType="solid">
        <fgColor theme="0"/>
        <bgColor theme="0"/>
      </patternFill>
    </fill>
    <fill>
      <patternFill patternType="solid">
        <fgColor theme="6" tint="0.79998168889431442"/>
        <bgColor theme="6" tint="0.79998168889431442"/>
      </patternFill>
    </fill>
    <fill>
      <patternFill patternType="solid">
        <fgColor theme="6" tint="-0.249977111117893"/>
        <bgColor indexed="64"/>
      </patternFill>
    </fill>
    <fill>
      <patternFill patternType="solid">
        <fgColor theme="0"/>
        <bgColor indexed="64"/>
      </patternFill>
    </fill>
    <fill>
      <patternFill patternType="solid">
        <fgColor rgb="FFFFFF00"/>
        <bgColor indexed="64"/>
      </patternFill>
    </fill>
    <fill>
      <patternFill patternType="solid">
        <fgColor theme="5" tint="0.79998168889431442"/>
        <bgColor theme="4" tint="0.79989013336588644"/>
      </patternFill>
    </fill>
    <fill>
      <patternFill patternType="solid">
        <fgColor rgb="FFFF0000"/>
        <bgColor indexed="64"/>
      </patternFill>
    </fill>
    <fill>
      <patternFill patternType="solid">
        <fgColor theme="6" tint="0.39997558519241921"/>
        <bgColor indexed="64"/>
      </patternFill>
    </fill>
    <fill>
      <patternFill patternType="solid">
        <fgColor rgb="FFFFFFCC"/>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op>
      <bottom style="thin">
        <color theme="4"/>
      </bottom>
      <diagonal/>
    </border>
    <border>
      <left/>
      <right/>
      <top style="thin">
        <color theme="4"/>
      </top>
      <bottom/>
      <diagonal/>
    </border>
    <border>
      <left style="thin">
        <color rgb="FFFF0000"/>
      </left>
      <right style="thin">
        <color rgb="FFFF0000"/>
      </right>
      <top style="thin">
        <color rgb="FFFF0000"/>
      </top>
      <bottom style="thin">
        <color rgb="FFFF0000"/>
      </bottom>
      <diagonal/>
    </border>
    <border>
      <left style="thin">
        <color theme="0"/>
      </left>
      <right style="thin">
        <color theme="0"/>
      </right>
      <top style="thin">
        <color theme="0"/>
      </top>
      <bottom/>
      <diagonal/>
    </border>
    <border>
      <left/>
      <right/>
      <top/>
      <bottom style="thin">
        <color theme="4"/>
      </bottom>
      <diagonal/>
    </border>
    <border>
      <left/>
      <right/>
      <top/>
      <bottom style="thin">
        <color rgb="FF000000"/>
      </bottom>
      <diagonal/>
    </border>
    <border>
      <left style="thin">
        <color theme="6"/>
      </left>
      <right style="thin">
        <color theme="6"/>
      </right>
      <top/>
      <bottom style="thin">
        <color theme="6"/>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theme="3" tint="0.39988402966399123"/>
      </left>
      <right style="thin">
        <color theme="3" tint="0.39988402966399123"/>
      </right>
      <top style="thin">
        <color theme="3" tint="0.39988402966399123"/>
      </top>
      <bottom style="thin">
        <color theme="3" tint="0.39988402966399123"/>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xf numFmtId="0" fontId="27" fillId="0" borderId="0"/>
    <xf numFmtId="0" fontId="39" fillId="0" borderId="0"/>
    <xf numFmtId="0" fontId="46" fillId="0" borderId="0"/>
    <xf numFmtId="0" fontId="61" fillId="0" borderId="0" applyNumberFormat="0" applyFill="0" applyBorder="0" applyAlignment="0" applyProtection="0"/>
  </cellStyleXfs>
  <cellXfs count="259">
    <xf numFmtId="0" fontId="0" fillId="0" borderId="0" xfId="0"/>
    <xf numFmtId="0" fontId="16" fillId="0" borderId="0" xfId="0" applyFont="1"/>
    <xf numFmtId="0" fontId="0" fillId="0" borderId="0" xfId="0" applyAlignment="1">
      <alignment horizontal="center"/>
    </xf>
    <xf numFmtId="0" fontId="0" fillId="0" borderId="0" xfId="0" applyAlignment="1">
      <alignment horizontal="left"/>
    </xf>
    <xf numFmtId="1" fontId="0" fillId="0" borderId="0" xfId="0" applyNumberFormat="1" applyAlignment="1">
      <alignment horizontal="center"/>
    </xf>
    <xf numFmtId="0" fontId="16" fillId="0" borderId="0" xfId="0" applyFont="1" applyAlignment="1">
      <alignment horizontal="left"/>
    </xf>
    <xf numFmtId="0" fontId="0" fillId="0" borderId="0" xfId="0" applyBorder="1" applyAlignment="1">
      <alignment horizontal="center"/>
    </xf>
    <xf numFmtId="0" fontId="0" fillId="0" borderId="0" xfId="0" applyBorder="1"/>
    <xf numFmtId="164" fontId="0" fillId="0" borderId="0" xfId="0" applyNumberFormat="1" applyBorder="1" applyAlignment="1">
      <alignment horizontal="center"/>
    </xf>
    <xf numFmtId="0" fontId="20" fillId="0" borderId="0" xfId="0" applyFont="1"/>
    <xf numFmtId="0" fontId="16" fillId="0" borderId="0" xfId="0" applyFont="1" applyAlignment="1">
      <alignment horizontal="center" vertical="center"/>
    </xf>
    <xf numFmtId="1" fontId="0" fillId="0" borderId="0" xfId="0" applyNumberFormat="1" applyBorder="1" applyAlignment="1">
      <alignment horizontal="center"/>
    </xf>
    <xf numFmtId="1" fontId="19" fillId="0" borderId="0" xfId="0" applyNumberFormat="1" applyFont="1" applyAlignment="1">
      <alignment horizontal="center"/>
    </xf>
    <xf numFmtId="1" fontId="18" fillId="0" borderId="0" xfId="0" applyNumberFormat="1" applyFont="1" applyAlignment="1">
      <alignment horizontal="center"/>
    </xf>
    <xf numFmtId="0" fontId="0" fillId="0" borderId="0" xfId="0" applyNumberFormat="1" applyFill="1" applyAlignment="1">
      <alignment horizontal="left"/>
    </xf>
    <xf numFmtId="2" fontId="0" fillId="0" borderId="0" xfId="0" applyNumberFormat="1" applyAlignment="1">
      <alignment horizontal="center"/>
    </xf>
    <xf numFmtId="1" fontId="23" fillId="0" borderId="0" xfId="0" applyNumberFormat="1" applyFont="1" applyFill="1" applyBorder="1" applyAlignment="1">
      <alignment horizontal="center"/>
    </xf>
    <xf numFmtId="0" fontId="23" fillId="0" borderId="0" xfId="0" applyNumberFormat="1" applyFont="1" applyFill="1" applyAlignment="1">
      <alignment horizontal="left"/>
    </xf>
    <xf numFmtId="1" fontId="23" fillId="0" borderId="0" xfId="0" applyNumberFormat="1" applyFont="1" applyFill="1" applyAlignment="1">
      <alignment horizontal="center"/>
    </xf>
    <xf numFmtId="0" fontId="22" fillId="0" borderId="0" xfId="0" applyFont="1" applyBorder="1" applyAlignment="1">
      <alignment horizontal="center" vertical="center"/>
    </xf>
    <xf numFmtId="0" fontId="24" fillId="0" borderId="0" xfId="2" applyFont="1" applyBorder="1"/>
    <xf numFmtId="49" fontId="23" fillId="0" borderId="0" xfId="0" applyNumberFormat="1" applyFont="1" applyFill="1" applyBorder="1"/>
    <xf numFmtId="0" fontId="0" fillId="0" borderId="0" xfId="0" applyFill="1" applyBorder="1" applyAlignment="1">
      <alignment horizontal="center"/>
    </xf>
    <xf numFmtId="0" fontId="3" fillId="0" borderId="1" xfId="2"/>
    <xf numFmtId="0" fontId="25" fillId="0" borderId="1" xfId="2" applyFont="1"/>
    <xf numFmtId="0" fontId="0" fillId="0" borderId="0" xfId="0" applyNumberFormat="1" applyAlignment="1">
      <alignment horizontal="left"/>
    </xf>
    <xf numFmtId="0" fontId="16" fillId="0" borderId="0" xfId="0" applyFont="1" applyBorder="1" applyAlignment="1">
      <alignment horizontal="center" vertical="center"/>
    </xf>
    <xf numFmtId="0" fontId="0" fillId="0" borderId="0" xfId="0" applyNumberFormat="1" applyFill="1" applyAlignment="1"/>
    <xf numFmtId="1" fontId="0" fillId="0" borderId="0" xfId="0" applyNumberFormat="1" applyFill="1" applyAlignment="1">
      <alignment horizontal="center"/>
    </xf>
    <xf numFmtId="0" fontId="16" fillId="0" borderId="0" xfId="0" applyFont="1" applyAlignment="1">
      <alignment horizontal="center" vertical="center"/>
    </xf>
    <xf numFmtId="0" fontId="17" fillId="12" borderId="0" xfId="21" applyAlignment="1">
      <alignment horizontal="center" vertical="center"/>
    </xf>
    <xf numFmtId="0" fontId="23" fillId="0" borderId="0" xfId="0" applyFont="1" applyFill="1" applyAlignment="1">
      <alignment horizontal="left"/>
    </xf>
    <xf numFmtId="0" fontId="16" fillId="0" borderId="0" xfId="0" applyFont="1" applyAlignment="1">
      <alignment horizontal="center"/>
    </xf>
    <xf numFmtId="0" fontId="17" fillId="35" borderId="0" xfId="22" applyFill="1" applyBorder="1" applyAlignment="1">
      <alignment horizontal="center"/>
    </xf>
    <xf numFmtId="0" fontId="26" fillId="0" borderId="0" xfId="2" applyFont="1" applyBorder="1"/>
    <xf numFmtId="0" fontId="29" fillId="0" borderId="0" xfId="43" applyFont="1"/>
    <xf numFmtId="0" fontId="29" fillId="0" borderId="0" xfId="43" applyFont="1" applyAlignment="1">
      <alignment horizontal="center"/>
    </xf>
    <xf numFmtId="0" fontId="30" fillId="0" borderId="0" xfId="43" applyFont="1"/>
    <xf numFmtId="0" fontId="27" fillId="0" borderId="0" xfId="43" applyFont="1" applyAlignment="1"/>
    <xf numFmtId="0" fontId="31" fillId="36" borderId="11" xfId="43" applyFont="1" applyFill="1" applyBorder="1" applyAlignment="1">
      <alignment horizontal="left"/>
    </xf>
    <xf numFmtId="0" fontId="31" fillId="0" borderId="0" xfId="43" applyFont="1" applyAlignment="1">
      <alignment horizontal="left"/>
    </xf>
    <xf numFmtId="0" fontId="31" fillId="36" borderId="0" xfId="43" applyFont="1" applyFill="1" applyBorder="1" applyAlignment="1">
      <alignment horizontal="left"/>
    </xf>
    <xf numFmtId="0" fontId="32" fillId="0" borderId="0" xfId="43" applyFont="1" applyAlignment="1">
      <alignment horizontal="left"/>
    </xf>
    <xf numFmtId="165" fontId="33" fillId="37" borderId="11" xfId="43" applyNumberFormat="1" applyFont="1" applyFill="1" applyBorder="1"/>
    <xf numFmtId="0" fontId="33" fillId="37" borderId="11" xfId="43" applyFont="1" applyFill="1" applyBorder="1"/>
    <xf numFmtId="0" fontId="33" fillId="37" borderId="11" xfId="43" applyFont="1" applyFill="1" applyBorder="1" applyAlignment="1">
      <alignment horizontal="left"/>
    </xf>
    <xf numFmtId="0" fontId="33" fillId="37" borderId="11" xfId="43" applyFont="1" applyFill="1" applyBorder="1" applyAlignment="1">
      <alignment horizontal="center"/>
    </xf>
    <xf numFmtId="0" fontId="33" fillId="37" borderId="11" xfId="43" applyFont="1" applyFill="1" applyBorder="1" applyAlignment="1"/>
    <xf numFmtId="0" fontId="34" fillId="0" borderId="0" xfId="43" applyFont="1" applyAlignment="1"/>
    <xf numFmtId="165" fontId="33" fillId="0" borderId="0" xfId="43" applyNumberFormat="1" applyFont="1"/>
    <xf numFmtId="0" fontId="33" fillId="0" borderId="0" xfId="43" applyFont="1"/>
    <xf numFmtId="0" fontId="33" fillId="0" borderId="0" xfId="43" applyFont="1" applyAlignment="1">
      <alignment horizontal="left"/>
    </xf>
    <xf numFmtId="0" fontId="33" fillId="0" borderId="0" xfId="43" applyFont="1" applyAlignment="1">
      <alignment horizontal="center"/>
    </xf>
    <xf numFmtId="0" fontId="33" fillId="0" borderId="0" xfId="43" applyFont="1" applyAlignment="1"/>
    <xf numFmtId="0" fontId="34" fillId="0" borderId="0" xfId="43" applyFont="1"/>
    <xf numFmtId="165" fontId="33" fillId="37" borderId="0" xfId="43" applyNumberFormat="1" applyFont="1" applyFill="1" applyBorder="1"/>
    <xf numFmtId="0" fontId="33" fillId="37" borderId="0" xfId="43" applyFont="1" applyFill="1" applyBorder="1"/>
    <xf numFmtId="0" fontId="33" fillId="37" borderId="0" xfId="43" applyFont="1" applyFill="1" applyBorder="1" applyAlignment="1">
      <alignment horizontal="left"/>
    </xf>
    <xf numFmtId="0" fontId="33" fillId="37" borderId="0" xfId="43" applyFont="1" applyFill="1" applyBorder="1" applyAlignment="1">
      <alignment horizontal="center"/>
    </xf>
    <xf numFmtId="0" fontId="33" fillId="37" borderId="0" xfId="43" applyFont="1" applyFill="1" applyBorder="1" applyAlignment="1"/>
    <xf numFmtId="0" fontId="29" fillId="0" borderId="0" xfId="43" applyFont="1" applyAlignment="1"/>
    <xf numFmtId="0" fontId="31" fillId="36" borderId="0" xfId="43" applyFont="1" applyFill="1" applyBorder="1"/>
    <xf numFmtId="0" fontId="29" fillId="38" borderId="0" xfId="43" applyFont="1" applyFill="1" applyBorder="1"/>
    <xf numFmtId="0" fontId="36" fillId="0" borderId="0" xfId="43" applyFont="1"/>
    <xf numFmtId="0" fontId="33" fillId="0" borderId="0" xfId="43" applyFont="1" applyBorder="1"/>
    <xf numFmtId="0" fontId="33" fillId="0" borderId="0" xfId="43" applyFont="1" applyBorder="1" applyAlignment="1"/>
    <xf numFmtId="0" fontId="37" fillId="0" borderId="0" xfId="43" applyFont="1" applyAlignment="1">
      <alignment horizontal="left"/>
    </xf>
    <xf numFmtId="0" fontId="33" fillId="37" borderId="14" xfId="43" applyFont="1" applyFill="1" applyBorder="1"/>
    <xf numFmtId="0" fontId="27" fillId="0" borderId="0" xfId="43" applyFont="1"/>
    <xf numFmtId="0" fontId="33" fillId="0" borderId="0" xfId="43" applyFont="1" applyAlignment="1">
      <alignment wrapText="1"/>
    </xf>
    <xf numFmtId="0" fontId="33" fillId="37" borderId="0" xfId="43" applyFont="1" applyFill="1" applyBorder="1" applyAlignment="1">
      <alignment wrapText="1"/>
    </xf>
    <xf numFmtId="0" fontId="33" fillId="0" borderId="0" xfId="43" applyFont="1" applyBorder="1" applyAlignment="1">
      <alignment wrapText="1"/>
    </xf>
    <xf numFmtId="0" fontId="33" fillId="0" borderId="0" xfId="43" applyFont="1" applyAlignment="1">
      <alignment horizontal="left" wrapText="1"/>
    </xf>
    <xf numFmtId="0" fontId="7" fillId="3" borderId="0" xfId="7" applyBorder="1" applyAlignment="1">
      <alignment wrapText="1"/>
    </xf>
    <xf numFmtId="0" fontId="7" fillId="3" borderId="0" xfId="7" applyAlignment="1">
      <alignment wrapText="1"/>
    </xf>
    <xf numFmtId="0" fontId="7" fillId="3" borderId="0" xfId="7" applyBorder="1"/>
    <xf numFmtId="0" fontId="27" fillId="0" borderId="0" xfId="43" applyFont="1" applyAlignment="1"/>
    <xf numFmtId="165" fontId="33" fillId="39" borderId="11" xfId="43" applyNumberFormat="1" applyFont="1" applyFill="1" applyBorder="1"/>
    <xf numFmtId="0" fontId="33" fillId="39" borderId="11" xfId="43" applyFont="1" applyFill="1" applyBorder="1"/>
    <xf numFmtId="0" fontId="33" fillId="39" borderId="11" xfId="43" applyFont="1" applyFill="1" applyBorder="1" applyAlignment="1">
      <alignment horizontal="left"/>
    </xf>
    <xf numFmtId="0" fontId="33" fillId="39" borderId="0" xfId="43" applyFont="1" applyFill="1" applyBorder="1"/>
    <xf numFmtId="0" fontId="33" fillId="39" borderId="11" xfId="43" applyFont="1" applyFill="1" applyBorder="1" applyAlignment="1">
      <alignment horizontal="center"/>
    </xf>
    <xf numFmtId="0" fontId="33" fillId="39" borderId="11" xfId="43" applyFont="1" applyFill="1" applyBorder="1" applyAlignment="1"/>
    <xf numFmtId="0" fontId="29" fillId="39" borderId="0" xfId="43" applyFont="1" applyFill="1" applyBorder="1"/>
    <xf numFmtId="165" fontId="33" fillId="40" borderId="0" xfId="43" applyNumberFormat="1" applyFont="1" applyFill="1" applyBorder="1"/>
    <xf numFmtId="0" fontId="33" fillId="40" borderId="0" xfId="43" applyFont="1" applyFill="1" applyBorder="1"/>
    <xf numFmtId="0" fontId="33" fillId="40" borderId="0" xfId="43" applyFont="1" applyFill="1" applyBorder="1" applyAlignment="1">
      <alignment horizontal="left"/>
    </xf>
    <xf numFmtId="0" fontId="33" fillId="40" borderId="0" xfId="43" applyFont="1" applyFill="1" applyBorder="1" applyAlignment="1">
      <alignment horizontal="center"/>
    </xf>
    <xf numFmtId="0" fontId="33" fillId="40" borderId="0" xfId="43" applyFont="1" applyFill="1" applyBorder="1" applyAlignment="1"/>
    <xf numFmtId="165" fontId="33" fillId="39" borderId="0" xfId="43" applyNumberFormat="1" applyFont="1" applyFill="1" applyBorder="1"/>
    <xf numFmtId="0" fontId="33" fillId="39" borderId="0" xfId="43" applyFont="1" applyFill="1" applyBorder="1" applyAlignment="1">
      <alignment horizontal="left"/>
    </xf>
    <xf numFmtId="0" fontId="33" fillId="39" borderId="0" xfId="43" applyFont="1" applyFill="1" applyBorder="1" applyAlignment="1">
      <alignment horizontal="center"/>
    </xf>
    <xf numFmtId="0" fontId="33" fillId="39" borderId="0" xfId="43" applyFont="1" applyFill="1" applyBorder="1" applyAlignment="1"/>
    <xf numFmtId="0" fontId="33" fillId="39" borderId="0" xfId="43" applyFont="1" applyFill="1" applyAlignment="1">
      <alignment horizontal="left"/>
    </xf>
    <xf numFmtId="0" fontId="33" fillId="40" borderId="0" xfId="43" applyFont="1" applyFill="1" applyAlignment="1">
      <alignment horizontal="left"/>
    </xf>
    <xf numFmtId="0" fontId="29" fillId="39" borderId="0" xfId="43" applyFont="1" applyFill="1" applyBorder="1" applyAlignment="1"/>
    <xf numFmtId="0" fontId="38" fillId="39" borderId="0" xfId="43" applyFont="1" applyFill="1" applyAlignment="1">
      <alignment horizontal="left"/>
    </xf>
    <xf numFmtId="0" fontId="37" fillId="39" borderId="0" xfId="43" applyFont="1" applyFill="1" applyAlignment="1">
      <alignment horizontal="left"/>
    </xf>
    <xf numFmtId="0" fontId="37" fillId="40" borderId="0" xfId="43" applyFont="1" applyFill="1" applyAlignment="1">
      <alignment horizontal="left"/>
    </xf>
    <xf numFmtId="0" fontId="0" fillId="0" borderId="0" xfId="0" applyFont="1" applyAlignment="1">
      <alignment horizontal="center"/>
    </xf>
    <xf numFmtId="1" fontId="23" fillId="0" borderId="0" xfId="0" applyNumberFormat="1" applyFont="1" applyFill="1" applyBorder="1" applyAlignment="1">
      <alignment horizontal="center" wrapText="1"/>
    </xf>
    <xf numFmtId="0" fontId="41" fillId="0" borderId="0" xfId="44" applyFont="1"/>
    <xf numFmtId="0" fontId="41" fillId="0" borderId="0" xfId="44" applyFont="1" applyAlignment="1">
      <alignment horizontal="center"/>
    </xf>
    <xf numFmtId="0" fontId="42" fillId="0" borderId="0" xfId="44" applyFont="1"/>
    <xf numFmtId="0" fontId="39" fillId="0" borderId="0" xfId="44" applyFont="1" applyAlignment="1"/>
    <xf numFmtId="0" fontId="43" fillId="43" borderId="0" xfId="44" applyFont="1" applyFill="1" applyBorder="1" applyAlignment="1">
      <alignment horizontal="left"/>
    </xf>
    <xf numFmtId="0" fontId="43" fillId="43" borderId="0" xfId="44" applyFont="1" applyFill="1" applyBorder="1"/>
    <xf numFmtId="0" fontId="43" fillId="0" borderId="0" xfId="44" applyFont="1" applyAlignment="1">
      <alignment horizontal="left"/>
    </xf>
    <xf numFmtId="0" fontId="43" fillId="36" borderId="0" xfId="44" applyFont="1" applyFill="1" applyBorder="1" applyAlignment="1">
      <alignment horizontal="left"/>
    </xf>
    <xf numFmtId="0" fontId="44" fillId="0" borderId="0" xfId="44" applyFont="1" applyAlignment="1">
      <alignment horizontal="left"/>
    </xf>
    <xf numFmtId="165" fontId="45" fillId="0" borderId="0" xfId="44" applyNumberFormat="1" applyFont="1"/>
    <xf numFmtId="0" fontId="45" fillId="0" borderId="0" xfId="44" applyFont="1"/>
    <xf numFmtId="0" fontId="45" fillId="0" borderId="0" xfId="44" applyFont="1" applyAlignment="1">
      <alignment horizontal="left"/>
    </xf>
    <xf numFmtId="0" fontId="45" fillId="0" borderId="0" xfId="44" applyFont="1" applyAlignment="1">
      <alignment horizontal="center"/>
    </xf>
    <xf numFmtId="0" fontId="45" fillId="0" borderId="0" xfId="44" applyFont="1" applyAlignment="1"/>
    <xf numFmtId="0" fontId="41" fillId="0" borderId="0" xfId="44" applyFont="1" applyAlignment="1"/>
    <xf numFmtId="0" fontId="46" fillId="0" borderId="0" xfId="44" applyFont="1" applyAlignment="1"/>
    <xf numFmtId="0" fontId="46" fillId="0" borderId="0" xfId="44" applyFont="1"/>
    <xf numFmtId="0" fontId="43" fillId="36" borderId="0" xfId="44" applyFont="1" applyFill="1" applyBorder="1"/>
    <xf numFmtId="0" fontId="41" fillId="38" borderId="0" xfId="44" applyFont="1" applyFill="1" applyBorder="1"/>
    <xf numFmtId="0" fontId="47" fillId="0" borderId="0" xfId="44" applyFont="1"/>
    <xf numFmtId="0" fontId="45" fillId="37" borderId="0" xfId="44" applyFont="1" applyFill="1" applyAlignment="1"/>
    <xf numFmtId="0" fontId="45" fillId="37" borderId="0" xfId="44" applyFont="1" applyFill="1" applyAlignment="1">
      <alignment horizontal="left"/>
    </xf>
    <xf numFmtId="0" fontId="48" fillId="0" borderId="0" xfId="44" applyFont="1" applyAlignment="1">
      <alignment horizontal="left"/>
    </xf>
    <xf numFmtId="0" fontId="33" fillId="37" borderId="0" xfId="44" applyNumberFormat="1" applyFont="1" applyFill="1" applyBorder="1" applyAlignment="1">
      <alignment horizontal="left"/>
    </xf>
    <xf numFmtId="0" fontId="43" fillId="41" borderId="0" xfId="44" applyFont="1" applyFill="1" applyBorder="1" applyAlignment="1">
      <alignment horizontal="left"/>
    </xf>
    <xf numFmtId="0" fontId="43" fillId="41" borderId="0" xfId="44" applyFont="1" applyFill="1" applyBorder="1"/>
    <xf numFmtId="0" fontId="43" fillId="44" borderId="0" xfId="44" applyFont="1" applyFill="1" applyBorder="1"/>
    <xf numFmtId="0" fontId="41" fillId="0" borderId="0" xfId="44" applyFont="1" applyBorder="1"/>
    <xf numFmtId="0" fontId="45" fillId="44" borderId="0" xfId="44" applyFont="1" applyFill="1" applyBorder="1"/>
    <xf numFmtId="0" fontId="0" fillId="0" borderId="0" xfId="0" applyNumberFormat="1" applyFont="1" applyAlignment="1">
      <alignment horizontal="left"/>
    </xf>
    <xf numFmtId="0" fontId="43" fillId="43" borderId="0" xfId="44" applyFont="1" applyFill="1" applyBorder="1" applyAlignment="1">
      <alignment horizontal="center"/>
    </xf>
    <xf numFmtId="0" fontId="45" fillId="0" borderId="0" xfId="44" applyFont="1" applyBorder="1"/>
    <xf numFmtId="0" fontId="45" fillId="0" borderId="0" xfId="44" applyFont="1" applyBorder="1" applyAlignment="1">
      <alignment horizontal="center"/>
    </xf>
    <xf numFmtId="0" fontId="0" fillId="45" borderId="16" xfId="0" applyFont="1" applyFill="1" applyBorder="1"/>
    <xf numFmtId="0" fontId="0" fillId="0" borderId="0" xfId="0" applyFont="1" applyFill="1" applyBorder="1"/>
    <xf numFmtId="0" fontId="33" fillId="0" borderId="0" xfId="44" applyFont="1" applyAlignment="1"/>
    <xf numFmtId="0" fontId="0" fillId="0" borderId="0" xfId="0" applyNumberFormat="1" applyAlignment="1">
      <alignment horizontal="center"/>
    </xf>
    <xf numFmtId="0" fontId="31" fillId="36" borderId="0" xfId="43" applyFont="1" applyFill="1" applyAlignment="1">
      <alignment horizontal="left"/>
    </xf>
    <xf numFmtId="0" fontId="0" fillId="0" borderId="0" xfId="0" applyNumberFormat="1" applyFont="1" applyFill="1" applyAlignment="1">
      <alignment horizontal="left"/>
    </xf>
    <xf numFmtId="0" fontId="0" fillId="0" borderId="0" xfId="0" applyNumberFormat="1" applyFont="1" applyFill="1" applyAlignment="1"/>
    <xf numFmtId="1" fontId="0" fillId="0" borderId="0" xfId="0" applyNumberFormat="1" applyFont="1" applyFill="1" applyAlignment="1">
      <alignment horizontal="center"/>
    </xf>
    <xf numFmtId="0" fontId="0" fillId="0" borderId="0" xfId="0" applyNumberFormat="1" applyFont="1" applyFill="1" applyAlignment="1">
      <alignment horizontal="center"/>
    </xf>
    <xf numFmtId="0" fontId="0" fillId="0" borderId="0" xfId="0" applyFont="1" applyFill="1" applyAlignment="1">
      <alignment horizontal="center"/>
    </xf>
    <xf numFmtId="0" fontId="0" fillId="0" borderId="0" xfId="0" applyFont="1" applyFill="1"/>
    <xf numFmtId="1" fontId="0" fillId="0" borderId="0" xfId="0" applyNumberFormat="1" applyFont="1" applyFill="1" applyBorder="1" applyAlignment="1">
      <alignment horizontal="center"/>
    </xf>
    <xf numFmtId="0" fontId="0" fillId="0" borderId="0" xfId="0" applyFont="1" applyFill="1" applyBorder="1" applyAlignment="1">
      <alignment horizontal="center"/>
    </xf>
    <xf numFmtId="0" fontId="0" fillId="0" borderId="0" xfId="0" applyNumberFormat="1" applyFont="1" applyFill="1" applyBorder="1" applyAlignment="1">
      <alignment horizontal="left"/>
    </xf>
    <xf numFmtId="0" fontId="0" fillId="0" borderId="0" xfId="0" applyNumberFormat="1" applyFont="1" applyFill="1" applyBorder="1" applyAlignment="1"/>
    <xf numFmtId="0" fontId="16" fillId="0" borderId="0" xfId="0" applyFont="1" applyBorder="1" applyAlignment="1">
      <alignment horizontal="left"/>
    </xf>
    <xf numFmtId="0" fontId="16" fillId="0" borderId="0" xfId="0" applyFont="1" applyBorder="1"/>
    <xf numFmtId="0" fontId="13" fillId="35" borderId="0" xfId="22" applyFont="1" applyFill="1" applyBorder="1" applyAlignment="1">
      <alignment horizontal="center"/>
    </xf>
    <xf numFmtId="0" fontId="0" fillId="0" borderId="0" xfId="0" applyFont="1" applyFill="1" applyAlignment="1">
      <alignment horizontal="left"/>
    </xf>
    <xf numFmtId="0" fontId="49" fillId="0" borderId="0" xfId="2" applyFont="1" applyBorder="1"/>
    <xf numFmtId="0" fontId="13" fillId="46" borderId="0" xfId="22" applyFont="1" applyFill="1" applyBorder="1" applyAlignment="1">
      <alignment horizontal="center"/>
    </xf>
    <xf numFmtId="0" fontId="50" fillId="47" borderId="0" xfId="0" applyFont="1" applyFill="1" applyBorder="1" applyAlignment="1">
      <alignment horizontal="left"/>
    </xf>
    <xf numFmtId="0" fontId="50" fillId="47" borderId="0" xfId="0" applyFont="1" applyFill="1" applyBorder="1"/>
    <xf numFmtId="0" fontId="50" fillId="47" borderId="0" xfId="0" applyFont="1" applyFill="1" applyBorder="1" applyAlignment="1">
      <alignment horizontal="center"/>
    </xf>
    <xf numFmtId="0" fontId="9" fillId="5" borderId="4" xfId="9" applyAlignment="1">
      <alignment horizontal="center"/>
    </xf>
    <xf numFmtId="0" fontId="0" fillId="0" borderId="0" xfId="0" applyNumberFormat="1" applyFont="1" applyFill="1" applyBorder="1" applyAlignment="1">
      <alignment horizontal="center"/>
    </xf>
    <xf numFmtId="0" fontId="16" fillId="0" borderId="0" xfId="0" applyFont="1" applyBorder="1" applyAlignment="1">
      <alignment horizontal="left" vertical="center"/>
    </xf>
    <xf numFmtId="0" fontId="0" fillId="0" borderId="0" xfId="0" applyBorder="1" applyAlignment="1">
      <alignment horizontal="left"/>
    </xf>
    <xf numFmtId="0" fontId="51" fillId="0" borderId="0" xfId="0" applyNumberFormat="1" applyFont="1" applyFill="1" applyAlignment="1">
      <alignment horizontal="left"/>
    </xf>
    <xf numFmtId="0" fontId="51" fillId="0" borderId="0" xfId="0" applyNumberFormat="1" applyFont="1" applyFill="1" applyAlignment="1"/>
    <xf numFmtId="0" fontId="17" fillId="12" borderId="0" xfId="21" applyBorder="1" applyAlignment="1">
      <alignment horizontal="center"/>
    </xf>
    <xf numFmtId="49" fontId="0" fillId="0" borderId="0" xfId="0" applyNumberFormat="1"/>
    <xf numFmtId="49" fontId="0" fillId="48" borderId="0" xfId="0" applyNumberFormat="1" applyFill="1"/>
    <xf numFmtId="0" fontId="22" fillId="0" borderId="0" xfId="0" applyFont="1" applyFill="1" applyAlignment="1">
      <alignment horizontal="center"/>
    </xf>
    <xf numFmtId="0" fontId="52" fillId="0" borderId="17" xfId="0" applyFont="1" applyBorder="1" applyAlignment="1">
      <alignment horizontal="center" wrapText="1"/>
    </xf>
    <xf numFmtId="0" fontId="52" fillId="0" borderId="17" xfId="0" applyFont="1" applyBorder="1" applyAlignment="1">
      <alignment wrapText="1"/>
    </xf>
    <xf numFmtId="0" fontId="0" fillId="0" borderId="17" xfId="0" applyBorder="1" applyAlignment="1">
      <alignment horizontal="center" wrapText="1"/>
    </xf>
    <xf numFmtId="0" fontId="53" fillId="0" borderId="17" xfId="0" applyFont="1" applyBorder="1" applyAlignment="1">
      <alignment horizontal="center" wrapText="1"/>
    </xf>
    <xf numFmtId="0" fontId="54" fillId="0" borderId="0" xfId="0" applyFont="1" applyBorder="1" applyAlignment="1">
      <alignment horizontal="left"/>
    </xf>
    <xf numFmtId="0" fontId="54" fillId="0" borderId="0" xfId="0" applyFont="1" applyBorder="1" applyAlignment="1">
      <alignment horizontal="left" vertical="center"/>
    </xf>
    <xf numFmtId="0" fontId="55" fillId="9" borderId="0" xfId="18" applyFont="1" applyFill="1" applyBorder="1" applyAlignment="1">
      <alignment horizontal="center" vertical="center"/>
    </xf>
    <xf numFmtId="0" fontId="0" fillId="0" borderId="0" xfId="0" applyFill="1" applyAlignment="1">
      <alignment horizontal="left"/>
    </xf>
    <xf numFmtId="0" fontId="57" fillId="0" borderId="17" xfId="0" applyFont="1" applyBorder="1" applyAlignment="1">
      <alignment horizontal="center" wrapText="1"/>
    </xf>
    <xf numFmtId="0" fontId="52" fillId="0" borderId="18" xfId="0" applyFont="1" applyBorder="1" applyAlignment="1">
      <alignment horizontal="center" wrapText="1"/>
    </xf>
    <xf numFmtId="0" fontId="0" fillId="0" borderId="18" xfId="0" applyBorder="1" applyAlignment="1">
      <alignment horizontal="center" wrapText="1"/>
    </xf>
    <xf numFmtId="0" fontId="57" fillId="0" borderId="18" xfId="0" applyFont="1" applyBorder="1" applyAlignment="1">
      <alignment horizontal="center" wrapText="1"/>
    </xf>
    <xf numFmtId="0" fontId="53" fillId="0" borderId="18" xfId="0" applyFont="1" applyBorder="1" applyAlignment="1">
      <alignment horizontal="center" wrapText="1"/>
    </xf>
    <xf numFmtId="0" fontId="53" fillId="0" borderId="19" xfId="0" applyFont="1" applyBorder="1" applyAlignment="1">
      <alignment horizontal="center" vertical="center" wrapText="1"/>
    </xf>
    <xf numFmtId="0" fontId="53" fillId="0" borderId="20" xfId="0" applyFont="1" applyBorder="1" applyAlignment="1">
      <alignment horizontal="center" vertical="center" wrapText="1"/>
    </xf>
    <xf numFmtId="0" fontId="53" fillId="0" borderId="21" xfId="0" applyFont="1" applyBorder="1" applyAlignment="1">
      <alignment horizontal="center" vertical="center" wrapText="1"/>
    </xf>
    <xf numFmtId="0" fontId="52" fillId="0" borderId="22" xfId="0" applyFont="1" applyBorder="1" applyAlignment="1">
      <alignment wrapText="1"/>
    </xf>
    <xf numFmtId="0" fontId="52" fillId="0" borderId="22" xfId="0" applyFont="1" applyBorder="1" applyAlignment="1">
      <alignment horizontal="center" wrapText="1"/>
    </xf>
    <xf numFmtId="0" fontId="0" fillId="0" borderId="22" xfId="0" applyBorder="1" applyAlignment="1">
      <alignment horizontal="center" wrapText="1"/>
    </xf>
    <xf numFmtId="0" fontId="0" fillId="0" borderId="23" xfId="0" applyBorder="1" applyAlignment="1">
      <alignment horizontal="center" wrapText="1"/>
    </xf>
    <xf numFmtId="0" fontId="56" fillId="0" borderId="0" xfId="0" applyFont="1" applyBorder="1" applyAlignment="1">
      <alignment horizontal="left" vertical="center"/>
    </xf>
    <xf numFmtId="0" fontId="0" fillId="0" borderId="0" xfId="0" applyFont="1" applyBorder="1" applyAlignment="1">
      <alignment horizontal="center" wrapText="1"/>
    </xf>
    <xf numFmtId="1" fontId="58" fillId="49" borderId="0" xfId="0" applyNumberFormat="1" applyFont="1" applyFill="1" applyAlignment="1">
      <alignment horizontal="center"/>
    </xf>
    <xf numFmtId="1" fontId="56" fillId="34" borderId="13" xfId="0" applyNumberFormat="1" applyFont="1" applyFill="1" applyBorder="1" applyAlignment="1">
      <alignment horizontal="center"/>
    </xf>
    <xf numFmtId="1" fontId="56" fillId="0" borderId="0" xfId="0" applyNumberFormat="1" applyFont="1" applyAlignment="1">
      <alignment horizontal="center"/>
    </xf>
    <xf numFmtId="1" fontId="56" fillId="0" borderId="12" xfId="0" applyNumberFormat="1" applyFont="1" applyBorder="1" applyAlignment="1">
      <alignment horizontal="center"/>
    </xf>
    <xf numFmtId="49" fontId="56" fillId="42" borderId="0" xfId="0" applyNumberFormat="1" applyFont="1" applyFill="1" applyBorder="1" applyAlignment="1">
      <alignment horizontal="center"/>
    </xf>
    <xf numFmtId="49" fontId="56" fillId="0" borderId="0" xfId="0" applyNumberFormat="1" applyFont="1" applyFill="1" applyBorder="1"/>
    <xf numFmtId="0" fontId="58" fillId="0" borderId="24" xfId="0" applyFont="1" applyFill="1" applyBorder="1" applyAlignment="1">
      <alignment horizontal="center"/>
    </xf>
    <xf numFmtId="0" fontId="55" fillId="9" borderId="10" xfId="18" applyFont="1" applyFill="1" applyBorder="1" applyAlignment="1">
      <alignment horizontal="center" vertical="center"/>
    </xf>
    <xf numFmtId="0" fontId="54" fillId="0" borderId="10" xfId="0" applyFont="1" applyBorder="1" applyAlignment="1">
      <alignment horizontal="center" vertical="center"/>
    </xf>
    <xf numFmtId="1" fontId="59" fillId="0" borderId="0" xfId="0" applyNumberFormat="1" applyFont="1" applyBorder="1" applyAlignment="1">
      <alignment horizontal="center"/>
    </xf>
    <xf numFmtId="1" fontId="60" fillId="0" borderId="0" xfId="0" applyNumberFormat="1" applyFont="1" applyAlignment="1">
      <alignment horizontal="center"/>
    </xf>
    <xf numFmtId="1" fontId="23" fillId="0" borderId="0" xfId="0" applyNumberFormat="1" applyFont="1" applyFill="1" applyAlignment="1">
      <alignment horizontal="center" wrapText="1"/>
    </xf>
    <xf numFmtId="0" fontId="54" fillId="0" borderId="0" xfId="0" applyFont="1" applyBorder="1" applyAlignment="1">
      <alignment horizontal="center" vertical="center"/>
    </xf>
    <xf numFmtId="0" fontId="0" fillId="0" borderId="0" xfId="0" applyFill="1" applyBorder="1"/>
    <xf numFmtId="1" fontId="56" fillId="51" borderId="0" xfId="0" applyNumberFormat="1" applyFont="1" applyFill="1" applyAlignment="1">
      <alignment horizontal="center"/>
    </xf>
    <xf numFmtId="0" fontId="17" fillId="50" borderId="0" xfId="0" applyFont="1" applyFill="1" applyAlignment="1">
      <alignment horizontal="center"/>
    </xf>
    <xf numFmtId="0" fontId="52" fillId="0" borderId="17" xfId="0" quotePrefix="1" applyFont="1" applyBorder="1" applyAlignment="1">
      <alignment wrapText="1"/>
    </xf>
    <xf numFmtId="0" fontId="56" fillId="0" borderId="17" xfId="0" applyNumberFormat="1" applyFont="1" applyFill="1" applyBorder="1" applyAlignment="1">
      <alignment wrapText="1"/>
    </xf>
    <xf numFmtId="0" fontId="0" fillId="52" borderId="0" xfId="0" applyFill="1" applyAlignment="1">
      <alignment horizontal="center"/>
    </xf>
    <xf numFmtId="0" fontId="0" fillId="52" borderId="0" xfId="0" applyFill="1"/>
    <xf numFmtId="0" fontId="0" fillId="0" borderId="0" xfId="0"/>
    <xf numFmtId="0" fontId="52" fillId="0" borderId="17" xfId="0" applyFont="1" applyBorder="1" applyAlignment="1">
      <alignment horizontal="center" wrapText="1"/>
    </xf>
    <xf numFmtId="0" fontId="52" fillId="42" borderId="17" xfId="0" quotePrefix="1" applyFont="1" applyFill="1" applyBorder="1" applyAlignment="1">
      <alignment wrapText="1"/>
    </xf>
    <xf numFmtId="0" fontId="52" fillId="42" borderId="17" xfId="0" applyFont="1" applyFill="1" applyBorder="1" applyAlignment="1">
      <alignment wrapText="1"/>
    </xf>
    <xf numFmtId="0" fontId="52" fillId="42" borderId="17" xfId="0" applyFont="1" applyFill="1" applyBorder="1" applyAlignment="1">
      <alignment horizontal="center" wrapText="1"/>
    </xf>
    <xf numFmtId="0" fontId="0" fillId="42" borderId="17" xfId="0" applyFill="1" applyBorder="1" applyAlignment="1">
      <alignment horizontal="center" wrapText="1"/>
    </xf>
    <xf numFmtId="0" fontId="0" fillId="42" borderId="18" xfId="0" applyFill="1" applyBorder="1" applyAlignment="1">
      <alignment horizontal="center" wrapText="1"/>
    </xf>
    <xf numFmtId="0" fontId="0" fillId="0" borderId="0" xfId="0" applyFill="1"/>
    <xf numFmtId="0" fontId="52" fillId="0" borderId="17" xfId="0" applyNumberFormat="1" applyFont="1" applyBorder="1" applyAlignment="1">
      <alignment horizontal="center" wrapText="1"/>
    </xf>
    <xf numFmtId="0" fontId="52" fillId="42" borderId="17" xfId="0" quotePrefix="1" applyFont="1" applyFill="1" applyBorder="1" applyAlignment="1">
      <alignment horizontal="center" wrapText="1"/>
    </xf>
    <xf numFmtId="0" fontId="52" fillId="0" borderId="17" xfId="0" quotePrefix="1" applyFont="1" applyBorder="1" applyAlignment="1">
      <alignment horizontal="center" wrapText="1"/>
    </xf>
    <xf numFmtId="166" fontId="52" fillId="0" borderId="17" xfId="0" quotePrefix="1" applyNumberFormat="1" applyFont="1" applyBorder="1" applyAlignment="1">
      <alignment horizontal="center" wrapText="1"/>
    </xf>
    <xf numFmtId="0" fontId="52" fillId="0" borderId="20" xfId="0" applyNumberFormat="1" applyFont="1" applyBorder="1" applyAlignment="1">
      <alignment horizontal="center" wrapText="1"/>
    </xf>
    <xf numFmtId="0" fontId="52" fillId="0" borderId="22" xfId="0" quotePrefix="1" applyFont="1" applyBorder="1" applyAlignment="1">
      <alignment horizontal="center" wrapText="1"/>
    </xf>
    <xf numFmtId="0" fontId="53" fillId="36" borderId="20" xfId="0" applyFont="1" applyFill="1" applyBorder="1" applyAlignment="1">
      <alignment horizontal="center" vertical="center" wrapText="1"/>
    </xf>
    <xf numFmtId="0" fontId="52" fillId="42" borderId="17" xfId="0" applyNumberFormat="1" applyFont="1" applyFill="1" applyBorder="1" applyAlignment="1">
      <alignment horizontal="center" wrapText="1"/>
    </xf>
    <xf numFmtId="0" fontId="56" fillId="42" borderId="17" xfId="0" applyNumberFormat="1" applyFont="1" applyFill="1" applyBorder="1" applyAlignment="1">
      <alignment wrapText="1"/>
    </xf>
    <xf numFmtId="0" fontId="52" fillId="42" borderId="18" xfId="0" applyFont="1" applyFill="1" applyBorder="1" applyAlignment="1">
      <alignment horizontal="center" wrapText="1"/>
    </xf>
    <xf numFmtId="0" fontId="63" fillId="0" borderId="0" xfId="0" applyFont="1" applyAlignment="1">
      <alignment vertical="center"/>
    </xf>
    <xf numFmtId="0" fontId="64" fillId="0" borderId="0" xfId="0" applyFont="1" applyFill="1" applyAlignment="1">
      <alignment horizontal="left"/>
    </xf>
    <xf numFmtId="0" fontId="65" fillId="0" borderId="0" xfId="0" applyNumberFormat="1" applyFont="1" applyFill="1" applyBorder="1"/>
    <xf numFmtId="1" fontId="64" fillId="0" borderId="10" xfId="0" applyNumberFormat="1" applyFont="1" applyBorder="1" applyAlignment="1">
      <alignment horizontal="center"/>
    </xf>
    <xf numFmtId="0" fontId="64" fillId="0" borderId="0" xfId="0" applyFont="1" applyFill="1" applyAlignment="1">
      <alignment horizontal="center"/>
    </xf>
    <xf numFmtId="0" fontId="66" fillId="0" borderId="0" xfId="0" applyFont="1" applyFill="1" applyAlignment="1">
      <alignment horizontal="center" wrapText="1"/>
    </xf>
    <xf numFmtId="0" fontId="65" fillId="0" borderId="0" xfId="0" applyFont="1" applyFill="1" applyAlignment="1">
      <alignment horizontal="center"/>
    </xf>
    <xf numFmtId="0" fontId="1" fillId="0" borderId="0" xfId="43" applyFont="1" applyAlignment="1">
      <alignment wrapText="1"/>
    </xf>
    <xf numFmtId="0" fontId="1" fillId="0" borderId="0" xfId="43" applyFont="1" applyAlignment="1"/>
    <xf numFmtId="0" fontId="27" fillId="0" borderId="0" xfId="43" applyFont="1" applyAlignment="1"/>
    <xf numFmtId="0" fontId="39" fillId="0" borderId="0" xfId="44" applyFont="1" applyAlignment="1"/>
    <xf numFmtId="165" fontId="33" fillId="0" borderId="14" xfId="43" applyNumberFormat="1" applyFont="1" applyBorder="1"/>
    <xf numFmtId="0" fontId="33" fillId="0" borderId="14" xfId="43" applyFont="1" applyBorder="1"/>
    <xf numFmtId="0" fontId="33" fillId="0" borderId="14" xfId="43" applyFont="1" applyBorder="1" applyAlignment="1">
      <alignment horizontal="left"/>
    </xf>
    <xf numFmtId="0" fontId="33" fillId="0" borderId="15" xfId="43" applyFont="1" applyBorder="1" applyAlignment="1">
      <alignment horizontal="center"/>
    </xf>
    <xf numFmtId="0" fontId="33" fillId="0" borderId="14" xfId="43" applyFont="1" applyBorder="1" applyAlignment="1"/>
    <xf numFmtId="0" fontId="33" fillId="0" borderId="14" xfId="43" applyFont="1" applyBorder="1" applyAlignment="1">
      <alignment wrapText="1"/>
    </xf>
    <xf numFmtId="0" fontId="33" fillId="0" borderId="0" xfId="43" quotePrefix="1" applyFont="1"/>
    <xf numFmtId="165" fontId="33" fillId="40" borderId="14" xfId="43" applyNumberFormat="1" applyFont="1" applyFill="1" applyBorder="1"/>
    <xf numFmtId="0" fontId="33" fillId="40" borderId="14" xfId="43" applyFont="1" applyFill="1" applyBorder="1"/>
    <xf numFmtId="0" fontId="33" fillId="40" borderId="14" xfId="43" applyFont="1" applyFill="1" applyBorder="1" applyAlignment="1">
      <alignment horizontal="left"/>
    </xf>
    <xf numFmtId="0" fontId="33" fillId="40" borderId="15" xfId="43" applyFont="1" applyFill="1" applyBorder="1" applyAlignment="1">
      <alignment horizontal="center"/>
    </xf>
    <xf numFmtId="0" fontId="33" fillId="40" borderId="14" xfId="43" applyFont="1" applyFill="1" applyBorder="1" applyAlignment="1"/>
    <xf numFmtId="0" fontId="17" fillId="33" borderId="0" xfId="0" applyFont="1" applyFill="1" applyAlignment="1">
      <alignment horizontal="center" vertical="center"/>
    </xf>
    <xf numFmtId="0" fontId="17" fillId="12" borderId="0" xfId="21" applyAlignment="1">
      <alignment horizontal="center" vertical="center"/>
    </xf>
    <xf numFmtId="0" fontId="17" fillId="12" borderId="0" xfId="21" applyBorder="1" applyAlignment="1">
      <alignment horizontal="center"/>
    </xf>
    <xf numFmtId="0" fontId="17" fillId="24" borderId="0" xfId="33" applyBorder="1" applyAlignment="1">
      <alignment horizontal="center" vertical="center"/>
    </xf>
    <xf numFmtId="0" fontId="28" fillId="0" borderId="0" xfId="43" applyFont="1"/>
    <xf numFmtId="0" fontId="27" fillId="0" borderId="0" xfId="43" applyFont="1" applyAlignment="1"/>
    <xf numFmtId="0" fontId="40" fillId="0" borderId="0" xfId="44" applyFont="1"/>
    <xf numFmtId="0" fontId="39" fillId="0" borderId="0" xfId="44" applyFont="1" applyAlignment="1"/>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 3" xfId="43"/>
    <cellStyle name="Normal 4" xfId="44"/>
    <cellStyle name="Normal 5" xfId="45"/>
    <cellStyle name="Note" xfId="15" builtinId="10" customBuiltin="1"/>
    <cellStyle name="Output" xfId="10" builtinId="21" customBuiltin="1"/>
    <cellStyle name="Title" xfId="1" builtinId="15" customBuiltin="1"/>
    <cellStyle name="Title 2" xfId="46"/>
    <cellStyle name="Total" xfId="17" builtinId="25" customBuiltin="1"/>
    <cellStyle name="Warning Text" xfId="14" builtinId="11" customBuiltin="1"/>
  </cellStyles>
  <dxfs count="260">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outline="0">
        <left/>
        <right/>
        <top/>
        <bottom/>
      </border>
    </dxf>
    <dxf>
      <numFmt numFmtId="0" formatCode="General"/>
      <fill>
        <patternFill patternType="none">
          <fgColor indexed="64"/>
          <bgColor indexed="65"/>
        </patternFill>
      </fill>
      <alignment horizontal="center"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outline="0">
        <left/>
        <right/>
        <top/>
        <bottom/>
      </border>
    </dxf>
    <dxf>
      <numFmt numFmtId="1" formatCode="0"/>
      <fill>
        <patternFill patternType="none">
          <fgColor indexed="64"/>
          <bgColor indexed="65"/>
        </patternFill>
      </fill>
      <alignment horizontal="center"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outline="0">
        <left/>
        <right/>
        <top/>
        <bottom/>
      </border>
    </dxf>
    <dxf>
      <numFmt numFmtId="0" formatCode="General"/>
      <fill>
        <patternFill patternType="none">
          <fgColor indexed="64"/>
          <bgColor indexed="65"/>
        </patternFill>
      </fill>
      <alignment horizontal="general" vertical="bottom" textRotation="0" wrapText="0" indent="0" justifyLastLine="0" shrinkToFit="0" readingOrder="0"/>
    </dxf>
    <dxf>
      <border diagonalUp="0" diagonalDown="0" outline="0">
        <left/>
        <right/>
        <top/>
        <bottom/>
      </border>
    </dxf>
    <dxf>
      <numFmt numFmtId="0" formatCode="General"/>
      <fill>
        <patternFill patternType="none">
          <fgColor indexed="64"/>
          <bgColor indexed="65"/>
        </patternFill>
      </fill>
      <alignment horizontal="left" vertical="bottom" textRotation="0" wrapText="0" indent="0" justifyLastLine="0" shrinkToFit="0" readingOrder="0"/>
    </dxf>
    <dxf>
      <border diagonalUp="0" diagonalDown="0" outline="0">
        <left/>
        <right/>
        <top/>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color theme="0"/>
      </font>
      <fill>
        <patternFill>
          <bgColor rgb="FFFF0000"/>
        </patternFill>
      </fill>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outline="0">
        <left/>
        <right/>
        <top/>
        <bottom/>
      </border>
    </dxf>
    <dxf>
      <numFmt numFmtId="0" formatCode="General"/>
      <fill>
        <patternFill patternType="none">
          <fgColor indexed="64"/>
          <bgColor indexed="65"/>
        </patternFill>
      </fill>
      <alignment horizontal="center"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outline="0">
        <left/>
        <right/>
        <top/>
        <bottom/>
      </border>
    </dxf>
    <dxf>
      <numFmt numFmtId="1" formatCode="0"/>
      <fill>
        <patternFill patternType="none">
          <fgColor indexed="64"/>
          <bgColor indexed="65"/>
        </patternFill>
      </fill>
      <alignment horizontal="center"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outline="0">
        <left/>
        <right/>
        <top/>
        <bottom/>
      </border>
    </dxf>
    <dxf>
      <numFmt numFmtId="0" formatCode="General"/>
      <fill>
        <patternFill patternType="none">
          <fgColor indexed="64"/>
          <bgColor indexed="65"/>
        </patternFill>
      </fill>
      <alignment horizontal="general" vertical="bottom" textRotation="0" wrapText="0" indent="0" justifyLastLine="0" shrinkToFit="0" readingOrder="0"/>
    </dxf>
    <dxf>
      <border diagonalUp="0" diagonalDown="0" outline="0">
        <left/>
        <right/>
        <top/>
        <bottom/>
      </border>
    </dxf>
    <dxf>
      <numFmt numFmtId="0" formatCode="General"/>
      <fill>
        <patternFill patternType="none">
          <fgColor indexed="64"/>
          <bgColor indexed="65"/>
        </patternFill>
      </fill>
      <alignment horizontal="left" vertical="bottom" textRotation="0" wrapText="0" indent="0" justifyLastLine="0" shrinkToFit="0" readingOrder="0"/>
    </dxf>
    <dxf>
      <border diagonalUp="0" diagonalDown="0" outline="0">
        <left/>
        <right/>
        <top/>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color theme="0"/>
      </font>
      <fill>
        <patternFill>
          <bgColor rgb="FFFF0000"/>
        </patternFill>
      </fill>
    </dxf>
    <dxf>
      <font>
        <color rgb="FF9C0006"/>
      </font>
      <fill>
        <patternFill>
          <bgColor rgb="FFFFC7CE"/>
        </patternFill>
      </fill>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border outline="0">
        <top style="thin">
          <color theme="1"/>
        </top>
      </border>
    </dxf>
    <dxf>
      <font>
        <strike val="0"/>
        <outline val="0"/>
        <shadow val="0"/>
        <u val="none"/>
        <vertAlign val="baseline"/>
        <sz val="11"/>
        <color auto="1"/>
        <name val="Calibri"/>
        <scheme val="minor"/>
      </font>
      <fill>
        <patternFill>
          <fgColor indexed="64"/>
          <bgColor theme="0"/>
        </patternFill>
      </fill>
    </dxf>
    <dxf>
      <font>
        <color theme="0"/>
      </font>
      <fill>
        <patternFill>
          <bgColor rgb="FFFF0000"/>
        </patternFill>
      </fill>
    </dxf>
    <dxf>
      <font>
        <b val="0"/>
        <i val="0"/>
        <strike val="0"/>
        <condense val="0"/>
        <extend val="0"/>
        <outline val="0"/>
        <shadow val="0"/>
        <u val="none"/>
        <vertAlign val="baseline"/>
        <sz val="11"/>
        <color rgb="FF2E75B5"/>
        <name val="Calibri"/>
        <scheme val="none"/>
      </font>
    </dxf>
    <dxf>
      <font>
        <b val="0"/>
        <i val="0"/>
        <strike val="0"/>
        <condense val="0"/>
        <extend val="0"/>
        <outline val="0"/>
        <shadow val="0"/>
        <u val="none"/>
        <vertAlign val="baseline"/>
        <sz val="11"/>
        <color rgb="FF2E75B5"/>
        <name val="Calibri"/>
        <scheme val="none"/>
      </font>
    </dxf>
    <dxf>
      <font>
        <b val="0"/>
        <i val="0"/>
        <strike val="0"/>
        <condense val="0"/>
        <extend val="0"/>
        <outline val="0"/>
        <shadow val="0"/>
        <u val="none"/>
        <vertAlign val="baseline"/>
        <sz val="11"/>
        <color rgb="FF2E75B5"/>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2E75B5"/>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2E75B5"/>
        <name val="Calibri"/>
        <scheme val="none"/>
      </font>
    </dxf>
    <dxf>
      <font>
        <b val="0"/>
        <i val="0"/>
        <strike val="0"/>
        <condense val="0"/>
        <extend val="0"/>
        <outline val="0"/>
        <shadow val="0"/>
        <u val="none"/>
        <vertAlign val="baseline"/>
        <sz val="11"/>
        <color rgb="FF2E75B5"/>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rgb="FF2E75B5"/>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rgb="FF2E75B5"/>
        <name val="Calibri"/>
        <scheme val="none"/>
      </font>
    </dxf>
    <dxf>
      <font>
        <b val="0"/>
        <i val="0"/>
        <strike val="0"/>
        <condense val="0"/>
        <extend val="0"/>
        <outline val="0"/>
        <shadow val="0"/>
        <u val="none"/>
        <vertAlign val="baseline"/>
        <sz val="11"/>
        <color rgb="FF2E75B5"/>
        <name val="Calibri"/>
        <scheme val="none"/>
      </font>
    </dxf>
    <dxf>
      <font>
        <b val="0"/>
        <i val="0"/>
        <strike val="0"/>
        <condense val="0"/>
        <extend val="0"/>
        <outline val="0"/>
        <shadow val="0"/>
        <u val="none"/>
        <vertAlign val="baseline"/>
        <sz val="11"/>
        <color rgb="FF2E75B5"/>
        <name val="Calibri"/>
        <scheme val="none"/>
      </font>
      <numFmt numFmtId="165" formatCode="000"/>
    </dxf>
    <dxf>
      <font>
        <b val="0"/>
        <i val="0"/>
        <strike val="0"/>
        <condense val="0"/>
        <extend val="0"/>
        <outline val="0"/>
        <shadow val="0"/>
        <u val="none"/>
        <vertAlign val="baseline"/>
        <sz val="11"/>
        <color rgb="FF2E75B5"/>
        <name val="Calibri"/>
        <scheme val="none"/>
      </font>
    </dxf>
    <dxf>
      <font>
        <b val="0"/>
        <i val="0"/>
        <strike val="0"/>
        <condense val="0"/>
        <extend val="0"/>
        <outline val="0"/>
        <shadow val="0"/>
        <u val="none"/>
        <vertAlign val="baseline"/>
        <sz val="11"/>
        <color theme="0"/>
        <name val="Calibri"/>
        <scheme val="none"/>
      </font>
      <fill>
        <patternFill patternType="solid">
          <fgColor rgb="FF2E75B5"/>
          <bgColor rgb="FF2E75B5"/>
        </patternFill>
      </fill>
      <alignment horizontal="left" vertical="bottom" textRotation="0" wrapText="0" indent="0" justifyLastLine="0" shrinkToFit="0" readingOrder="0"/>
    </dxf>
    <dxf>
      <font>
        <b val="0"/>
        <i val="0"/>
        <strike val="0"/>
        <condense val="0"/>
        <extend val="0"/>
        <outline val="0"/>
        <shadow val="0"/>
        <u val="none"/>
        <vertAlign val="baseline"/>
        <sz val="11"/>
        <color rgb="FF2E75B5"/>
        <name val="Calibri"/>
        <scheme val="none"/>
      </font>
      <fill>
        <patternFill patternType="solid">
          <fgColor rgb="FFFFFFFF"/>
          <bgColor rgb="FFFFFFFF"/>
        </patternFill>
      </fill>
    </dxf>
    <dxf>
      <font>
        <b val="0"/>
        <i val="0"/>
        <strike val="0"/>
        <condense val="0"/>
        <extend val="0"/>
        <outline val="0"/>
        <shadow val="0"/>
        <u val="none"/>
        <vertAlign val="baseline"/>
        <sz val="11"/>
        <color rgb="FF2E75B5"/>
        <name val="Calibri"/>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1"/>
        <color rgb="FF2E75B5"/>
        <name val="Calibri"/>
        <scheme val="none"/>
      </font>
      <fill>
        <patternFill patternType="solid">
          <fgColor rgb="FFFFFFFF"/>
          <bgColor rgb="FFFFFFFF"/>
        </patternFill>
      </fill>
    </dxf>
    <dxf>
      <font>
        <b val="0"/>
        <i val="0"/>
        <strike val="0"/>
        <condense val="0"/>
        <extend val="0"/>
        <outline val="0"/>
        <shadow val="0"/>
        <u val="none"/>
        <vertAlign val="baseline"/>
        <sz val="11"/>
        <color rgb="FF2E75B5"/>
        <name val="Calibri"/>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1"/>
        <color rgb="FF2E75B5"/>
        <name val="Calibri"/>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1"/>
        <color rgb="FF2E75B5"/>
        <name val="Calibri"/>
        <scheme val="none"/>
      </font>
      <fill>
        <patternFill patternType="solid">
          <fgColor rgb="FFFFFFFF"/>
          <bgColor rgb="FFFFFFFF"/>
        </patternFill>
      </fill>
    </dxf>
    <dxf>
      <font>
        <b val="0"/>
        <i val="0"/>
        <strike val="0"/>
        <condense val="0"/>
        <extend val="0"/>
        <outline val="0"/>
        <shadow val="0"/>
        <u val="none"/>
        <vertAlign val="baseline"/>
        <sz val="11"/>
        <color rgb="FF2E75B5"/>
        <name val="Calibri"/>
        <scheme val="none"/>
      </font>
      <fill>
        <patternFill patternType="solid">
          <fgColor rgb="FFFFFFFF"/>
          <bgColor rgb="FFFFFFFF"/>
        </patternFill>
      </fill>
    </dxf>
    <dxf>
      <font>
        <b val="0"/>
        <i val="0"/>
        <strike val="0"/>
        <condense val="0"/>
        <extend val="0"/>
        <outline val="0"/>
        <shadow val="0"/>
        <u val="none"/>
        <vertAlign val="baseline"/>
        <sz val="11"/>
        <color rgb="FF2E75B5"/>
        <name val="Calibri"/>
        <scheme val="none"/>
      </font>
      <numFmt numFmtId="165" formatCode="000"/>
      <fill>
        <patternFill patternType="solid">
          <fgColor rgb="FFFFFFFF"/>
          <bgColor rgb="FFFFFFFF"/>
        </patternFill>
      </fill>
    </dxf>
    <dxf>
      <border outline="0">
        <top style="thin">
          <color theme="4"/>
        </top>
      </border>
    </dxf>
    <dxf>
      <font>
        <b val="0"/>
        <i val="0"/>
        <strike val="0"/>
        <condense val="0"/>
        <extend val="0"/>
        <outline val="0"/>
        <shadow val="0"/>
        <u val="none"/>
        <vertAlign val="baseline"/>
        <sz val="11"/>
        <color theme="0"/>
        <name val="Calibri"/>
        <scheme val="none"/>
      </font>
      <fill>
        <patternFill patternType="solid">
          <fgColor theme="4"/>
          <bgColor theme="4"/>
        </patternFill>
      </fill>
      <alignment horizontal="left" vertical="bottom" textRotation="0" wrapText="0" indent="0" justifyLastLine="0" shrinkToFit="0" readingOrder="0"/>
    </dxf>
    <dxf>
      <font>
        <b val="0"/>
        <i val="0"/>
        <strike val="0"/>
        <condense val="0"/>
        <extend val="0"/>
        <outline val="0"/>
        <shadow val="0"/>
        <u val="none"/>
        <vertAlign val="baseline"/>
        <sz val="11"/>
        <color rgb="FF2E75B5"/>
        <name val="Calibri"/>
        <scheme val="none"/>
      </font>
      <fill>
        <patternFill patternType="solid">
          <fgColor rgb="FFDEEAF6"/>
          <bgColor rgb="FFDEEAF6"/>
        </patternFill>
      </fill>
      <alignment horizontal="general" vertical="bottom" textRotation="0" wrapText="1" indent="0" justifyLastLine="0" shrinkToFit="0" readingOrder="0"/>
    </dxf>
    <dxf>
      <font>
        <b val="0"/>
        <i val="0"/>
        <strike val="0"/>
        <condense val="0"/>
        <extend val="0"/>
        <outline val="0"/>
        <shadow val="0"/>
        <u val="none"/>
        <vertAlign val="baseline"/>
        <sz val="11"/>
        <color rgb="FF2E75B5"/>
        <name val="Calibri"/>
        <scheme val="none"/>
      </font>
      <fill>
        <patternFill patternType="solid">
          <fgColor rgb="FFDEEAF6"/>
          <bgColor rgb="FFDEEAF6"/>
        </patternFill>
      </fill>
      <alignment horizontal="center" vertical="bottom" textRotation="0" wrapText="0" indent="0" justifyLastLine="0" shrinkToFit="0" readingOrder="0"/>
    </dxf>
    <dxf>
      <font>
        <b val="0"/>
        <i val="0"/>
        <strike val="0"/>
        <condense val="0"/>
        <extend val="0"/>
        <outline val="0"/>
        <shadow val="0"/>
        <u val="none"/>
        <vertAlign val="baseline"/>
        <sz val="11"/>
        <color rgb="FF2E75B5"/>
        <name val="Calibri"/>
        <scheme val="none"/>
      </font>
      <fill>
        <patternFill patternType="solid">
          <fgColor rgb="FFDEEAF6"/>
          <bgColor rgb="FFDEEAF6"/>
        </patternFill>
      </fill>
    </dxf>
    <dxf>
      <font>
        <b val="0"/>
        <i val="0"/>
        <strike val="0"/>
        <condense val="0"/>
        <extend val="0"/>
        <outline val="0"/>
        <shadow val="0"/>
        <u val="none"/>
        <vertAlign val="baseline"/>
        <sz val="11"/>
        <color rgb="FF2E75B5"/>
        <name val="Calibri"/>
        <scheme val="none"/>
      </font>
      <fill>
        <patternFill patternType="solid">
          <fgColor rgb="FFDEEAF6"/>
          <bgColor rgb="FFDEEAF6"/>
        </patternFill>
      </fill>
      <alignment horizontal="left" vertical="bottom" textRotation="0" wrapText="0" indent="0" justifyLastLine="0" shrinkToFit="0" readingOrder="0"/>
    </dxf>
    <dxf>
      <font>
        <b val="0"/>
        <i val="0"/>
        <strike val="0"/>
        <condense val="0"/>
        <extend val="0"/>
        <outline val="0"/>
        <shadow val="0"/>
        <u val="none"/>
        <vertAlign val="baseline"/>
        <sz val="11"/>
        <color rgb="FF2E75B5"/>
        <name val="Calibri"/>
        <scheme val="none"/>
      </font>
      <fill>
        <patternFill patternType="solid">
          <fgColor rgb="FFDEEAF6"/>
          <bgColor rgb="FFDEEAF6"/>
        </patternFill>
      </fill>
      <alignment horizontal="left" vertical="bottom" textRotation="0" wrapText="0" indent="0" justifyLastLine="0" shrinkToFit="0" readingOrder="0"/>
    </dxf>
    <dxf>
      <font>
        <b val="0"/>
        <i val="0"/>
        <strike val="0"/>
        <condense val="0"/>
        <extend val="0"/>
        <outline val="0"/>
        <shadow val="0"/>
        <u val="none"/>
        <vertAlign val="baseline"/>
        <sz val="11"/>
        <color rgb="FF2E75B5"/>
        <name val="Calibri"/>
        <scheme val="none"/>
      </font>
      <fill>
        <patternFill patternType="solid">
          <fgColor rgb="FFDEEAF6"/>
          <bgColor rgb="FFDEEAF6"/>
        </patternFill>
      </fill>
    </dxf>
    <dxf>
      <font>
        <b val="0"/>
        <i val="0"/>
        <strike val="0"/>
        <condense val="0"/>
        <extend val="0"/>
        <outline val="0"/>
        <shadow val="0"/>
        <u val="none"/>
        <vertAlign val="baseline"/>
        <sz val="11"/>
        <color rgb="FF2E75B5"/>
        <name val="Calibri"/>
        <scheme val="none"/>
      </font>
      <fill>
        <patternFill patternType="solid">
          <fgColor rgb="FFDEEAF6"/>
          <bgColor rgb="FFDEEAF6"/>
        </patternFill>
      </fill>
    </dxf>
    <dxf>
      <font>
        <b val="0"/>
        <i val="0"/>
        <strike val="0"/>
        <condense val="0"/>
        <extend val="0"/>
        <outline val="0"/>
        <shadow val="0"/>
        <u val="none"/>
        <vertAlign val="baseline"/>
        <sz val="11"/>
        <color rgb="FF2E75B5"/>
        <name val="Calibri"/>
        <scheme val="none"/>
      </font>
      <numFmt numFmtId="165" formatCode="000"/>
      <fill>
        <patternFill patternType="solid">
          <fgColor rgb="FFDEEAF6"/>
          <bgColor rgb="FFDEEAF6"/>
        </patternFill>
      </fill>
    </dxf>
    <dxf>
      <border outline="0">
        <top style="thin">
          <color theme="4"/>
        </top>
      </border>
    </dxf>
    <dxf>
      <font>
        <b val="0"/>
        <i val="0"/>
        <strike val="0"/>
        <condense val="0"/>
        <extend val="0"/>
        <outline val="0"/>
        <shadow val="0"/>
        <u val="none"/>
        <vertAlign val="baseline"/>
        <sz val="11"/>
        <color theme="0"/>
        <name val="Calibri"/>
        <scheme val="none"/>
      </font>
      <fill>
        <patternFill patternType="solid">
          <fgColor theme="4"/>
          <bgColor theme="4"/>
        </patternFill>
      </fill>
      <alignment horizontal="left" vertical="bottom" textRotation="0" wrapText="0" indent="0" justifyLastLine="0" shrinkToFit="0" readingOrder="0"/>
    </dxf>
    <dxf>
      <numFmt numFmtId="0" formatCode="General"/>
    </dxf>
    <dxf>
      <numFmt numFmtId="30" formatCode="@"/>
    </dxf>
    <dxf>
      <numFmt numFmtId="0" formatCode="General"/>
    </dxf>
    <dxf>
      <numFmt numFmtId="30" formatCode="@"/>
    </dxf>
    <dxf>
      <alignment horizontal="center" vertical="bottom" textRotation="0" wrapText="0" indent="0" justifyLastLine="0" shrinkToFit="0" readingOrder="0"/>
      <border diagonalUp="0" diagonalDown="0" outline="0">
        <left/>
        <right/>
        <top/>
        <bottom/>
      </border>
    </dxf>
    <dxf>
      <alignment horizontal="left"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outline="0">
        <left/>
        <right/>
        <top/>
        <bottom/>
      </border>
    </dxf>
    <dxf>
      <numFmt numFmtId="0" formatCode="General"/>
      <fill>
        <patternFill patternType="none">
          <fgColor indexed="64"/>
          <bgColor indexed="65"/>
        </patternFill>
      </fill>
      <alignment horizontal="center"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outline="0">
        <left/>
        <right/>
        <top/>
        <bottom/>
      </border>
    </dxf>
    <dxf>
      <numFmt numFmtId="1" formatCode="0"/>
      <fill>
        <patternFill patternType="none">
          <fgColor indexed="64"/>
          <bgColor indexed="65"/>
        </patternFill>
      </fill>
      <alignment horizontal="center" vertical="bottom" textRotation="0" wrapText="0" indent="0" justifyLastLine="0" shrinkToFit="0" readingOrder="0"/>
    </dxf>
    <dxf>
      <border diagonalUp="0" diagonalDown="0" outline="0">
        <left/>
        <right/>
        <top/>
        <bottom/>
      </border>
    </dxf>
    <dxf>
      <numFmt numFmtId="0" formatCode="General"/>
      <fill>
        <patternFill patternType="none">
          <fgColor indexed="64"/>
          <bgColor indexed="65"/>
        </patternFill>
      </fill>
      <alignment horizontal="general" vertical="bottom" textRotation="0" wrapText="0" indent="0" justifyLastLine="0" shrinkToFit="0" readingOrder="0"/>
    </dxf>
    <dxf>
      <border diagonalUp="0" diagonalDown="0" outline="0">
        <left/>
        <right/>
        <top/>
        <bottom/>
      </border>
    </dxf>
    <dxf>
      <numFmt numFmtId="0" formatCode="General"/>
      <fill>
        <patternFill patternType="none">
          <fgColor indexed="64"/>
          <bgColor indexed="65"/>
        </patternFill>
      </fill>
      <alignment horizontal="left"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color theme="0"/>
      </font>
      <fill>
        <patternFill>
          <bgColor rgb="FFFF0000"/>
        </patternFill>
      </fill>
    </dxf>
    <dxf>
      <font>
        <color theme="0"/>
      </font>
      <fill>
        <patternFill>
          <bgColor rgb="FFFF0000"/>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border outline="0">
        <top style="thin">
          <color theme="1"/>
        </top>
      </border>
    </dxf>
    <dxf>
      <font>
        <color theme="0"/>
      </font>
      <fill>
        <patternFill>
          <bgColor rgb="FFFF0000"/>
        </patternFill>
      </fill>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right/>
        <top/>
        <bottom/>
      </border>
    </dxf>
    <dxf>
      <alignment horizontal="left" vertical="bottom" textRotation="0" wrapText="0" indent="0" justifyLastLine="0" shrinkToFit="0" readingOrder="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outline="0">
        <left/>
        <right/>
        <top/>
        <bottom/>
      </border>
    </dxf>
    <dxf>
      <numFmt numFmtId="1" formatCode="0"/>
      <fill>
        <patternFill patternType="none">
          <fgColor indexed="64"/>
          <bgColor indexed="65"/>
        </patternFill>
      </fill>
      <alignment horizontal="center" vertical="bottom" textRotation="0" wrapText="0" indent="0" justifyLastLine="0" shrinkToFit="0" readingOrder="0"/>
    </dxf>
    <dxf>
      <border diagonalUp="0" diagonalDown="0" outline="0">
        <left/>
        <right/>
        <top/>
        <bottom/>
      </border>
    </dxf>
    <dxf>
      <numFmt numFmtId="0" formatCode="General"/>
      <fill>
        <patternFill patternType="none">
          <fgColor indexed="64"/>
          <bgColor indexed="65"/>
        </patternFill>
      </fill>
      <alignment horizontal="general" vertical="bottom" textRotation="0" wrapText="0" indent="0" justifyLastLine="0" shrinkToFit="0" readingOrder="0"/>
    </dxf>
    <dxf>
      <border diagonalUp="0" diagonalDown="0" outline="0">
        <left/>
        <right/>
        <top/>
        <bottom/>
      </border>
    </dxf>
    <dxf>
      <numFmt numFmtId="0" formatCode="General"/>
      <fill>
        <patternFill patternType="none">
          <fgColor indexed="64"/>
          <bgColor indexed="65"/>
        </patternFill>
      </fill>
      <alignment horizontal="left"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color theme="0"/>
      </font>
      <fill>
        <patternFill>
          <bgColor rgb="FFFF0000"/>
        </patternFill>
      </fill>
    </dxf>
    <dxf>
      <font>
        <b val="0"/>
        <i val="0"/>
        <strike val="0"/>
        <condense val="0"/>
        <extend val="0"/>
        <outline val="0"/>
        <shadow val="0"/>
        <u val="none"/>
        <vertAlign val="baseline"/>
        <sz val="10"/>
        <color theme="1"/>
        <name val="Calibri"/>
        <scheme val="minor"/>
      </font>
      <alignment horizontal="center" vertical="bottom"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4" tint="-0.249977111117893"/>
        <name val="Calibri"/>
        <scheme val="minor"/>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Calibri"/>
        <scheme val="minor"/>
      </font>
      <alignment horizontal="center"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outline="0">
        <left style="thin">
          <color rgb="FF000000"/>
        </left>
        <right style="thin">
          <color rgb="FF000000"/>
        </right>
        <top/>
        <bottom/>
      </border>
    </dxf>
    <dxf>
      <fill>
        <patternFill>
          <bgColor rgb="FFFFFF00"/>
        </patternFill>
      </fill>
    </dxf>
    <dxf>
      <font>
        <b/>
        <i val="0"/>
        <strike val="0"/>
        <condense val="0"/>
        <extend val="0"/>
        <outline val="0"/>
        <shadow val="0"/>
        <u val="none"/>
        <vertAlign val="baseline"/>
        <sz val="11"/>
        <color theme="4" tint="-0.249977111117893"/>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4" tint="-0.249977111117893"/>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4" tint="-0.249977111117893"/>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4" tint="-0.249977111117893"/>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4" tint="-0.249977111117893"/>
        <name val="Calibri"/>
        <scheme val="minor"/>
      </font>
      <fill>
        <patternFill patternType="none">
          <fgColor indexed="64"/>
          <bgColor indexed="65"/>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0"/>
        <color theme="4" tint="-0.249977111117893"/>
        <name val="Calibri"/>
        <scheme val="minor"/>
      </font>
      <fill>
        <patternFill patternType="none">
          <fgColor indexed="64"/>
          <bgColor indexed="65"/>
        </patternFill>
      </fill>
      <alignment horizontal="center" vertical="bottom" textRotation="0" wrapText="1" indent="0" justifyLastLine="0" shrinkToFit="0" readingOrder="0"/>
    </dxf>
    <dxf>
      <font>
        <b/>
        <i val="0"/>
        <strike val="0"/>
        <condense val="0"/>
        <extend val="0"/>
        <outline val="0"/>
        <shadow val="0"/>
        <u val="none"/>
        <vertAlign val="baseline"/>
        <sz val="10"/>
        <color theme="4" tint="-0.249977111117893"/>
        <name val="Calibri"/>
        <scheme val="minor"/>
      </font>
      <numFmt numFmtId="1" formatCode="0"/>
      <fill>
        <patternFill patternType="none">
          <fgColor indexed="64"/>
          <bgColor auto="1"/>
        </patternFill>
      </fill>
      <alignment horizontal="center" vertical="bottom" textRotation="0" wrapText="1" indent="0" justifyLastLine="0" shrinkToFit="0" readingOrder="0"/>
      <border diagonalUp="0" diagonalDown="0">
        <left style="thin">
          <color rgb="FF000000"/>
        </left>
        <right/>
        <top style="thin">
          <color rgb="FF000000"/>
        </top>
        <bottom style="thin">
          <color rgb="FF000000"/>
        </bottom>
      </border>
    </dxf>
    <dxf>
      <font>
        <b val="0"/>
        <i val="0"/>
        <strike val="0"/>
        <condense val="0"/>
        <extend val="0"/>
        <outline val="0"/>
        <shadow val="0"/>
        <u val="none"/>
        <vertAlign val="baseline"/>
        <sz val="11"/>
        <color theme="4" tint="-0.249977111117893"/>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numFmt numFmtId="1" formatCode="0"/>
      <alignment horizontal="center" vertical="bottom" textRotation="0" wrapText="0" indent="0" justifyLastLine="0" shrinkToFit="0" readingOrder="0"/>
      <border diagonalUp="0" diagonalDown="0" outline="0">
        <left/>
        <right/>
        <top style="thin">
          <color theme="4"/>
        </top>
        <bottom style="thin">
          <color theme="4"/>
        </bottom>
      </border>
    </dxf>
    <dxf>
      <font>
        <b val="0"/>
        <i val="0"/>
        <strike val="0"/>
        <condense val="0"/>
        <extend val="0"/>
        <outline val="0"/>
        <shadow val="0"/>
        <u val="none"/>
        <vertAlign val="baseline"/>
        <sz val="11"/>
        <color theme="4" tint="-0.249977111117893"/>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numFmt numFmtId="1" formatCode="0"/>
      <alignment horizontal="center" vertical="bottom" textRotation="0" wrapText="0" indent="0" justifyLastLine="0" shrinkToFit="0" readingOrder="0"/>
      <border diagonalUp="0" diagonalDown="0" outline="0">
        <left/>
        <right/>
        <top style="thin">
          <color theme="4"/>
        </top>
        <bottom style="thin">
          <color theme="4"/>
        </bottom>
      </border>
    </dxf>
    <dxf>
      <font>
        <b val="0"/>
        <i val="0"/>
        <strike val="0"/>
        <condense val="0"/>
        <extend val="0"/>
        <outline val="0"/>
        <shadow val="0"/>
        <u val="none"/>
        <vertAlign val="baseline"/>
        <sz val="11"/>
        <color theme="4" tint="-0.249977111117893"/>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numFmt numFmtId="1" formatCode="0"/>
      <alignment horizontal="center" vertical="bottom" textRotation="0" wrapText="0" indent="0" justifyLastLine="0" shrinkToFit="0" readingOrder="0"/>
      <border diagonalUp="0" diagonalDown="0" outline="0">
        <left/>
        <right/>
        <top style="thin">
          <color theme="4"/>
        </top>
        <bottom style="thin">
          <color theme="4"/>
        </bottom>
      </border>
    </dxf>
    <dxf>
      <font>
        <b val="0"/>
        <i val="0"/>
        <strike val="0"/>
        <condense val="0"/>
        <extend val="0"/>
        <outline val="0"/>
        <shadow val="0"/>
        <u val="none"/>
        <vertAlign val="baseline"/>
        <sz val="11"/>
        <color theme="4" tint="-0.249977111117893"/>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numFmt numFmtId="1" formatCode="0"/>
      <alignment horizontal="center" vertical="bottom" textRotation="0" wrapText="0" indent="0" justifyLastLine="0" shrinkToFit="0" readingOrder="0"/>
      <border diagonalUp="0" diagonalDown="0" outline="0">
        <left/>
        <right/>
        <top style="thin">
          <color theme="4"/>
        </top>
        <bottom style="thin">
          <color theme="4"/>
        </bottom>
      </border>
    </dxf>
    <dxf>
      <font>
        <b val="0"/>
        <i val="0"/>
        <strike val="0"/>
        <condense val="0"/>
        <extend val="0"/>
        <outline val="0"/>
        <shadow val="0"/>
        <u val="none"/>
        <vertAlign val="baseline"/>
        <sz val="11"/>
        <color theme="4" tint="-0.249977111117893"/>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numFmt numFmtId="1" formatCode="0"/>
      <alignment horizontal="center" vertical="bottom" textRotation="0" wrapText="0" indent="0" justifyLastLine="0" shrinkToFit="0" readingOrder="0"/>
      <border diagonalUp="0" diagonalDown="0" outline="0">
        <left/>
        <right/>
        <top style="thin">
          <color theme="4"/>
        </top>
        <bottom style="thin">
          <color theme="4"/>
        </bottom>
      </border>
    </dxf>
    <dxf>
      <font>
        <b val="0"/>
        <i val="0"/>
        <strike val="0"/>
        <condense val="0"/>
        <extend val="0"/>
        <outline val="0"/>
        <shadow val="0"/>
        <u val="none"/>
        <vertAlign val="baseline"/>
        <sz val="11"/>
        <color theme="4" tint="-0.249977111117893"/>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numFmt numFmtId="1" formatCode="0"/>
      <alignment horizontal="center" vertical="bottom" textRotation="0" wrapText="0" indent="0" justifyLastLine="0" shrinkToFit="0" readingOrder="0"/>
      <border diagonalUp="0" diagonalDown="0" outline="0">
        <left/>
        <right/>
        <top style="thin">
          <color theme="4"/>
        </top>
        <bottom style="thin">
          <color theme="4"/>
        </bottom>
      </border>
    </dxf>
    <dxf>
      <font>
        <b val="0"/>
        <i val="0"/>
        <strike val="0"/>
        <condense val="0"/>
        <extend val="0"/>
        <outline val="0"/>
        <shadow val="0"/>
        <u val="none"/>
        <vertAlign val="baseline"/>
        <sz val="11"/>
        <color theme="4" tint="-0.249977111117893"/>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numFmt numFmtId="1" formatCode="0"/>
      <alignment horizontal="center" vertical="bottom" textRotation="0" wrapText="0" indent="0" justifyLastLine="0" shrinkToFit="0" readingOrder="0"/>
      <border diagonalUp="0" diagonalDown="0" outline="0">
        <left/>
        <right/>
        <top style="thin">
          <color theme="4"/>
        </top>
        <bottom style="thin">
          <color theme="4"/>
        </bottom>
      </border>
    </dxf>
    <dxf>
      <font>
        <b val="0"/>
        <i val="0"/>
        <strike val="0"/>
        <condense val="0"/>
        <extend val="0"/>
        <outline val="0"/>
        <shadow val="0"/>
        <u val="none"/>
        <vertAlign val="baseline"/>
        <sz val="11"/>
        <color theme="4" tint="-0.249977111117893"/>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4" tint="-0.249977111117893"/>
        <name val="Calibri"/>
        <scheme val="minor"/>
      </font>
      <numFmt numFmtId="0" formatCode="General"/>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4" tint="-0.249977111117893"/>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4" tint="-0.249977111117893"/>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border outline="0">
        <top style="thin">
          <color theme="4"/>
        </top>
      </border>
    </dxf>
    <dxf>
      <font>
        <b val="0"/>
        <i val="0"/>
        <strike val="0"/>
        <condense val="0"/>
        <extend val="0"/>
        <outline val="0"/>
        <shadow val="0"/>
        <u val="none"/>
        <vertAlign val="baseline"/>
        <sz val="11"/>
        <color theme="4" tint="-0.249977111117893"/>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4" tint="-0.249977111117893"/>
        <name val="Calibri"/>
        <scheme val="minor"/>
      </font>
      <alignment horizontal="center" vertical="center" textRotation="0" wrapText="0" indent="0" justifyLastLine="0" shrinkToFit="0" readingOrder="0"/>
    </dxf>
    <dxf>
      <font>
        <color theme="0"/>
      </font>
      <fill>
        <patternFill>
          <bgColor rgb="FFFF0000"/>
        </patternFill>
      </fill>
    </dxf>
    <dxf>
      <font>
        <color theme="0"/>
      </font>
      <fill>
        <patternFill>
          <bgColor rgb="FFFF0000"/>
        </patternFill>
      </fill>
    </dxf>
    <dxf>
      <border>
        <left style="thin">
          <color theme="4"/>
        </left>
        <right style="thin">
          <color theme="4"/>
        </right>
        <top style="thin">
          <color theme="4"/>
        </top>
        <bottom style="thin">
          <color theme="4"/>
        </bottom>
        <vertical/>
        <horizontal/>
      </border>
    </dxf>
    <dxf>
      <font>
        <color theme="3"/>
      </font>
      <fill>
        <patternFill>
          <bgColor theme="5" tint="0.79998168889431442"/>
        </patternFill>
      </fill>
    </dxf>
    <dxf>
      <border>
        <left style="thin">
          <color theme="4"/>
        </left>
        <right style="thin">
          <color theme="4"/>
        </right>
        <top style="thin">
          <color theme="4"/>
        </top>
        <bottom style="thin">
          <color theme="4"/>
        </bottom>
        <vertical/>
        <horizontal/>
      </border>
    </dxf>
    <dxf>
      <font>
        <b/>
        <i val="0"/>
        <color rgb="FF00B050"/>
      </font>
    </dxf>
    <dxf>
      <font>
        <b/>
        <i val="0"/>
        <color rgb="FFFF0000"/>
      </font>
    </dxf>
    <dxf>
      <border>
        <left style="thin">
          <color theme="9" tint="-0.24994659260841701"/>
        </left>
        <right style="thin">
          <color theme="9" tint="-0.24994659260841701"/>
        </right>
        <top style="thin">
          <color theme="9" tint="-0.24994659260841701"/>
        </top>
        <bottom style="thin">
          <color theme="9" tint="-0.24994659260841701"/>
        </bottom>
        <vertical/>
        <horizontal/>
      </border>
    </dxf>
    <dxf>
      <border>
        <left style="thin">
          <color rgb="FFFF0000"/>
        </left>
        <right style="thin">
          <color rgb="FFFF0000"/>
        </right>
        <top style="thin">
          <color rgb="FFFF0000"/>
        </top>
        <bottom style="thin">
          <color rgb="FFFF0000"/>
        </bottom>
        <vertical/>
        <horizontal/>
      </border>
    </dxf>
    <dxf>
      <font>
        <color theme="0"/>
      </font>
      <fill>
        <patternFill>
          <bgColor theme="5" tint="0.39994506668294322"/>
        </patternFill>
      </fill>
    </dxf>
    <dxf>
      <font>
        <color theme="0"/>
      </font>
      <fill>
        <patternFill>
          <bgColor theme="5" tint="0.39994506668294322"/>
        </patternFill>
      </fill>
      <border>
        <left style="thin">
          <color theme="0"/>
        </left>
        <right style="thin">
          <color theme="0"/>
        </right>
        <top style="thin">
          <color theme="0"/>
        </top>
        <bottom style="thin">
          <color theme="0"/>
        </bottom>
        <vertical/>
        <horizontal/>
      </border>
    </dxf>
    <dxf>
      <font>
        <color theme="0"/>
      </font>
      <fill>
        <patternFill>
          <bgColor rgb="FFFF0000"/>
        </patternFill>
      </fill>
    </dxf>
    <dxf>
      <font>
        <color theme="3"/>
      </font>
      <fill>
        <patternFill>
          <bgColor theme="2" tint="-9.9948118533890809E-2"/>
        </patternFill>
      </fill>
      <border>
        <left style="thin">
          <color theme="0"/>
        </left>
        <right style="thin">
          <color theme="0"/>
        </right>
        <top style="thin">
          <color theme="0"/>
        </top>
        <bottom style="thin">
          <color theme="0"/>
        </bottom>
      </border>
    </dxf>
    <dxf>
      <border>
        <left style="thin">
          <color theme="4"/>
        </left>
        <right style="thin">
          <color theme="4"/>
        </right>
        <top style="thin">
          <color theme="4"/>
        </top>
        <bottom style="thin">
          <color theme="4"/>
        </bottom>
        <vertical/>
        <horizontal/>
      </border>
    </dxf>
    <dxf>
      <border>
        <left style="thin">
          <color rgb="FFFF0000"/>
        </left>
        <right style="thin">
          <color rgb="FFFF0000"/>
        </right>
        <top style="thin">
          <color rgb="FFFF0000"/>
        </top>
        <bottom style="thin">
          <color rgb="FFFF0000"/>
        </bottom>
        <vertical/>
        <horizontal/>
      </border>
    </dxf>
    <dxf>
      <font>
        <color theme="3"/>
      </font>
      <fill>
        <patternFill>
          <bgColor theme="2" tint="-9.9948118533890809E-2"/>
        </patternFill>
      </fill>
    </dxf>
    <dxf>
      <fill>
        <patternFill>
          <bgColor rgb="FFFFFF99"/>
        </patternFill>
      </fill>
    </dxf>
    <dxf>
      <fill>
        <patternFill patternType="solid">
          <fgColor rgb="FFE8F0FE"/>
          <bgColor rgb="FFE8F0FE"/>
        </patternFill>
      </fill>
    </dxf>
    <dxf>
      <fill>
        <patternFill patternType="solid">
          <fgColor rgb="FFFFFFFF"/>
          <bgColor rgb="FFFFFFFF"/>
        </patternFill>
      </fill>
    </dxf>
    <dxf>
      <fill>
        <patternFill patternType="solid">
          <fgColor rgb="FFDEEAF6"/>
          <bgColor rgb="FFDEEAF6"/>
        </patternFill>
      </fill>
    </dxf>
    <dxf>
      <fill>
        <patternFill patternType="solid">
          <fgColor rgb="FFDEEAF6"/>
          <bgColor rgb="FFDEEAF6"/>
        </patternFill>
      </fill>
    </dxf>
    <dxf>
      <fill>
        <patternFill patternType="solid">
          <fgColor theme="0"/>
          <bgColor theme="0"/>
        </patternFill>
      </fill>
    </dxf>
    <dxf>
      <fill>
        <patternFill patternType="solid">
          <fgColor rgb="FFE8F0FE"/>
          <bgColor rgb="FFE8F0FE"/>
        </patternFill>
      </fill>
    </dxf>
    <dxf>
      <fill>
        <patternFill patternType="solid">
          <fgColor rgb="FFFFFFFF"/>
          <bgColor rgb="FFFFFFFF"/>
        </patternFill>
      </fill>
    </dxf>
    <dxf>
      <fill>
        <patternFill patternType="solid">
          <fgColor rgb="FFE8F0FE"/>
          <bgColor rgb="FFE8F0FE"/>
        </patternFill>
      </fill>
    </dxf>
    <dxf>
      <fill>
        <patternFill patternType="solid">
          <fgColor rgb="FFFFFFFF"/>
          <bgColor rgb="FFFFFFFF"/>
        </patternFill>
      </fill>
    </dxf>
    <dxf>
      <fill>
        <patternFill patternType="solid">
          <fgColor rgb="FFE8F0FE"/>
          <bgColor rgb="FFE8F0FE"/>
        </patternFill>
      </fill>
    </dxf>
    <dxf>
      <fill>
        <patternFill patternType="solid">
          <fgColor rgb="FFFFFFFF"/>
          <bgColor rgb="FFFFFFFF"/>
        </patternFill>
      </fill>
    </dxf>
    <dxf>
      <fill>
        <patternFill patternType="solid">
          <fgColor rgb="FFE8F0FE"/>
          <bgColor rgb="FFE8F0FE"/>
        </patternFill>
      </fill>
    </dxf>
    <dxf>
      <fill>
        <patternFill patternType="solid">
          <fgColor rgb="FFFFFFFF"/>
          <bgColor rgb="FFFFFFFF"/>
        </patternFill>
      </fill>
    </dxf>
    <dxf>
      <fill>
        <patternFill patternType="solid">
          <fgColor rgb="FFDEEAF6"/>
          <bgColor rgb="FFDEEAF6"/>
        </patternFill>
      </fill>
    </dxf>
    <dxf>
      <fill>
        <patternFill patternType="solid">
          <fgColor rgb="FFDEEAF6"/>
          <bgColor rgb="FFDEEAF6"/>
        </patternFill>
      </fill>
    </dxf>
    <dxf>
      <fill>
        <patternFill patternType="solid">
          <fgColor theme="0"/>
          <bgColor theme="0"/>
        </patternFill>
      </fill>
    </dxf>
  </dxfs>
  <tableStyles count="7" defaultTableStyle="TableStyleMedium2" defaultPivotStyle="PivotStyleLight16">
    <tableStyle name="1st Submission-style" pivot="0" count="3">
      <tableStyleElement type="headerRow" dxfId="259"/>
      <tableStyleElement type="firstRowStripe" dxfId="258"/>
      <tableStyleElement type="secondRowStripe" dxfId="257"/>
    </tableStyle>
    <tableStyle name="2nd Submission-style" pivot="0" count="2">
      <tableStyleElement type="firstRowStripe" dxfId="256"/>
      <tableStyleElement type="secondRowStripe" dxfId="255"/>
    </tableStyle>
    <tableStyle name="3rd Submission-style" pivot="0" count="2">
      <tableStyleElement type="firstRowStripe" dxfId="254"/>
      <tableStyleElement type="secondRowStripe" dxfId="253"/>
    </tableStyle>
    <tableStyle name="3rd Submission-style 2" pivot="0" count="2">
      <tableStyleElement type="firstRowStripe" dxfId="252"/>
      <tableStyleElement type="secondRowStripe" dxfId="251"/>
    </tableStyle>
    <tableStyle name="3rd Submission-style 3" pivot="0" count="2">
      <tableStyleElement type="firstRowStripe" dxfId="250"/>
      <tableStyleElement type="secondRowStripe" dxfId="249"/>
    </tableStyle>
    <tableStyle name="Lab 2-style" pivot="0" count="3">
      <tableStyleElement type="headerRow" dxfId="248"/>
      <tableStyleElement type="firstRowStripe" dxfId="247"/>
      <tableStyleElement type="secondRowStripe" dxfId="246"/>
    </tableStyle>
    <tableStyle name="Marks-style" pivot="0" count="2">
      <tableStyleElement type="firstRowStripe" dxfId="245"/>
      <tableStyleElement type="secondRowStripe" dxfId="244"/>
    </tableStyle>
  </tableStyles>
  <colors>
    <mruColors>
      <color rgb="FFFFFF99"/>
      <color rgb="FFFFFFCC"/>
      <color rgb="FFF2DCDB"/>
      <color rgb="FFFFD5D5"/>
      <color rgb="FFFFE5E5"/>
      <color rgb="FFFFCCCC"/>
      <color rgb="FFE9E9C1"/>
      <color rgb="FFC2D3E8"/>
      <color rgb="FF9EB9DA"/>
      <color rgb="FFDB97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WitsEIE/Courses/ELEN3009-Software-Development-II/Marks/elen3009-marks-2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WitsEIE/Courses/ELEN4010-Software-Development-III/Marks/elen4010-marks-2023.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tats"/>
      <sheetName val="Engagement"/>
      <sheetName val="Test"/>
      <sheetName val="Project"/>
      <sheetName val="Exam"/>
      <sheetName val="Def"/>
      <sheetName val="Sup"/>
      <sheetName val="1st Submission"/>
      <sheetName val="2nd Submission"/>
      <sheetName val="GitHub Reg"/>
      <sheetName val="3rd Submission"/>
      <sheetName val="Lab 1"/>
      <sheetName val="Lab 2"/>
      <sheetName val="Upload Test"/>
      <sheetName val="UlwaziOld"/>
      <sheetName val="Ulwazi Export"/>
      <sheetName val="Upload Lab"/>
      <sheetName val="Upload Lab Comments"/>
      <sheetName val="Upload Project"/>
      <sheetName val="Upload 2nd Project Sub"/>
      <sheetName val="elen3009-marks-2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tats"/>
      <sheetName val="Moeniera Upload"/>
      <sheetName val="Captured"/>
      <sheetName val="Exam"/>
      <sheetName val="Def"/>
      <sheetName val="Exam-MCQ"/>
      <sheetName val="Def-Sup-MCQ"/>
      <sheetName val="Sup"/>
      <sheetName val="Template"/>
      <sheetName val="Group Lab - Group Marks"/>
      <sheetName val="Group Lab - Individual Marks"/>
      <sheetName val="Ulwazi Export"/>
      <sheetName val="Ulwazi Upload"/>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Student</v>
          </cell>
          <cell r="B1" t="str">
            <v>ID</v>
          </cell>
          <cell r="C1" t="str">
            <v>SIS User ID</v>
          </cell>
          <cell r="D1" t="str">
            <v>SIS Login ID</v>
          </cell>
          <cell r="E1" t="str">
            <v>Integration ID</v>
          </cell>
          <cell r="F1" t="str">
            <v>Section</v>
          </cell>
        </row>
        <row r="3">
          <cell r="A3" t="str">
            <v xml:space="preserve">    Points Possible</v>
          </cell>
        </row>
        <row r="6">
          <cell r="A6" t="str">
            <v>Cohen, Sam</v>
          </cell>
          <cell r="B6">
            <v>23892</v>
          </cell>
          <cell r="C6" t="str">
            <v>2168179@students.wits.ac.za</v>
          </cell>
          <cell r="D6" t="str">
            <v>2168179@students.wits.ac.za</v>
          </cell>
          <cell r="E6">
            <v>2168179</v>
          </cell>
          <cell r="F6" t="str">
            <v>Software Development III-2023-GEN</v>
          </cell>
        </row>
        <row r="7">
          <cell r="A7" t="str">
            <v>Daras, Maria</v>
          </cell>
          <cell r="B7">
            <v>24157</v>
          </cell>
          <cell r="C7" t="str">
            <v>2118894@students.wits.ac.za</v>
          </cell>
          <cell r="D7" t="str">
            <v>2118894@students.wits.ac.za</v>
          </cell>
          <cell r="E7">
            <v>2118894</v>
          </cell>
          <cell r="F7" t="str">
            <v>Software Development III-2023-GEN</v>
          </cell>
        </row>
        <row r="8">
          <cell r="A8" t="str">
            <v>Docrat, Hamzah</v>
          </cell>
          <cell r="B8">
            <v>30231</v>
          </cell>
          <cell r="C8" t="str">
            <v>2366542@students.wits.ac.za</v>
          </cell>
          <cell r="D8" t="str">
            <v>2366542@students.wits.ac.za</v>
          </cell>
          <cell r="E8">
            <v>2366542</v>
          </cell>
          <cell r="F8" t="str">
            <v>Software Development III-2023-GEN</v>
          </cell>
        </row>
        <row r="9">
          <cell r="A9" t="str">
            <v>Elliott, Taine</v>
          </cell>
          <cell r="B9">
            <v>24785</v>
          </cell>
          <cell r="C9" t="str">
            <v>2129200@students.wits.ac.za</v>
          </cell>
          <cell r="D9" t="str">
            <v>2129200@students.wits.ac.za</v>
          </cell>
          <cell r="E9">
            <v>2129200</v>
          </cell>
          <cell r="F9" t="str">
            <v>Software Development III-2023-GEN</v>
          </cell>
        </row>
        <row r="10">
          <cell r="A10" t="str">
            <v>Ellis, Reuben</v>
          </cell>
          <cell r="B10">
            <v>24210</v>
          </cell>
          <cell r="C10" t="str">
            <v>2173105@students.wits.ac.za</v>
          </cell>
          <cell r="D10" t="str">
            <v>2173105@students.wits.ac.za</v>
          </cell>
          <cell r="E10">
            <v>2173105</v>
          </cell>
          <cell r="F10" t="str">
            <v>Software Development III-2023-GEN</v>
          </cell>
        </row>
        <row r="11">
          <cell r="A11" t="str">
            <v>Grahn, Bryce</v>
          </cell>
          <cell r="B11">
            <v>25632</v>
          </cell>
          <cell r="C11" t="str">
            <v>2138347@students.wits.ac.za</v>
          </cell>
          <cell r="D11" t="str">
            <v>2138347@students.wits.ac.za</v>
          </cell>
          <cell r="E11">
            <v>2138347</v>
          </cell>
          <cell r="F11" t="str">
            <v>Software Development III-2023-GEN</v>
          </cell>
        </row>
        <row r="12">
          <cell r="A12" t="str">
            <v>Hammond, Meg</v>
          </cell>
          <cell r="B12">
            <v>22519</v>
          </cell>
          <cell r="C12" t="str">
            <v>1876127@students.wits.ac.za</v>
          </cell>
          <cell r="D12" t="str">
            <v>1876127@students.wits.ac.za</v>
          </cell>
          <cell r="E12">
            <v>1876127</v>
          </cell>
          <cell r="F12" t="str">
            <v>Software Development III-2023-GEN</v>
          </cell>
        </row>
        <row r="13">
          <cell r="A13" t="str">
            <v>Hunter, Miguel</v>
          </cell>
          <cell r="B13">
            <v>26324</v>
          </cell>
          <cell r="C13" t="str">
            <v>2143227@students.wits.ac.za</v>
          </cell>
          <cell r="D13" t="str">
            <v>2143227@students.wits.ac.za</v>
          </cell>
          <cell r="E13">
            <v>2143227</v>
          </cell>
          <cell r="F13" t="str">
            <v>Software Development III-2023-GEN</v>
          </cell>
        </row>
        <row r="14">
          <cell r="A14" t="str">
            <v>Jali, Thabani</v>
          </cell>
          <cell r="B14">
            <v>22535</v>
          </cell>
          <cell r="C14" t="str">
            <v>1876297@students.wits.ac.za</v>
          </cell>
          <cell r="D14" t="str">
            <v>1876297@students.wits.ac.za</v>
          </cell>
          <cell r="E14">
            <v>1876297</v>
          </cell>
          <cell r="F14" t="str">
            <v>Software Development III-2023-GEN</v>
          </cell>
        </row>
        <row r="15">
          <cell r="A15" t="str">
            <v>Joffe, Ellie</v>
          </cell>
          <cell r="B15">
            <v>38510</v>
          </cell>
          <cell r="C15" t="str">
            <v>2330797@students.wits.ac.za</v>
          </cell>
          <cell r="D15" t="str">
            <v>2330797@students.wits.ac.za</v>
          </cell>
          <cell r="E15">
            <v>2330797</v>
          </cell>
          <cell r="F15" t="str">
            <v>Software Development III-2023-GEN</v>
          </cell>
        </row>
        <row r="16">
          <cell r="A16" t="str">
            <v>Johari, Mannan</v>
          </cell>
          <cell r="B16">
            <v>48273</v>
          </cell>
          <cell r="C16" t="str">
            <v>1832991@students.wits.ac.za</v>
          </cell>
          <cell r="D16" t="str">
            <v>1832991@students.wits.ac.za</v>
          </cell>
          <cell r="E16">
            <v>1832991</v>
          </cell>
          <cell r="F16" t="str">
            <v>Software Development III-2023-GEN</v>
          </cell>
        </row>
        <row r="17">
          <cell r="A17" t="str">
            <v>Kala, Priyanka</v>
          </cell>
          <cell r="B17">
            <v>17090</v>
          </cell>
          <cell r="C17" t="str">
            <v>1146648@students.wits.ac.za</v>
          </cell>
          <cell r="D17" t="str">
            <v>1146648@students.wits.ac.za</v>
          </cell>
          <cell r="E17">
            <v>1146648</v>
          </cell>
          <cell r="F17" t="str">
            <v>Software Development III-2023-GEN</v>
          </cell>
        </row>
        <row r="18">
          <cell r="A18" t="str">
            <v>Kangisser, Gilad</v>
          </cell>
          <cell r="B18">
            <v>30283</v>
          </cell>
          <cell r="C18" t="str">
            <v>2367017@students.wits.ac.za</v>
          </cell>
          <cell r="D18" t="str">
            <v>2367017@students.wits.ac.za</v>
          </cell>
          <cell r="E18">
            <v>2367017</v>
          </cell>
          <cell r="F18" t="str">
            <v>Software Development III-2023-GEN</v>
          </cell>
        </row>
        <row r="19">
          <cell r="A19" t="str">
            <v>Katz, Jonathan</v>
          </cell>
          <cell r="B19">
            <v>25645</v>
          </cell>
          <cell r="C19" t="str">
            <v>2209317@students.wits.ac.za</v>
          </cell>
          <cell r="D19" t="str">
            <v>2209317@students.wits.ac.za</v>
          </cell>
          <cell r="E19">
            <v>2209317</v>
          </cell>
          <cell r="F19" t="str">
            <v>Software Development III-2023-GEN</v>
          </cell>
        </row>
        <row r="20">
          <cell r="A20" t="str">
            <v>Kgatla, Karabo</v>
          </cell>
          <cell r="B20">
            <v>16272</v>
          </cell>
          <cell r="C20" t="str">
            <v>1396372@students.wits.ac.za</v>
          </cell>
          <cell r="D20" t="str">
            <v>1396372@students.wits.ac.za</v>
          </cell>
          <cell r="E20">
            <v>1396372</v>
          </cell>
          <cell r="F20" t="str">
            <v>Software Development III-2023-GEN</v>
          </cell>
        </row>
        <row r="21">
          <cell r="A21" t="str">
            <v>Kunene, Sandile</v>
          </cell>
          <cell r="B21">
            <v>25451</v>
          </cell>
          <cell r="C21" t="str">
            <v>2103084@students.wits.ac.za</v>
          </cell>
          <cell r="D21" t="str">
            <v>2103084@students.wits.ac.za</v>
          </cell>
          <cell r="E21">
            <v>2103084</v>
          </cell>
          <cell r="F21" t="str">
            <v>Software Development III-2023-GEN</v>
          </cell>
        </row>
        <row r="22">
          <cell r="A22" t="str">
            <v>Lorgat, Sameer</v>
          </cell>
          <cell r="B22">
            <v>25069</v>
          </cell>
          <cell r="C22" t="str">
            <v>2306202@students.wits.ac.za</v>
          </cell>
          <cell r="D22" t="str">
            <v>2306202@students.wits.ac.za</v>
          </cell>
          <cell r="E22">
            <v>2306202</v>
          </cell>
          <cell r="F22" t="str">
            <v>Software Development III-2023-GEN</v>
          </cell>
        </row>
        <row r="23">
          <cell r="A23" t="str">
            <v>Mantsha, Rotenda</v>
          </cell>
          <cell r="B23">
            <v>24862</v>
          </cell>
          <cell r="C23" t="str">
            <v>2305164@students.wits.ac.za</v>
          </cell>
          <cell r="D23" t="str">
            <v>2305164@students.wits.ac.za</v>
          </cell>
          <cell r="E23">
            <v>2305164</v>
          </cell>
          <cell r="F23" t="str">
            <v>Software Development III-2023-GEN</v>
          </cell>
        </row>
        <row r="24">
          <cell r="A24" t="str">
            <v>Marantos, George</v>
          </cell>
          <cell r="B24">
            <v>23756</v>
          </cell>
          <cell r="C24" t="str">
            <v>2116287@students.wits.ac.za</v>
          </cell>
          <cell r="D24" t="str">
            <v>2116287@students.wits.ac.za</v>
          </cell>
          <cell r="E24">
            <v>2116287</v>
          </cell>
          <cell r="F24" t="str">
            <v>Software Development III-2023-GEN</v>
          </cell>
        </row>
        <row r="25">
          <cell r="A25" t="str">
            <v>Mashinini, Thamsanqa</v>
          </cell>
          <cell r="B25">
            <v>42458</v>
          </cell>
          <cell r="C25" t="str">
            <v>2107610@students.wits.ac.za</v>
          </cell>
          <cell r="D25" t="str">
            <v>2107610@students.wits.ac.za</v>
          </cell>
          <cell r="E25">
            <v>2107610</v>
          </cell>
          <cell r="F25" t="str">
            <v>Software Development III-2023-GEN</v>
          </cell>
        </row>
        <row r="26">
          <cell r="A26" t="str">
            <v>Mathipa, Christina</v>
          </cell>
          <cell r="B26">
            <v>39902</v>
          </cell>
          <cell r="C26" t="str">
            <v>1856076@students.wits.ac.za</v>
          </cell>
          <cell r="D26" t="str">
            <v>1856076@students.wits.ac.za</v>
          </cell>
          <cell r="E26">
            <v>1856076</v>
          </cell>
          <cell r="F26" t="str">
            <v>Software Development III-2023-GEN</v>
          </cell>
        </row>
        <row r="27">
          <cell r="A27" t="str">
            <v>Moolla, Ahmad</v>
          </cell>
          <cell r="B27">
            <v>27873</v>
          </cell>
          <cell r="C27" t="str">
            <v>2327728@students.wits.ac.za</v>
          </cell>
          <cell r="D27" t="str">
            <v>2327728@students.wits.ac.za</v>
          </cell>
          <cell r="E27">
            <v>2327728</v>
          </cell>
          <cell r="F27" t="str">
            <v>Software Development III-2023-GEN</v>
          </cell>
        </row>
        <row r="28">
          <cell r="A28" t="str">
            <v>Norat, Arshad</v>
          </cell>
          <cell r="B28">
            <v>51950</v>
          </cell>
          <cell r="C28" t="str">
            <v>2023202@students.wits.ac.za</v>
          </cell>
          <cell r="D28" t="str">
            <v>2023202@students.wits.ac.za</v>
          </cell>
          <cell r="E28">
            <v>2023202</v>
          </cell>
          <cell r="F28" t="str">
            <v>Software Development III-2023-GEN</v>
          </cell>
        </row>
        <row r="29">
          <cell r="A29" t="str">
            <v>Peretz, Liad</v>
          </cell>
          <cell r="B29">
            <v>31042</v>
          </cell>
          <cell r="C29" t="str">
            <v>2373287@students.wits.ac.za</v>
          </cell>
          <cell r="D29" t="str">
            <v>2373287@students.wits.ac.za</v>
          </cell>
          <cell r="E29">
            <v>2373287</v>
          </cell>
          <cell r="F29" t="str">
            <v>Software Development III-2023-GEN</v>
          </cell>
        </row>
        <row r="30">
          <cell r="A30" t="str">
            <v>Radowsky, Asher</v>
          </cell>
          <cell r="B30">
            <v>30246</v>
          </cell>
          <cell r="C30" t="str">
            <v>2366643@students.wits.ac.za</v>
          </cell>
          <cell r="D30" t="str">
            <v>2366643@students.wits.ac.za</v>
          </cell>
          <cell r="E30">
            <v>2366643</v>
          </cell>
          <cell r="F30" t="str">
            <v>Software Development III-2023-GEN</v>
          </cell>
        </row>
        <row r="31">
          <cell r="A31" t="str">
            <v>Sender, Daron</v>
          </cell>
          <cell r="B31">
            <v>29141</v>
          </cell>
          <cell r="C31" t="str">
            <v>2332451@students.wits.ac.za</v>
          </cell>
          <cell r="D31" t="str">
            <v>2332451@students.wits.ac.za</v>
          </cell>
          <cell r="E31">
            <v>2332451</v>
          </cell>
          <cell r="F31" t="str">
            <v>Software Development III-2023-GEN</v>
          </cell>
        </row>
        <row r="32">
          <cell r="A32" t="str">
            <v>Shapiro, Joshua</v>
          </cell>
          <cell r="B32">
            <v>34244</v>
          </cell>
          <cell r="C32" t="str">
            <v>1860900@students.wits.ac.za</v>
          </cell>
          <cell r="D32" t="str">
            <v>1860900@students.wits.ac.za</v>
          </cell>
          <cell r="E32">
            <v>1860900</v>
          </cell>
          <cell r="F32" t="str">
            <v>Software Development III-2023-GEN</v>
          </cell>
        </row>
        <row r="33">
          <cell r="A33" t="str">
            <v>Tar-Mahomed, Mohammed</v>
          </cell>
          <cell r="B33">
            <v>28190</v>
          </cell>
          <cell r="C33" t="str">
            <v>2328822@students.wits.ac.za</v>
          </cell>
          <cell r="D33" t="str">
            <v>2328822@students.wits.ac.za</v>
          </cell>
          <cell r="E33">
            <v>2328822</v>
          </cell>
          <cell r="F33" t="str">
            <v>Software Development III-2023-GEN</v>
          </cell>
        </row>
        <row r="34">
          <cell r="A34" t="str">
            <v>Wright, Ruth-Ann</v>
          </cell>
          <cell r="B34">
            <v>27904</v>
          </cell>
          <cell r="C34" t="str">
            <v>2351852@students.wits.ac.za</v>
          </cell>
          <cell r="D34" t="str">
            <v>2351852@students.wits.ac.za</v>
          </cell>
          <cell r="E34">
            <v>2351852</v>
          </cell>
          <cell r="F34" t="str">
            <v>Software Development III-2023-GEN</v>
          </cell>
        </row>
      </sheetData>
      <sheetData sheetId="13"/>
    </sheetDataSet>
  </externalBook>
</externalLink>
</file>

<file path=xl/tables/table1.xml><?xml version="1.0" encoding="utf-8"?>
<table xmlns="http://schemas.openxmlformats.org/spreadsheetml/2006/main" id="5" name="Sup" displayName="Sup" ref="A6:K8" totalsRowCount="1" headerRowDxfId="23" dataDxfId="22">
  <autoFilter ref="A6:K7"/>
  <tableColumns count="11">
    <tableColumn id="1" name="Student No." dataDxfId="20" totalsRowDxfId="21"/>
    <tableColumn id="3" name="Name" totalsRowLabel="Averages" dataDxfId="18" totalsRowDxfId="19"/>
    <tableColumn id="5" name="Total (%)" totalsRowFunction="custom" dataDxfId="16" totalsRowDxfId="17">
      <calculatedColumnFormula>IF(ISNUMBER(Sup[Total]),ROUND(Sup[Total]/$D$5*100,0),"")</calculatedColumnFormula>
      <totalsRowFormula>IF(COUNT(Sup[Total (%)])&gt;0,TEXT(AVERAGE(Sup[Total (%)]),"0.0")&amp; "  (" &amp; TEXT(AVERAGE(Sup[Total (%)])/C$5*100,"###") &amp; "%)","")</totalsRowFormula>
    </tableColumn>
    <tableColumn id="12" name="Total" totalsRowFunction="custom" dataDxfId="14" totalsRowDxfId="15">
      <calculatedColumnFormula>IF(NOT(Sup[[#This Row],[Student No.]]=""),(IF(COUNTBLANK(Sup[[#This Row],[MCQ]:[Q5]])=0,SUM(Sup[[#This Row],[MCQ]:[Q5]]),"")),"")</calculatedColumnFormula>
      <totalsRowFormula>IF(COUNT(Sup[Total])&gt;0,TEXT(AVERAGE(Sup[Total]),"0.0")&amp; "  (" &amp; TEXT(AVERAGE(Sup[Total])/D$5*100,"###") &amp; "%)","")</totalsRowFormula>
    </tableColumn>
    <tableColumn id="7" name="MCQ" totalsRowFunction="custom" dataDxfId="12" totalsRowDxfId="13">
      <calculatedColumnFormula>IF(NOT(Sup[[#This Row],[Student No.]]=""), _xlfn.IFNA(INDEX([2]!def_sup_mcq[LenientTotalMark],MATCH(Sup[[#This Row],[Student No.]],[2]!def_sup_mcq[StudentNumberText],0)), "No student"),  "")</calculatedColumnFormula>
      <totalsRowFormula>IF(COUNT(Sup[MCQ])&gt;0,TEXT(AVERAGE(Sup[MCQ]),"0.0")&amp; "  (" &amp; TEXT(AVERAGE(Sup[MCQ])/E$5*100,"###") &amp; "%)","")</totalsRowFormula>
    </tableColumn>
    <tableColumn id="8" name="Q2" totalsRowFunction="custom" dataDxfId="10" totalsRowDxfId="11">
      <totalsRowFormula>IF(COUNT(Sup[Q2])&gt;0,TEXT(AVERAGE(Sup[Q2]),"0.0")&amp; "  (" &amp; TEXT(AVERAGE(Sup[Q2])/F$5*100,"###") &amp; "%)","")</totalsRowFormula>
    </tableColumn>
    <tableColumn id="9" name="Q3" totalsRowFunction="custom" dataDxfId="8" totalsRowDxfId="9">
      <totalsRowFormula>IF(COUNT(Sup[Q3])&gt;0,TEXT(AVERAGE(Sup[Q3]),"0.0")&amp; "  (" &amp; TEXT(AVERAGE(Sup[Q3])/G$5*100,"###") &amp; "%)","")</totalsRowFormula>
    </tableColumn>
    <tableColumn id="10" name="Q4" totalsRowFunction="custom" dataDxfId="6" totalsRowDxfId="7">
      <totalsRowFormula>IF(COUNT(Sup[Q4])&gt;0,TEXT(AVERAGE(Sup[Q4]),"0.0")&amp; "  (" &amp; TEXT(AVERAGE(Sup[Q4])/H$5*100,"###") &amp; "%)","")</totalsRowFormula>
    </tableColumn>
    <tableColumn id="6" name="Q5" totalsRowFunction="custom" dataDxfId="4" totalsRowDxfId="5">
      <totalsRowFormula>IF(COUNT(Sup[Q5])&gt;0,TEXT(AVERAGE(Sup[Q5]),"0.0")&amp; "  (" &amp; TEXT(AVERAGE(Sup[Q5])/I$5*100,"###") &amp; "%)","")</totalsRowFormula>
    </tableColumn>
    <tableColumn id="11" name="Q2-Q5 Total" totalsRowFunction="custom" dataDxfId="2" totalsRowDxfId="3">
      <calculatedColumnFormula>IF(NOT(Sup[[#This Row],[Student No.]]=""),(IF(COUNTBLANK(Sup[[#This Row],[Q2]:[Q5]])=0,SUM(Sup[[#This Row],[Q2]:[Q5]]),"")),"")</calculatedColumnFormula>
      <totalsRowFormula>IF(COUNT(Sup[Q2-Q5 Total])&gt;0,TEXT(AVERAGE(Sup[Q2-Q5 Total]),"0.0")&amp; "  (" &amp; TEXT(AVERAGE(Sup[Q2-Q5 Total])/J$5*100,"###") &amp; "%)","")</totalsRowFormula>
    </tableColumn>
    <tableColumn id="4" name="Comment" dataDxfId="0" totalsRowDxfId="1"/>
  </tableColumns>
  <tableStyleInfo name="TableStyleLight1" showFirstColumn="0" showLastColumn="0" showRowStripes="1" showColumnStripes="0"/>
</table>
</file>

<file path=xl/tables/table10.xml><?xml version="1.0" encoding="utf-8"?>
<table xmlns="http://schemas.openxmlformats.org/spreadsheetml/2006/main" id="18" name="Lab_1" displayName="Lab_1" ref="A2:I173" totalsRowShown="0" headerRowDxfId="93" tableBorderDxfId="92" headerRowCellStyle="Normal 3">
  <autoFilter ref="A2:I173"/>
  <sortState ref="A3:I173">
    <sortCondition ref="C2:C173"/>
  </sortState>
  <tableColumns count="9">
    <tableColumn id="1" name="Team" dataDxfId="91" dataCellStyle="Normal 3"/>
    <tableColumn id="2" name="Student No." dataDxfId="90" dataCellStyle="Normal 3"/>
    <tableColumn id="3" name="Surname" dataDxfId="89" dataCellStyle="Normal 3"/>
    <tableColumn id="4" name="GitHub Username" dataDxfId="88" dataCellStyle="Normal 3"/>
    <tableColumn id="5" name="Session" dataDxfId="87" dataCellStyle="Normal 3"/>
    <tableColumn id="6" name="Marker" dataDxfId="86" dataCellStyle="Normal 3"/>
    <tableColumn id="7" name="Mark" dataDxfId="85" dataCellStyle="Normal 3"/>
    <tableColumn id="8" name="Reason"/>
    <tableColumn id="9" name="Comment" dataDxfId="84" dataCellStyle="Normal 3"/>
  </tableColumns>
  <tableStyleInfo name="TableStyleMedium2" showFirstColumn="0" showLastColumn="0" showRowStripes="1" showColumnStripes="0"/>
</table>
</file>

<file path=xl/tables/table11.xml><?xml version="1.0" encoding="utf-8"?>
<table xmlns="http://schemas.openxmlformats.org/spreadsheetml/2006/main" id="10" name="Table_1" displayName="Table_1" ref="J24:J33" headerRowCount="0">
  <tableColumns count="1">
    <tableColumn id="1" name="Column1"/>
  </tableColumns>
  <tableStyleInfo name="TableStyleMedium2" showFirstColumn="1" showLastColumn="1" showRowStripes="1" showColumnStripes="0"/>
</table>
</file>

<file path=xl/tables/table12.xml><?xml version="1.0" encoding="utf-8"?>
<table xmlns="http://schemas.openxmlformats.org/spreadsheetml/2006/main" id="17" name="Lab_2" displayName="Lab_2" ref="A2:J170" totalsRowShown="0" headerRowDxfId="83" tableBorderDxfId="82" headerRowCellStyle="Normal 3">
  <autoFilter ref="A2:J170"/>
  <sortState ref="A3:J170">
    <sortCondition ref="C2:C170"/>
  </sortState>
  <tableColumns count="10">
    <tableColumn id="1" name="Team" dataDxfId="81" dataCellStyle="Normal 3"/>
    <tableColumn id="2" name="Student No." dataDxfId="80" dataCellStyle="Normal 3"/>
    <tableColumn id="3" name="Surname" dataDxfId="79" dataCellStyle="Normal 3"/>
    <tableColumn id="4" name="GitHub Username" dataDxfId="78" dataCellStyle="Normal 3"/>
    <tableColumn id="5" name="Session" dataDxfId="77" dataCellStyle="Normal 3"/>
    <tableColumn id="6" name="Marker" dataDxfId="76" dataCellStyle="Normal 3"/>
    <tableColumn id="7" name="Mark" dataDxfId="75" dataCellStyle="Normal 3"/>
    <tableColumn id="8" name="Reason"/>
    <tableColumn id="9" name="Comment"/>
    <tableColumn id="10" name="Notes for us (not the students)" dataDxfId="74" dataCellStyle="Normal 3"/>
  </tableColumns>
  <tableStyleInfo name="TableStyleMedium2" showFirstColumn="0" showLastColumn="0" showRowStripes="1" showColumnStripes="0"/>
</table>
</file>

<file path=xl/tables/table13.xml><?xml version="1.0" encoding="utf-8"?>
<table xmlns="http://schemas.openxmlformats.org/spreadsheetml/2006/main" id="15" name="Lab_3" displayName="Lab_3" ref="A2:J166">
  <autoFilter ref="A2:J166"/>
  <sortState ref="A3:J166">
    <sortCondition ref="C2:C166"/>
  </sortState>
  <tableColumns count="10">
    <tableColumn id="1" name="Team"/>
    <tableColumn id="2" name="Student No."/>
    <tableColumn id="3" name="Surname"/>
    <tableColumn id="4" name="GitHub Username"/>
    <tableColumn id="5" name="Session"/>
    <tableColumn id="6" name="Marker"/>
    <tableColumn id="7" name="Mark"/>
    <tableColumn id="8" name="Reason"/>
    <tableColumn id="9" name="Comment"/>
    <tableColumn id="10" name="Notes for us (not shown to students)"/>
  </tableColumns>
  <tableStyleInfo name="TableStyleMedium6" showFirstColumn="1" showLastColumn="1" showRowStripes="1" showColumnStripes="0"/>
</table>
</file>

<file path=xl/tables/table14.xml><?xml version="1.0" encoding="utf-8"?>
<table xmlns="http://schemas.openxmlformats.org/spreadsheetml/2006/main" id="16" name="Lab_4" displayName="Lab_4" ref="A2:J168" totalsRowShown="0" headerRowDxfId="73" dataDxfId="72" headerRowCellStyle="Normal 4" dataCellStyle="Normal 4">
  <autoFilter ref="A2:J168"/>
  <sortState ref="A3:J168">
    <sortCondition ref="C2:C168"/>
  </sortState>
  <tableColumns count="10">
    <tableColumn id="1" name="Team" dataDxfId="71" dataCellStyle="Normal 4"/>
    <tableColumn id="2" name="Student No." dataDxfId="70" dataCellStyle="Normal 4"/>
    <tableColumn id="3" name="Surname" dataDxfId="69" dataCellStyle="Normal 4"/>
    <tableColumn id="4" name="GitHub Username" dataDxfId="68" dataCellStyle="Normal 4"/>
    <tableColumn id="5" name="Session" dataDxfId="67" dataCellStyle="Normal 4"/>
    <tableColumn id="6" name="Marker" dataDxfId="66" dataCellStyle="Normal 4"/>
    <tableColumn id="7" name="Mark" dataDxfId="65" dataCellStyle="Normal 4"/>
    <tableColumn id="8" name="Reason" dataDxfId="64" dataCellStyle="Normal 4"/>
    <tableColumn id="9" name="Comment" dataDxfId="63" dataCellStyle="Normal 4"/>
    <tableColumn id="10" name="Notes for us (not shown to students)" dataDxfId="62" dataCellStyle="Normal 4"/>
  </tableColumns>
  <tableStyleInfo name="TableStyleLight13" showFirstColumn="0" showLastColumn="0" showRowStripes="1" showColumnStripes="0"/>
</table>
</file>

<file path=xl/tables/table15.xml><?xml version="1.0" encoding="utf-8"?>
<table xmlns="http://schemas.openxmlformats.org/spreadsheetml/2006/main" id="4" name="ComponentTemplate" displayName="ComponentTemplate" ref="A5:D172" totalsRowShown="0" headerRowDxfId="60" tableBorderDxfId="59">
  <autoFilter ref="A5:D172"/>
  <tableColumns count="4">
    <tableColumn id="1" name="Student No." dataDxfId="58">
      <calculatedColumnFormula>IFERROR(TRIM(LEFT(UlwaziExport[SIS User ID],FIND("@",UlwaziExport[SIS User ID])-1)),"")</calculatedColumnFormula>
    </tableColumn>
    <tableColumn id="2" name="Name" dataDxfId="57">
      <calculatedColumnFormula>IFERROR(UlwaziExport[Student],"")&amp;""</calculatedColumnFormula>
    </tableColumn>
    <tableColumn id="3" name="Total (%)" dataDxfId="56"/>
    <tableColumn id="5" name="Comment" dataDxfId="55"/>
  </tableColumns>
  <tableStyleInfo name="TableStyleMedium4" showFirstColumn="0" showLastColumn="0" showRowStripes="1" showColumnStripes="0"/>
</table>
</file>

<file path=xl/tables/table16.xml><?xml version="1.0" encoding="utf-8"?>
<table xmlns="http://schemas.openxmlformats.org/spreadsheetml/2006/main" id="14" name="UlwaziExport" displayName="UlwaziExport" ref="A6:F250" headerRowCount="0" totalsRowShown="0">
  <tableColumns count="6">
    <tableColumn id="1" name="Student"/>
    <tableColumn id="2" name="ID" headerRowDxfId="54" dataDxfId="53"/>
    <tableColumn id="3" name="SIS User ID"/>
    <tableColumn id="4" name="SIS Login ID"/>
    <tableColumn id="5" name="Integration ID" headerRowDxfId="52" dataDxfId="51"/>
    <tableColumn id="6" name="Section"/>
  </tableColumns>
  <tableStyleInfo name="TableStyleLight18" showFirstColumn="0" showLastColumn="0" showRowStripes="1" showColumnStripes="0"/>
</table>
</file>

<file path=xl/tables/table2.xml><?xml version="1.0" encoding="utf-8"?>
<table xmlns="http://schemas.openxmlformats.org/spreadsheetml/2006/main" id="1" name="All" displayName="All" ref="A6:AB174" totalsRowCount="1" headerRowDxfId="226" dataDxfId="225" tableBorderDxfId="224">
  <autoFilter ref="A6:AB173"/>
  <sortState ref="A8:Z174">
    <sortCondition ref="B7:B174"/>
  </sortState>
  <tableColumns count="28">
    <tableColumn id="1" name="Student No." dataDxfId="223" totalsRowDxfId="222"/>
    <tableColumn id="24" name="Student Name" totalsRowLabel="Averages" dataDxfId="221" totalsRowDxfId="220"/>
    <tableColumn id="4" name="Engagement" totalsRowFunction="custom" dataDxfId="219" totalsRowDxfId="218">
      <calculatedColumnFormula>IF(All[[#This Row],[Student]],
  IF(ISNA(INDEX(#REF!,MATCH(All[[#This Row],[Student No.]],#REF!,0))),
    "Cannot find student!",
    IF(INDEX(#REF!,MATCH(All[[#This Row],[Student No.]],#REF!,0))="",
      "",
      INDEX(#REF!,MATCH(All[[#This Row],[Student No.]],#REF!,0)))
    ),
  "No student!")</calculatedColumnFormula>
      <totalsRowFormula xml:space="preserve"> IF(COUNT(All[Engagement]) &gt;= 1, TEXT(AVERAGE(All[Engagement]), "##.0") &amp; " %", "")</totalsRowFormula>
    </tableColumn>
    <tableColumn id="11" name="Test" totalsRowFunction="custom" dataDxfId="217" totalsRowDxfId="216">
      <calculatedColumnFormula>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calculatedColumnFormula>
      <totalsRowFormula xml:space="preserve"> IF(COUNT(All[Test]) &gt;= 1, TEXT(AVERAGE(All[Test]), "##.0") &amp; " %", "")</totalsRowFormula>
    </tableColumn>
    <tableColumn id="5" name="Project" totalsRowFunction="custom" dataDxfId="215" totalsRowDxfId="214">
      <calculatedColumnFormula>IF(All[[#This Row],[Student]],
  IF(ISNA(INDEX(Project[Total (%)],MATCH(All[[#This Row],[Student No.]],Project[Student No.],0))),
    "Cannot find student!",
    IF(INDEX(Project[Total (%)],MATCH(All[[#This Row],[Student No.]],Project[Student No.],0))="",
      "",
      INDEX(Project[Total (%)],MATCH(All[[#This Row],[Student No.]],Project[Student No.],0)))
    ),
  "No student!")</calculatedColumnFormula>
      <totalsRowFormula xml:space="preserve"> IF(COUNT(All[Project]) &gt;= 1, TEXT(AVERAGE(All[Project]), "##.0") &amp; " %", "")</totalsRowFormula>
    </tableColumn>
    <tableColumn id="6" name="Exam/Def" totalsRowFunction="custom" dataDxfId="213" totalsRowDxfId="212">
      <calculatedColumnFormula>IF(All[[#This Row],[Wrote Def]], INDEX(#REF!, MATCH(All[[#This Row],[Student No.]],#REF!,0)),
  IF(All[[#This Row],[Wrote Exam]], INDEX(Exam[Total (%)], MATCH(All[[#This Row],[Student No.]], Exam[Student No.],0)),
    ""))</calculatedColumnFormula>
      <totalsRowFormula xml:space="preserve"> IF(COUNT(All[Exam/Def]) &gt;= 1, TEXT(AVERAGE(All[Exam/Def]), "##.0") &amp; " %", "")</totalsRowFormula>
    </tableColumn>
    <tableColumn id="7" name="Course Mark" totalsRowFunction="custom" dataDxfId="211" totalsRowDxfId="210">
      <calculatedColumnFormula>IF(AND(All[[#This Row],[Student]], All[[#This Row],[All Components]]),
    IF(NOT(All[Has Test Mark]),ROUND((All[[#This Row],[Engagement]]*$C$5+All[[#This Row],[Project]]*$E$5+All[[#This Row],[Exam/Def]]*$F$5)/($C$5+$E$5+$F$5),0),
      ROUND((All[[#This Row],[Engagement]]*$C$5+All[[#This Row],[Test]]*$D$5+All[[#This Row],[Project]]*$E$5+All[[#This Row],[Exam/Def]]*$F$5)/($C$5+$D$5+$E$5+$F$5),0)
  ),
  "")</calculatedColumnFormula>
      <totalsRowFormula xml:space="preserve"> IF(COUNT(All[Course Mark]) &gt;= 1, TEXT(AVERAGE(All[Course Mark]), "##.0") &amp; " %", "")</totalsRowFormula>
    </tableColumn>
    <tableColumn id="8" name="Final" totalsRowFunction="custom" dataDxfId="209" totalsRowDxfId="208">
      <calculatedColumnFormula>All[[#This Row],[Course Mark]]</calculatedColumnFormula>
      <totalsRowFormula xml:space="preserve"> IF(COUNT(All[Final]) &gt;= 1, TEXT(AVERAGE(All[Final]), "##.0") &amp; " %", "")</totalsRowFormula>
    </tableColumn>
    <tableColumn id="29" name="Sup" dataDxfId="207" totalsRowDxfId="206">
      <calculatedColumnFormula>IF(All[[#This Row],[Wrote Sup]], INDEX(#REF!,MATCH(All[[#This Row],[Student No.]],#REF!,0)), "")</calculatedColumnFormula>
    </tableColumn>
    <tableColumn id="9" name="Rank" dataDxfId="205" totalsRowDxfId="204">
      <calculatedColumnFormula>IF(AND(All[[#This Row],[Student]],ISNUMBER(All[[#This Row],[Final]])),_xlfn.RANK.EQ(All[[#This Row],[Final]],All[Final]),"")</calculatedColumnFormula>
    </tableColumn>
    <tableColumn id="10" name="Comment" dataDxfId="203" totalsRowDxfId="202"/>
    <tableColumn id="12" name="My Mark" dataDxfId="201" totalsRowDxfId="200">
      <calculatedColumnFormula>IF(All[[#This Row],[Student]], IF(All[Wrote Sup],All[Sup],All[[#This Row],[Final]]),"No student")</calculatedColumnFormula>
    </tableColumn>
    <tableColumn id="2" name="My Grade" dataDxfId="199" totalsRowDxfId="198">
      <calculatedColumnFormula>IF(All[[#This Row],[Final]]="","",
  IF(All[[#This Row],[Wrote Sup]],
    IF(All[[#This Row],[Sup]]&lt;50,"FAL","PAS"),
  IF(All[[#This Row],[Exam/Def]]&lt;35, "FSB",
    IF(All[[#This Row],[Final]]&lt;50,"FAL",
    IF(All[[#This Row],[Final]]&gt;=50,"PAS",
  "Error!")))))</calculatedColumnFormula>
    </tableColumn>
    <tableColumn id="13" name="Cap Mark" dataDxfId="197" totalsRowDxfId="196">
      <calculatedColumnFormula>IF(All[[#This Row],[Student]], _xlfn.IFNA(INDEX(captured[Course Mark],MATCH(All[[#This Row],[Student No.]],captured[ID_TEXT],0) &amp; ""), "Cannot find student!"),"No student!")</calculatedColumnFormula>
    </tableColumn>
    <tableColumn id="28" name="Cap Grade" dataDxfId="195" totalsRowDxfId="194">
      <calculatedColumnFormula>IF(All[[#This Row],[Student]], _xlfn.IFNA(INDEX(captured[Grade],MATCH(All[[#This Row],[Student No.]],captured[ID_TEXT],0)), "Cannot find student!") &amp; "","No student!")</calculatedColumnFormula>
    </tableColumn>
    <tableColumn id="18" name="Mark Difference" dataDxfId="193" totalsRowDxfId="192">
      <calculatedColumnFormula xml:space="preserve"> IF(AND(ISNUMBER(All[[#This Row],[Cap Mark]]), ISNUMBER(All[[#This Row],[My Mark]])), ABS(All[[#This Row],[Cap Mark]] - All[[#This Row],[My Mark]]) &lt;&gt; 0,
    IF(AND(ISNUMBER(All[[#This Row],[My Mark]]),NOT(ISNUMBER(All[[#This Row],[Cap Mark]]))),TRUE,
    IF(AND(ISNUMBER(All[[#This Row],[Cap Mark]]),NOT(ISNUMBER(All[[#This Row],[My Mark]]))),TRUE,FALSE)
    ))</calculatedColumnFormula>
    </tableColumn>
    <tableColumn id="32" name="Grade Difference" dataDxfId="191" totalsRowDxfId="190">
      <calculatedColumnFormula>IF(All[[#This Row],[My Grade]]&lt;&gt;"",IF(All[[#This Row],[My Grade]]&lt;&gt;All[[#This Row],[Cap Grade]],TRUE,FALSE),"")</calculatedColumnFormula>
    </tableColumn>
    <tableColumn id="20" name="Valid Grade Code" dataDxfId="189" totalsRowDxfId="188">
      <calculatedColumnFormula>IF(NOT(ISBLANK(All[[#This Row],[Student No.]])),OR(ISNUMBER(FIND("FSB",All[[#This Row],[My Grade]])),ISNUMBER(FIND("PAS", All[[#This Row],[My Grade]])),ISNUMBER(FIND("FAL",All[[#This Row],[My Grade]])),ISNUMBER(FIND("FAB", All[[#This Row],[My Grade]])),COUNTBLANK(All[[#This Row],[My Grade]])=1),FALSE)</calculatedColumnFormula>
    </tableColumn>
    <tableColumn id="19" name="Student" totalsRowFunction="custom" dataDxfId="187" totalsRowDxfId="186">
      <calculatedColumnFormula>IF(All[[#This Row],[Student No.]]&lt;&gt;"", TRUE, FALSE)</calculatedColumnFormula>
      <totalsRowFormula>COUNTIF(All[Student],TRUE)</totalsRowFormula>
    </tableColumn>
    <tableColumn id="17" name="All Components" totalsRowFunction="custom" dataDxfId="185" totalsRowDxfId="184">
      <calculatedColumnFormula>IF(COUNTBLANK(All[[#This Row],[Engagement]:[Exam/Def]])=0,TRUE, FALSE)</calculatedColumnFormula>
      <totalsRowFormula>COUNTIF(All[All Components],TRUE)</totalsRowFormula>
    </tableColumn>
    <tableColumn id="23" name="Has Test Mark" totalsRowFunction="custom" dataDxfId="183" totalsRowDxfId="182">
      <calculatedColumnFormula>IF(ISNUMBER(All[[#This Row],[Test]]),TRUE,FALSE)</calculatedColumnFormula>
      <totalsRowFormula>COUNTIF(All[Has Test Mark],TRUE)</totalsRowFormula>
    </tableColumn>
    <tableColumn id="27" name="Test - Absent" totalsRowFunction="custom" dataDxfId="181" totalsRowDxfId="180">
      <calculatedColumnFormula>IF((INDEX(Test[Total (%)],MATCH(All[[#This Row],[Student No.]],Test[Student No.],0)))="ABS", TRUE, FALSE)</calculatedColumnFormula>
      <totalsRowFormula>COUNTIF(All[Test - Absent],TRUE)</totalsRowFormula>
    </tableColumn>
    <tableColumn id="16" name="Wrote Exam" totalsRowFunction="custom" dataDxfId="179" totalsRowDxfId="178">
      <calculatedColumnFormula>IF(ISNUMBER(INDEX(Exam[Total (%)],MATCH(All[[#This Row],[Student No.]],Exam[Student No.],0))), TRUE, FALSE)</calculatedColumnFormula>
      <totalsRowFormula>COUNTIF(All[Wrote Exam],TRUE)</totalsRowFormula>
    </tableColumn>
    <tableColumn id="14" name="Wrote Def" totalsRowFunction="custom" dataDxfId="177" totalsRowDxfId="176">
      <calculatedColumnFormula>IF(ISNUMBER(INDEX(#REF!,MATCH(All[[#This Row],[Student No.]],#REF!,0))),TRUE,FALSE)</calculatedColumnFormula>
      <totalsRowFormula>COUNTIF(All[Wrote Def],TRUE)</totalsRowFormula>
    </tableColumn>
    <tableColumn id="15" name="Wrote Sup" totalsRowFunction="custom" dataDxfId="175" totalsRowDxfId="174">
      <calculatedColumnFormula>IF(ISNUMBER(INDEX(#REF!,MATCH(All[[#This Row],[Student No.]],#REF!,0))),TRUE,FALSE)</calculatedColumnFormula>
      <totalsRowFormula>COUNTIF(All[Wrote Sup],TRUE)</totalsRowFormula>
    </tableColumn>
    <tableColumn id="21" name="Mod Exam/Def" totalsRowFunction="custom" dataDxfId="173" totalsRowDxfId="172">
      <calculatedColumnFormula>IF(All[[#This Row],[Wrote Def]],
IF(INDEX(#REF!, MATCH(All[[#This Row],[Student No.]],#REF!,0))&lt;&gt;All[[#This Row],[Exam/Def]], TRUE, FALSE),
  IF(All[[#This Row],[Wrote Exam]], IF(INDEX(Exam[Total (%)], MATCH(All[[#This Row],[Student No.]],Exam[Student No.],0))&lt;&gt;All[[#This Row],[Exam/Def]],TRUE,FALSE), FALSE))</calculatedColumnFormula>
      <totalsRowFormula>COUNTIF(All[Mod Exam/Def],TRUE)</totalsRowFormula>
    </tableColumn>
    <tableColumn id="3" name="Exam &lt; 35%" totalsRowFunction="custom" dataDxfId="171" totalsRowDxfId="170">
      <calculatedColumnFormula xml:space="preserve">    IF(AND(All[[#This Row],[Exam/Def]]&lt;35,OR(All[[#This Row],[Wrote Exam]],All[[#This Row],[Wrote Def]])), TRUE,FALSE)</calculatedColumnFormula>
      <totalsRowFormula>COUNTIF(All[Exam &lt; 35%],TRUE)</totalsRowFormula>
    </tableColumn>
    <tableColumn id="25" name="FSB but pass" totalsRowFunction="custom" dataDxfId="169" totalsRowDxfId="168">
      <calculatedColumnFormula>IF(AND(All[[#This Row],[Exam &lt; 35%]],All[[#This Row],[Final]]&gt;=50),TRUE,FALSE)</calculatedColumnFormula>
      <totalsRowFormula>COUNTIF(All[FSB but pass],TRUE)</totalsRowFormula>
    </tableColumn>
  </tableColumns>
  <tableStyleInfo name="TableStyleLight2" showFirstColumn="0" showLastColumn="0" showRowStripes="1" showColumnStripes="0"/>
</table>
</file>

<file path=xl/tables/table3.xml><?xml version="1.0" encoding="utf-8"?>
<table xmlns="http://schemas.openxmlformats.org/spreadsheetml/2006/main" id="9" name="captured" displayName="captured" ref="A3:J217" totalsRowShown="0" headerRowDxfId="166" dataDxfId="164" headerRowBorderDxfId="165" tableBorderDxfId="163" totalsRowBorderDxfId="162">
  <autoFilter ref="A3:J217"/>
  <sortState ref="B4:K170">
    <sortCondition ref="C3:C170"/>
  </sortState>
  <tableColumns count="10">
    <tableColumn id="10" name="ID_TEXT" dataDxfId="161">
      <calculatedColumnFormula>TEXT(captured[[#This Row],[ID]],"0")</calculatedColumnFormula>
    </tableColumn>
    <tableColumn id="1" name="ID" dataDxfId="160"/>
    <tableColumn id="2" name="Name" dataDxfId="159"/>
    <tableColumn id="3" name="TEST" dataDxfId="158"/>
    <tableColumn id="4" name="ENGA" dataDxfId="157"/>
    <tableColumn id="5" name="PROJ" dataDxfId="156"/>
    <tableColumn id="6" name="EXAM" dataDxfId="155"/>
    <tableColumn id="7" name="EXAM2" dataDxfId="154"/>
    <tableColumn id="8" name="Grade" dataDxfId="153"/>
    <tableColumn id="9" name="Course Mark" dataDxfId="152"/>
  </tableColumns>
  <tableStyleInfo name="TableStyleLight9" showFirstColumn="0" showLastColumn="0" showRowStripes="1" showColumnStripes="0"/>
</table>
</file>

<file path=xl/tables/table4.xml><?xml version="1.0" encoding="utf-8"?>
<table xmlns="http://schemas.openxmlformats.org/spreadsheetml/2006/main" id="8" name="Test" displayName="Test" ref="A6:F142" totalsRowCount="1" headerRowDxfId="150" dataDxfId="149">
  <autoFilter ref="A6:F141"/>
  <sortState ref="A7:F178">
    <sortCondition ref="B6:B178"/>
  </sortState>
  <tableColumns count="6">
    <tableColumn id="1" name="Student No." dataDxfId="148" totalsRowDxfId="147"/>
    <tableColumn id="7" name="Name" totalsRowLabel="Averages" dataDxfId="146" totalsRowDxfId="145"/>
    <tableColumn id="5" name="Total (%)" totalsRowFunction="custom" dataDxfId="144" totalsRowDxfId="143">
      <calculatedColumnFormula>IF(ISNUMBER(Test[[#This Row],[Total]]),ROUND(Test[[#This Row],[Total]]/$D$5*100,0),"")</calculatedColumnFormula>
      <totalsRowFormula>IF(COUNT(Test[Total (%)])&gt;0,TEXT(AVERAGE(Test[Total (%)]),"0.0")&amp; "  (" &amp; TEXT(AVERAGE(Test[Total (%)])/C$5*100,"###") &amp; "%)","")</totalsRowFormula>
    </tableColumn>
    <tableColumn id="2" name="Total" totalsRowFunction="custom" dataDxfId="142" totalsRowDxfId="141">
      <totalsRowFormula>IF(COUNT(Test[Total])&gt;0,TEXT(AVERAGE(Test[Total]),"0.0")&amp; "  (" &amp; TEXT(AVERAGE(Test[Total])/D$5*100,"###") &amp; "%)","")</totalsRowFormula>
    </tableColumn>
    <tableColumn id="4" name="Comment" dataDxfId="140" totalsRowDxfId="139"/>
    <tableColumn id="6" name="Total (%) Valid" dataDxfId="138">
      <calculatedColumnFormula>OR(AND(ISNUMBER(Test[[#This Row],[Total (%)]]),Test[[#This Row],[Total (%)]]&gt;=0,Test[[#This Row],[Total (%)]]&lt;=C$5),ISNUMBER(FIND("ABS",Test[[#This Row],[Total (%)]])),ISNUMBER(FIND("DEF",Test[[#This Row],[Total (%)]])),COUNTBLANK(Test[[#This Row],[Total (%)]])=1)</calculatedColumnFormula>
    </tableColumn>
  </tableColumns>
  <tableStyleInfo name="TableStyleLight1" showFirstColumn="0" showLastColumn="0" showRowStripes="1" showColumnStripes="0"/>
</table>
</file>

<file path=xl/tables/table5.xml><?xml version="1.0" encoding="utf-8"?>
<table xmlns="http://schemas.openxmlformats.org/spreadsheetml/2006/main" id="19" name="Project" displayName="Project" ref="A4:N171" totalsRowShown="0" tableBorderDxfId="136">
  <autoFilter ref="A4:N171"/>
  <sortState ref="A5:N171">
    <sortCondition ref="B4:B171"/>
  </sortState>
  <tableColumns count="14">
    <tableColumn id="1" name="Student No." dataDxfId="135"/>
    <tableColumn id="2" name="Name" dataDxfId="134"/>
    <tableColumn id="3" name="Total (%)" dataDxfId="133">
      <calculatedColumnFormula>IF(ISNUMBER(Project[[#This Row],[Mark after capping]]),IF(Project[[#This Row],[Mark after capping]]&lt;0,0,IF(Project[[#This Row],[Mark after capping]]&gt;100,100,Project[[#This Row],[Mark after capping]]/$M$3*100)),"")</calculatedColumnFormula>
    </tableColumn>
    <tableColumn id="11" name="Discretionary Mark" dataDxfId="132">
      <calculatedColumnFormula>_xlfn.IFNA(INDEX(#REF!,MATCH(Project[[#This Row],[Student No.]:[Student No.]], #REF!,0)),"")</calculatedColumnFormula>
    </tableColumn>
    <tableColumn id="7" name="1st Submission Penalty" dataDxfId="131">
      <calculatedColumnFormula>_xlfn.IFNA(INDEX(#REF!,MATCH(Project[[#This Row],[Student No.]], #REF!,0)),"")</calculatedColumnFormula>
    </tableColumn>
    <tableColumn id="8" name="2nd Submission Penalty" dataDxfId="130">
      <calculatedColumnFormula>_xlfn.IFNA(INDEX(#REF!,MATCH(Project[[#This Row],[Student No.]], #REF!,0)),"")</calculatedColumnFormula>
    </tableColumn>
    <tableColumn id="9" name="3rd Submission Penalty" dataDxfId="129">
      <calculatedColumnFormula>_xlfn.IFNA(INDEX(#REF!,MATCH(Project[[#This Row],[Student No.]:[Student No.]], #REF!,0)),"")</calculatedColumnFormula>
    </tableColumn>
    <tableColumn id="6" name="Deadline Bonus/Penalty" dataDxfId="128">
      <calculatedColumnFormula>_xlfn.IFNA(INDEX(#REF!,MATCH(Project[[#This Row],[Student No.]:[Student No.]], #REF!,0)),"")</calculatedColumnFormula>
    </tableColumn>
    <tableColumn id="10" name="Mark from ratings" dataDxfId="127">
      <calculatedColumnFormula>_xlfn.IFNA(INDEX(#REF!,MATCH(Project[[#This Row],[Student No.]:[Student No.]], #REF!,0)),"")</calculatedColumnFormula>
    </tableColumn>
    <tableColumn id="14" name="Add discretionary/bonuses/penalties" dataDxfId="126">
      <calculatedColumnFormula>SUM(Project[[#This Row],[Discretionary Mark]:[Mark from ratings]])</calculatedColumnFormula>
    </tableColumn>
    <tableColumn id="13" name="Mark capped due to Unacceptable rating" dataDxfId="125">
      <calculatedColumnFormula>_xlfn.IFNA(IF(INDEX(#REF!,MATCH(Project[[#This Row],[Student No.]:[Student No.]], #REF!,0))&gt;0,"Yes",""),"")</calculatedColumnFormula>
    </tableColumn>
    <tableColumn id="12" name="Mark capped due to contribution &lt; 35%" dataDxfId="124">
      <calculatedColumnFormula>_xlfn.IFNA(IF(INDEX(#REF!,MATCH(Project[[#This Row],[Student No.]:[Student No.]], #REF!,0))="Code contribution less than 35%","Yes",""),"")</calculatedColumnFormula>
    </tableColumn>
    <tableColumn id="4" name="Mark after capping" dataDxfId="123">
      <calculatedColumnFormula>IF(OR(Project[[#This Row],[Mark capped due to Unacceptable rating]]="Yes",Project[[#This Row],[Mark capped due to contribution &lt; 35%]]="Yes"),IF(Project[[#This Row],[Add discretionary/bonuses/penalties]]&gt;40,40,Project[[#This Row],[Add discretionary/bonuses/penalties]]),Project[[#This Row],[Add discretionary/bonuses/penalties]])</calculatedColumnFormula>
    </tableColumn>
    <tableColumn id="5" name="Comment" dataDxfId="122"/>
  </tableColumns>
  <tableStyleInfo name="TableStyleLight1" showFirstColumn="0" showLastColumn="0" showRowStripes="1" showColumnStripes="0"/>
</table>
</file>

<file path=xl/tables/table6.xml><?xml version="1.0" encoding="utf-8"?>
<table xmlns="http://schemas.openxmlformats.org/spreadsheetml/2006/main" id="3" name="Exam" displayName="Exam" ref="A6:J179" totalsRowCount="1" headerRowDxfId="119" dataDxfId="118">
  <autoFilter ref="A6:J178"/>
  <tableColumns count="10">
    <tableColumn id="1" name="Student No." dataDxfId="117" totalsRowDxfId="116"/>
    <tableColumn id="11" name="Name" totalsRowLabel="Averages" dataDxfId="115" totalsRowDxfId="114"/>
    <tableColumn id="5" name="Total (%)" totalsRowFunction="custom" dataDxfId="113" totalsRowDxfId="112">
      <calculatedColumnFormula>IF(ISNUMBER(Exam[[#This Row],[Total]]),ROUND(Exam[[#This Row],[Total]]/$I$5*100,0),"")</calculatedColumnFormula>
      <totalsRowFormula>IF(COUNT(Exam[Total (%)])&gt;0,TEXT(AVERAGE(Exam[Total (%)]),"0.0")&amp; "  (" &amp; TEXT(AVERAGE(Exam[Total (%)])/C$5*100,"###") &amp; "%)","")</totalsRowFormula>
    </tableColumn>
    <tableColumn id="7" name="MCQ" totalsRowFunction="custom" dataDxfId="111" totalsRowDxfId="110">
      <calculatedColumnFormula>IF(NOT(ISBLANK(Exam[[#This Row],[Student No.]])), _xlfn.IFNA(INDEX(exam_mcq[LenientTotalMark],MATCH(Exam[[#This Row],[Student No.]],exam_mcq[StudentNumberText],0)), ""),  "No student!")</calculatedColumnFormula>
      <totalsRowFormula>IF(COUNT(Exam[MCQ])&gt;0,TEXT(AVERAGE(Exam[MCQ]),"0.0")&amp; "  (" &amp; TEXT(AVERAGE(Exam[MCQ])/D$5*100,"###") &amp; "%)","")</totalsRowFormula>
    </tableColumn>
    <tableColumn id="8" name="Q2" totalsRowFunction="custom" dataDxfId="109" totalsRowDxfId="108">
      <totalsRowFormula>IF(COUNT(Exam[Q2])&gt;0,TEXT(AVERAGE(Exam[Q2]),"0.0")&amp; "  (" &amp; TEXT(AVERAGE(Exam[Q2])/E$5*100,"###") &amp; "%)","")</totalsRowFormula>
    </tableColumn>
    <tableColumn id="9" name="Q3" totalsRowFunction="custom" dataDxfId="107" totalsRowDxfId="106">
      <totalsRowFormula>IF(COUNT(Exam[Q3])&gt;0,TEXT(AVERAGE(Exam[Q3]),"0.0")&amp; "  (" &amp; TEXT(AVERAGE(Exam[Q3])/F$5*100,"###") &amp; "%)","")</totalsRowFormula>
    </tableColumn>
    <tableColumn id="10" name="Q4" totalsRowFunction="custom" dataDxfId="105" totalsRowDxfId="104">
      <totalsRowFormula>IF(COUNT(Exam[Q4])&gt;0,TEXT(AVERAGE(Exam[Q4]),"0.0")&amp; "  (" &amp; TEXT(AVERAGE(Exam[Q4])/G$5*100,"###") &amp; "%)","")</totalsRowFormula>
    </tableColumn>
    <tableColumn id="6" name="Q2-Q4 Total" totalsRowFunction="custom" dataDxfId="103" totalsRowDxfId="102">
      <calculatedColumnFormula>IF(NOT(Exam[[#This Row],[Student No.]]=""),(IF(COUNTBLANK(Exam[[#This Row],[Q2]:[Q4]])=0,SUM(Exam[[#This Row],[Q2]:[Q4]]),"")),"")</calculatedColumnFormula>
      <totalsRowFormula>IF(COUNT(Exam[Q2-Q4 Total])&gt;0,TEXT(AVERAGE(Exam[Q2-Q4 Total]),"0.0")&amp; "  (" &amp; TEXT(AVERAGE(Exam[Q2-Q4 Total])/H$5*100,"###") &amp; "%)","")</totalsRowFormula>
    </tableColumn>
    <tableColumn id="2" name="Total" totalsRowFunction="custom" dataDxfId="101" totalsRowDxfId="100">
      <calculatedColumnFormula>IF(NOT(Exam[[#This Row],[Student No.]]=""),(IF(COUNTBLANK(Exam[[#This Row],[MCQ]:[Q4]])=0,SUM(Exam[[#This Row],[MCQ]:[Q4]]),"")),"")</calculatedColumnFormula>
      <totalsRowFormula>IF(COUNT(Exam[Total])&gt;0,TEXT(AVERAGE(Exam[Total]),"0.0")&amp; "  (" &amp; TEXT(AVERAGE(Exam[Total])/I$5*100,"###") &amp; "%)","")</totalsRowFormula>
    </tableColumn>
    <tableColumn id="4" name="Comment" dataDxfId="99" totalsRowDxfId="98"/>
  </tableColumns>
  <tableStyleInfo name="TableStyleLight1" showFirstColumn="0" showLastColumn="0" showRowStripes="1" showColumnStripes="0"/>
</table>
</file>

<file path=xl/tables/table7.xml><?xml version="1.0" encoding="utf-8"?>
<table xmlns="http://schemas.openxmlformats.org/spreadsheetml/2006/main" id="12" name="exam_mcq" displayName="exam_mcq" ref="A1:M135" totalsRowShown="0">
  <autoFilter ref="A1:M135"/>
  <tableColumns count="13">
    <tableColumn id="1" name="StudentNumber" dataDxfId="97"/>
    <tableColumn id="2" name="TotalMark"/>
    <tableColumn id="3" name="LenientTotalMark"/>
    <tableColumn id="4" name="ExcessChoices"/>
    <tableColumn id="5" name="Q1"/>
    <tableColumn id="6" name="Q2"/>
    <tableColumn id="7" name="Q3"/>
    <tableColumn id="8" name="Q4"/>
    <tableColumn id="9" name="Q5"/>
    <tableColumn id="10" name="Q6"/>
    <tableColumn id="11" name="Q7"/>
    <tableColumn id="12" name="Q8"/>
    <tableColumn id="13" name="StudentNumberText" dataDxfId="96">
      <calculatedColumnFormula>TEXT(exam_mcq[[#This Row],[StudentNumber]],"0")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13" name="def_sup_mcq" displayName="def_sup_mcq" ref="A1:M135" totalsRowShown="0">
  <autoFilter ref="A1:M135"/>
  <tableColumns count="13">
    <tableColumn id="1" name="StudentNumber" dataDxfId="95"/>
    <tableColumn id="2" name="TotalMark"/>
    <tableColumn id="3" name="LenientTotalMark"/>
    <tableColumn id="4" name="ExcessChoices"/>
    <tableColumn id="5" name="Q1"/>
    <tableColumn id="6" name="Q2"/>
    <tableColumn id="7" name="Q3"/>
    <tableColumn id="8" name="Q4"/>
    <tableColumn id="9" name="Q5"/>
    <tableColumn id="10" name="Q6"/>
    <tableColumn id="11" name="Q7"/>
    <tableColumn id="12" name="Q8"/>
    <tableColumn id="13" name="StudentNumberText" dataDxfId="94">
      <calculatedColumnFormula>TEXT(def_sup_mcq[[#This Row],[StudentNumber]],"0")</calculatedColumnFormula>
    </tableColumn>
  </tableColumns>
  <tableStyleInfo name="TableStyleMedium2" showFirstColumn="0" showLastColumn="0" showRowStripes="1" showColumnStripes="0"/>
</table>
</file>

<file path=xl/tables/table9.xml><?xml version="1.0" encoding="utf-8"?>
<table xmlns="http://schemas.openxmlformats.org/spreadsheetml/2006/main" id="2" name="Def" displayName="Def" ref="A6:K8" totalsRowCount="1" headerRowDxfId="48" dataDxfId="47">
  <autoFilter ref="A6:K7"/>
  <tableColumns count="11">
    <tableColumn id="1" name="Student No." dataDxfId="45" totalsRowDxfId="46"/>
    <tableColumn id="3" name="Name" totalsRowLabel="Averages" dataDxfId="43" totalsRowDxfId="44"/>
    <tableColumn id="5" name="Total (%)" totalsRowFunction="custom" dataDxfId="41" totalsRowDxfId="42">
      <calculatedColumnFormula>IF(ISNUMBER(Def[Total]),ROUND(Def[Total]/$D$5*100,0),"")</calculatedColumnFormula>
      <totalsRowFormula>IF(COUNT(Def[Total (%)])&gt;0,TEXT(AVERAGE(Def[Total (%)]),"0.0")&amp; "  (" &amp; TEXT(AVERAGE(Def[Total (%)])/C$5*100,"###") &amp; "%)","")</totalsRowFormula>
    </tableColumn>
    <tableColumn id="12" name="Total" totalsRowFunction="custom" dataDxfId="39" totalsRowDxfId="40">
      <calculatedColumnFormula>IF(NOT(Def[[#This Row],[Student No.]]=""),(IF(COUNTBLANK(Def[[#This Row],[MCQ]:[Q5]])=0,SUM(Def[[#This Row],[MCQ]:[Q5]]),"")),"")</calculatedColumnFormula>
      <totalsRowFormula>IF(COUNT(Def[Total])&gt;0,TEXT(AVERAGE(Def[Total]),"0.0")&amp; "  (" &amp; TEXT(AVERAGE(Def[Total])/D$5*100,"###") &amp; "%)","")</totalsRowFormula>
    </tableColumn>
    <tableColumn id="7" name="MCQ" totalsRowFunction="custom" dataDxfId="37" totalsRowDxfId="38">
      <calculatedColumnFormula>IF(NOT(Def[[#This Row],[Student No.]]=""), _xlfn.IFNA(INDEX([2]!def_sup_mcq[LenientTotalMark],MATCH(Def[[#This Row],[Student No.]],[2]!def_sup_mcq[StudentNumberText],0)), "No student"),  "")</calculatedColumnFormula>
      <totalsRowFormula>IF(COUNT(Def[MCQ])&gt;0,TEXT(AVERAGE(Def[MCQ]),"0.0")&amp; "  (" &amp; TEXT(AVERAGE(Def[MCQ])/E$5*100,"###") &amp; "%)","")</totalsRowFormula>
    </tableColumn>
    <tableColumn id="8" name="Q2" totalsRowFunction="custom" dataDxfId="35" totalsRowDxfId="36">
      <totalsRowFormula>IF(COUNT(Def[Q2])&gt;0,TEXT(AVERAGE(Def[Q2]),"0.0")&amp; "  (" &amp; TEXT(AVERAGE(Def[Q2])/F$5*100,"###") &amp; "%)","")</totalsRowFormula>
    </tableColumn>
    <tableColumn id="9" name="Q3" totalsRowFunction="custom" dataDxfId="33" totalsRowDxfId="34">
      <totalsRowFormula>IF(COUNT(Def[Q3])&gt;0,TEXT(AVERAGE(Def[Q3]),"0.0")&amp; "  (" &amp; TEXT(AVERAGE(Def[Q3])/G$5*100,"###") &amp; "%)","")</totalsRowFormula>
    </tableColumn>
    <tableColumn id="10" name="Q4" totalsRowFunction="custom" dataDxfId="31" totalsRowDxfId="32">
      <totalsRowFormula>IF(COUNT(Def[Q4])&gt;0,TEXT(AVERAGE(Def[Q4]),"0.0")&amp; "  (" &amp; TEXT(AVERAGE(Def[Q4])/H$5*100,"###") &amp; "%)","")</totalsRowFormula>
    </tableColumn>
    <tableColumn id="6" name="Q5" totalsRowFunction="custom" dataDxfId="29" totalsRowDxfId="30">
      <totalsRowFormula>IF(COUNT(Def[Q5])&gt;0,TEXT(AVERAGE(Def[Q5]),"0.0")&amp; "  (" &amp; TEXT(AVERAGE(Def[Q5])/I$5*100,"###") &amp; "%)","")</totalsRowFormula>
    </tableColumn>
    <tableColumn id="11" name="Q2-Q5 Total" totalsRowFunction="custom" dataDxfId="27" totalsRowDxfId="28">
      <calculatedColumnFormula>IF(NOT(Def[[#This Row],[Student No.]]=""),(IF(COUNTBLANK(Def[[#This Row],[Q2]:[Q5]])=0,SUM(Def[[#This Row],[Q2]:[Q5]]),"")),"")</calculatedColumnFormula>
      <totalsRowFormula>IF(COUNT(Def[Q2-Q5 Total])&gt;0,TEXT(AVERAGE(Def[Q2-Q5 Total]),"0.0")&amp; "  (" &amp; TEXT(AVERAGE(Def[Q2-Q5 Total])/J$5*100,"###") &amp; "%)","")</totalsRowFormula>
    </tableColumn>
    <tableColumn id="4" name="Comment" dataDxfId="25" totalsRowDxfId="26"/>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K9"/>
  <sheetViews>
    <sheetView tabSelected="1" zoomScale="90" zoomScaleNormal="90" workbookViewId="0">
      <pane xSplit="2" ySplit="6" topLeftCell="C7" activePane="bottomRight" state="frozen"/>
      <selection pane="topRight" activeCell="D1" sqref="D1"/>
      <selection pane="bottomLeft" activeCell="A7" sqref="A7"/>
      <selection pane="bottomRight" activeCell="D5" sqref="D5"/>
    </sheetView>
  </sheetViews>
  <sheetFormatPr defaultColWidth="9.109375" defaultRowHeight="14.4"/>
  <cols>
    <col min="1" max="1" width="11.33203125" style="210" customWidth="1"/>
    <col min="2" max="2" width="27" style="210" customWidth="1"/>
    <col min="3" max="3" width="12.88671875" style="210" bestFit="1" customWidth="1"/>
    <col min="4" max="4" width="10.21875" style="2" bestFit="1" customWidth="1"/>
    <col min="5" max="9" width="9.109375" style="2" customWidth="1"/>
    <col min="10" max="10" width="15.44140625" style="2" customWidth="1"/>
    <col min="11" max="11" width="28.88671875" style="210" customWidth="1"/>
    <col min="12" max="18" width="12.6640625" style="210" bestFit="1" customWidth="1"/>
    <col min="19" max="19" width="12.6640625" style="210" customWidth="1"/>
    <col min="20" max="22" width="12.6640625" style="210" bestFit="1" customWidth="1"/>
    <col min="23" max="23" width="10.6640625" style="210" bestFit="1" customWidth="1"/>
    <col min="24" max="16384" width="9.109375" style="210"/>
  </cols>
  <sheetData>
    <row r="1" spans="1:11" ht="31.2">
      <c r="A1" s="34" t="s">
        <v>33</v>
      </c>
      <c r="B1" s="34"/>
      <c r="D1" s="210"/>
    </row>
    <row r="2" spans="1:11" ht="21">
      <c r="A2" s="9"/>
    </row>
    <row r="3" spans="1:11">
      <c r="A3" s="3" t="s">
        <v>1024</v>
      </c>
      <c r="D3" s="2">
        <f>SUM(E5:I5)</f>
        <v>0</v>
      </c>
    </row>
    <row r="4" spans="1:11">
      <c r="A4" s="3" t="s">
        <v>268</v>
      </c>
      <c r="D4" s="2" t="str">
        <f>IF(AND(ISNUMBER(D5),ISNUMBER(D3)),D5-D3,"")</f>
        <v/>
      </c>
      <c r="E4" s="6"/>
      <c r="F4" s="6"/>
      <c r="G4" s="6"/>
      <c r="H4" s="6"/>
      <c r="I4" s="6"/>
      <c r="J4" s="6"/>
    </row>
    <row r="5" spans="1:11">
      <c r="A5" s="210" t="s">
        <v>25</v>
      </c>
      <c r="C5" s="2">
        <v>100</v>
      </c>
      <c r="D5" s="2" t="s">
        <v>1619</v>
      </c>
      <c r="E5" s="6" t="s">
        <v>1619</v>
      </c>
      <c r="F5" s="6" t="s">
        <v>1619</v>
      </c>
      <c r="G5" s="6" t="s">
        <v>1619</v>
      </c>
      <c r="H5" s="6" t="s">
        <v>1619</v>
      </c>
      <c r="I5" s="6" t="s">
        <v>1619</v>
      </c>
      <c r="J5" s="6">
        <f>SUM(F$5:I$5)</f>
        <v>0</v>
      </c>
    </row>
    <row r="6" spans="1:11">
      <c r="A6" s="5" t="s">
        <v>617</v>
      </c>
      <c r="B6" s="1" t="s">
        <v>1010</v>
      </c>
      <c r="C6" s="151" t="s">
        <v>29</v>
      </c>
      <c r="D6" s="32" t="s">
        <v>28</v>
      </c>
      <c r="E6" s="26" t="s">
        <v>1039</v>
      </c>
      <c r="F6" s="26" t="s">
        <v>1</v>
      </c>
      <c r="G6" s="26" t="s">
        <v>2</v>
      </c>
      <c r="H6" s="26" t="s">
        <v>3</v>
      </c>
      <c r="I6" s="26" t="s">
        <v>4</v>
      </c>
      <c r="J6" s="26" t="s">
        <v>1248</v>
      </c>
      <c r="K6" s="32" t="s">
        <v>24</v>
      </c>
    </row>
    <row r="7" spans="1:11">
      <c r="A7" s="14"/>
      <c r="B7" s="27" t="s">
        <v>1620</v>
      </c>
      <c r="C7" s="28" t="str">
        <f>IF(ISNUMBER(Sup[Total]),ROUND(Sup[Total]/$D$5*100,0),"")</f>
        <v/>
      </c>
      <c r="D7" s="2" t="str">
        <f>IF(NOT(Sup[[#This Row],[Student No.]]=""),(IF(COUNTBLANK(Sup[[#This Row],[MCQ]:[Q5]])=0,SUM(Sup[[#This Row],[MCQ]:[Q5]]),"")),"")</f>
        <v/>
      </c>
      <c r="E7" s="2" t="str">
        <f>IF(NOT(Sup[[#This Row],[Student No.]]=""), _xlfn.IFNA(INDEX([2]!def_sup_mcq[LenientTotalMark],MATCH(Sup[[#This Row],[Student No.]],[2]!def_sup_mcq[StudentNumberText],0)), "No student"),  "")</f>
        <v/>
      </c>
      <c r="J7" s="2" t="str">
        <f>IF(NOT(Sup[[#This Row],[Student No.]]=""),(IF(COUNTBLANK(Sup[[#This Row],[Q2]:[Q5]])=0,SUM(Sup[[#This Row],[Q2]:[Q5]]),"")),"")</f>
        <v/>
      </c>
      <c r="K7" s="2"/>
    </row>
    <row r="8" spans="1:11">
      <c r="A8" s="7"/>
      <c r="B8" s="7" t="s">
        <v>6</v>
      </c>
      <c r="C8" s="8" t="str">
        <f>IF(COUNT(Sup[Total (%)])&gt;0,TEXT(AVERAGE(Sup[Total (%)]),"0.0")&amp; "  (" &amp; TEXT(AVERAGE(Sup[Total (%)])/C$5*100,"###") &amp; "%)","")</f>
        <v/>
      </c>
      <c r="D8" s="8" t="str">
        <f>IF(COUNT(Sup[Total])&gt;0,TEXT(AVERAGE(Sup[Total]),"0.0")&amp; "  (" &amp; TEXT(AVERAGE(Sup[Total])/D$5*100,"###") &amp; "%)","")</f>
        <v/>
      </c>
      <c r="E8" s="8" t="str">
        <f>IF(COUNT(Sup[MCQ])&gt;0,TEXT(AVERAGE(Sup[MCQ]),"0.0")&amp; "  (" &amp; TEXT(AVERAGE(Sup[MCQ])/E$5*100,"###") &amp; "%)","")</f>
        <v/>
      </c>
      <c r="F8" s="8" t="str">
        <f>IF(COUNT(Sup[Q2])&gt;0,TEXT(AVERAGE(Sup[Q2]),"0.0")&amp; "  (" &amp; TEXT(AVERAGE(Sup[Q2])/F$5*100,"###") &amp; "%)","")</f>
        <v/>
      </c>
      <c r="G8" s="8" t="str">
        <f>IF(COUNT(Sup[Q3])&gt;0,TEXT(AVERAGE(Sup[Q3]),"0.0")&amp; "  (" &amp; TEXT(AVERAGE(Sup[Q3])/G$5*100,"###") &amp; "%)","")</f>
        <v/>
      </c>
      <c r="H8" s="8" t="str">
        <f>IF(COUNT(Sup[Q4])&gt;0,TEXT(AVERAGE(Sup[Q4]),"0.0")&amp; "  (" &amp; TEXT(AVERAGE(Sup[Q4])/H$5*100,"###") &amp; "%)","")</f>
        <v/>
      </c>
      <c r="I8" s="8" t="str">
        <f>IF(COUNT(Sup[Q5])&gt;0,TEXT(AVERAGE(Sup[Q5]),"0.0")&amp; "  (" &amp; TEXT(AVERAGE(Sup[Q5])/I$5*100,"###") &amp; "%)","")</f>
        <v/>
      </c>
      <c r="J8" s="8" t="str">
        <f>IF(COUNT(Sup[Q2-Q5 Total])&gt;0,TEXT(AVERAGE(Sup[Q2-Q5 Total]),"0.0")&amp; "  (" &amp; TEXT(AVERAGE(Sup[Q2-Q5 Total])/J$5*100,"###") &amp; "%)","")</f>
        <v/>
      </c>
      <c r="K8" s="6"/>
    </row>
    <row r="9" spans="1:11">
      <c r="B9" s="210" t="s">
        <v>1249</v>
      </c>
      <c r="C9" s="2">
        <f>COUNT(Sup[Total (%)])</f>
        <v>0</v>
      </c>
    </row>
  </sheetData>
  <conditionalFormatting sqref="C7:D8">
    <cfRule type="expression" dxfId="24" priority="1">
      <formula>IF(ISNUMBER(C7),OR(C7&lt;0,C7&gt;C$5))</formula>
    </cfRule>
  </conditionalFormatting>
  <dataValidations count="1">
    <dataValidation type="custom" allowBlank="1" showInputMessage="1" showErrorMessage="1" sqref="C7:D7 F7:J7">
      <formula1>OR(AND(ISNUMBER(C7),C7&gt;=0,C7&lt;=C$5),C7="")</formula1>
    </dataValidation>
  </dataValidations>
  <pageMargins left="0.7" right="0.7" top="0.75" bottom="0.75" header="0.3" footer="0.3"/>
  <pageSetup paperSize="9" orientation="portrait"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5"/>
  <sheetViews>
    <sheetView workbookViewId="0">
      <selection activeCell="E19" sqref="E19"/>
    </sheetView>
  </sheetViews>
  <sheetFormatPr defaultRowHeight="14.4"/>
  <cols>
    <col min="1" max="1" width="15.6640625" customWidth="1"/>
    <col min="2" max="2" width="11.33203125" customWidth="1"/>
    <col min="3" max="3" width="17.33203125" customWidth="1"/>
    <col min="4" max="4" width="14.5546875" customWidth="1"/>
    <col min="13" max="13" width="23" customWidth="1"/>
  </cols>
  <sheetData>
    <row r="1" spans="1:13">
      <c r="A1" t="s">
        <v>1035</v>
      </c>
      <c r="B1" t="s">
        <v>1034</v>
      </c>
      <c r="C1" t="s">
        <v>1033</v>
      </c>
      <c r="D1" t="s">
        <v>1032</v>
      </c>
      <c r="E1" t="s">
        <v>0</v>
      </c>
      <c r="F1" t="s">
        <v>1</v>
      </c>
      <c r="G1" t="s">
        <v>2</v>
      </c>
      <c r="H1" t="s">
        <v>3</v>
      </c>
      <c r="I1" t="s">
        <v>4</v>
      </c>
      <c r="J1" t="s">
        <v>1031</v>
      </c>
      <c r="K1" t="s">
        <v>1030</v>
      </c>
      <c r="L1" t="s">
        <v>1029</v>
      </c>
      <c r="M1" t="s">
        <v>1037</v>
      </c>
    </row>
    <row r="2" spans="1:13">
      <c r="A2">
        <v>1287323</v>
      </c>
      <c r="B2">
        <v>10</v>
      </c>
      <c r="C2">
        <v>17</v>
      </c>
      <c r="D2">
        <v>0</v>
      </c>
      <c r="E2">
        <v>-3</v>
      </c>
      <c r="F2">
        <v>3</v>
      </c>
      <c r="G2">
        <v>-4</v>
      </c>
      <c r="H2">
        <v>3</v>
      </c>
      <c r="I2">
        <v>3</v>
      </c>
      <c r="J2">
        <v>5</v>
      </c>
      <c r="K2">
        <v>0</v>
      </c>
      <c r="L2">
        <v>3</v>
      </c>
      <c r="M2" t="str">
        <f>TEXT(def_sup_mcq[[#This Row],[StudentNumber]],"0")</f>
        <v>1287323</v>
      </c>
    </row>
    <row r="3" spans="1:13">
      <c r="A3">
        <v>2088691</v>
      </c>
      <c r="B3">
        <v>12</v>
      </c>
      <c r="C3">
        <v>20</v>
      </c>
      <c r="D3">
        <v>0</v>
      </c>
      <c r="E3">
        <v>-5</v>
      </c>
      <c r="F3">
        <v>4</v>
      </c>
      <c r="G3">
        <v>3</v>
      </c>
      <c r="H3">
        <v>3</v>
      </c>
      <c r="I3">
        <v>2</v>
      </c>
      <c r="J3">
        <v>5</v>
      </c>
      <c r="K3">
        <v>-3</v>
      </c>
      <c r="L3">
        <v>3</v>
      </c>
      <c r="M3" t="str">
        <f>TEXT(def_sup_mcq[[#This Row],[StudentNumber]],"0")</f>
        <v>2088691</v>
      </c>
    </row>
    <row r="4" spans="1:13">
      <c r="A4">
        <v>2219934</v>
      </c>
      <c r="B4">
        <v>4</v>
      </c>
      <c r="C4">
        <v>11</v>
      </c>
      <c r="D4">
        <v>0</v>
      </c>
      <c r="E4">
        <v>1</v>
      </c>
      <c r="F4">
        <v>2</v>
      </c>
      <c r="G4">
        <v>-1</v>
      </c>
      <c r="H4">
        <v>-2</v>
      </c>
      <c r="I4">
        <v>3</v>
      </c>
      <c r="J4">
        <v>5</v>
      </c>
      <c r="K4">
        <v>-3</v>
      </c>
      <c r="L4">
        <v>-1</v>
      </c>
      <c r="M4" t="str">
        <f>TEXT(def_sup_mcq[[#This Row],[StudentNumber]],"0")</f>
        <v>2219934</v>
      </c>
    </row>
    <row r="5" spans="1:13">
      <c r="A5">
        <v>1660819</v>
      </c>
      <c r="B5">
        <v>17</v>
      </c>
      <c r="C5">
        <v>21</v>
      </c>
      <c r="D5">
        <v>0</v>
      </c>
      <c r="E5">
        <v>-2</v>
      </c>
      <c r="F5">
        <v>-2</v>
      </c>
      <c r="G5">
        <v>5</v>
      </c>
      <c r="H5">
        <v>5</v>
      </c>
      <c r="I5">
        <v>3</v>
      </c>
      <c r="J5">
        <v>5</v>
      </c>
      <c r="K5">
        <v>0</v>
      </c>
      <c r="L5">
        <v>3</v>
      </c>
      <c r="M5" t="str">
        <f>TEXT(def_sup_mcq[[#This Row],[StudentNumber]],"0")</f>
        <v>1660819</v>
      </c>
    </row>
    <row r="6" spans="1:13">
      <c r="A6">
        <v>1775759</v>
      </c>
      <c r="B6">
        <v>3</v>
      </c>
      <c r="C6">
        <v>12</v>
      </c>
      <c r="D6">
        <v>0</v>
      </c>
      <c r="E6">
        <v>3</v>
      </c>
      <c r="F6">
        <v>-3</v>
      </c>
      <c r="G6">
        <v>3</v>
      </c>
      <c r="H6">
        <v>-1</v>
      </c>
      <c r="I6">
        <v>2</v>
      </c>
      <c r="J6">
        <v>0</v>
      </c>
      <c r="K6">
        <v>-5</v>
      </c>
      <c r="L6">
        <v>4</v>
      </c>
      <c r="M6" t="str">
        <f>TEXT(def_sup_mcq[[#This Row],[StudentNumber]],"0")</f>
        <v>1775759</v>
      </c>
    </row>
    <row r="7" spans="1:13">
      <c r="A7">
        <v>2345892</v>
      </c>
      <c r="B7">
        <v>21</v>
      </c>
      <c r="C7">
        <v>25</v>
      </c>
      <c r="D7">
        <v>0</v>
      </c>
      <c r="E7">
        <v>4</v>
      </c>
      <c r="F7">
        <v>-1</v>
      </c>
      <c r="G7">
        <v>5</v>
      </c>
      <c r="H7">
        <v>3</v>
      </c>
      <c r="I7">
        <v>5</v>
      </c>
      <c r="J7">
        <v>5</v>
      </c>
      <c r="K7">
        <v>-3</v>
      </c>
      <c r="L7">
        <v>3</v>
      </c>
      <c r="M7" t="str">
        <f>TEXT(def_sup_mcq[[#This Row],[StudentNumber]],"0")</f>
        <v>2345892</v>
      </c>
    </row>
    <row r="8" spans="1:13">
      <c r="A8">
        <v>1864128</v>
      </c>
      <c r="B8">
        <v>12</v>
      </c>
      <c r="C8">
        <v>13</v>
      </c>
      <c r="D8">
        <v>0</v>
      </c>
      <c r="E8">
        <v>0</v>
      </c>
      <c r="F8">
        <v>3</v>
      </c>
      <c r="G8">
        <v>2</v>
      </c>
      <c r="H8">
        <v>-1</v>
      </c>
      <c r="I8">
        <v>2</v>
      </c>
      <c r="J8">
        <v>3</v>
      </c>
      <c r="K8">
        <v>2</v>
      </c>
      <c r="L8">
        <v>1</v>
      </c>
      <c r="M8" t="str">
        <f>TEXT(def_sup_mcq[[#This Row],[StudentNumber]],"0")</f>
        <v>1864128</v>
      </c>
    </row>
    <row r="9" spans="1:13">
      <c r="A9">
        <v>2129606</v>
      </c>
      <c r="B9">
        <v>-7</v>
      </c>
      <c r="C9">
        <v>3</v>
      </c>
      <c r="D9">
        <v>0</v>
      </c>
      <c r="E9">
        <v>0</v>
      </c>
      <c r="F9">
        <v>0</v>
      </c>
      <c r="G9">
        <v>-5</v>
      </c>
      <c r="H9">
        <v>2</v>
      </c>
      <c r="I9">
        <v>1</v>
      </c>
      <c r="J9">
        <v>-2</v>
      </c>
      <c r="K9">
        <v>0</v>
      </c>
      <c r="L9">
        <v>-3</v>
      </c>
      <c r="M9" t="str">
        <f>TEXT(def_sup_mcq[[#This Row],[StudentNumber]],"0")</f>
        <v>2129606</v>
      </c>
    </row>
    <row r="10" spans="1:13">
      <c r="A10">
        <v>2010805</v>
      </c>
      <c r="B10">
        <v>18</v>
      </c>
      <c r="C10">
        <v>21</v>
      </c>
      <c r="D10">
        <v>0</v>
      </c>
      <c r="E10">
        <v>0</v>
      </c>
      <c r="F10">
        <v>5</v>
      </c>
      <c r="G10">
        <v>5</v>
      </c>
      <c r="H10">
        <v>1</v>
      </c>
      <c r="I10">
        <v>4</v>
      </c>
      <c r="J10">
        <v>3</v>
      </c>
      <c r="K10">
        <v>-3</v>
      </c>
      <c r="L10">
        <v>3</v>
      </c>
      <c r="M10" t="str">
        <f>TEXT(def_sup_mcq[[#This Row],[StudentNumber]],"0")</f>
        <v>2010805</v>
      </c>
    </row>
    <row r="11" spans="1:13">
      <c r="A11">
        <v>2156293</v>
      </c>
      <c r="B11">
        <v>20</v>
      </c>
      <c r="C11">
        <v>21</v>
      </c>
      <c r="D11">
        <v>0</v>
      </c>
      <c r="E11">
        <v>0</v>
      </c>
      <c r="F11">
        <v>4</v>
      </c>
      <c r="G11">
        <v>5</v>
      </c>
      <c r="H11">
        <v>3</v>
      </c>
      <c r="I11">
        <v>3</v>
      </c>
      <c r="J11">
        <v>3</v>
      </c>
      <c r="K11">
        <v>-1</v>
      </c>
      <c r="L11">
        <v>3</v>
      </c>
      <c r="M11" t="str">
        <f>TEXT(def_sup_mcq[[#This Row],[StudentNumber]],"0")</f>
        <v>2156293</v>
      </c>
    </row>
    <row r="12" spans="1:13">
      <c r="A12">
        <v>2166010</v>
      </c>
      <c r="B12">
        <v>20</v>
      </c>
      <c r="C12">
        <v>22</v>
      </c>
      <c r="D12">
        <v>0</v>
      </c>
      <c r="E12">
        <v>-1</v>
      </c>
      <c r="F12">
        <v>-1</v>
      </c>
      <c r="G12">
        <v>5</v>
      </c>
      <c r="H12">
        <v>3</v>
      </c>
      <c r="I12">
        <v>3</v>
      </c>
      <c r="J12">
        <v>5</v>
      </c>
      <c r="K12">
        <v>3</v>
      </c>
      <c r="L12">
        <v>3</v>
      </c>
      <c r="M12" t="str">
        <f>TEXT(def_sup_mcq[[#This Row],[StudentNumber]],"0")</f>
        <v>2166010</v>
      </c>
    </row>
    <row r="13" spans="1:13">
      <c r="A13">
        <v>1455713</v>
      </c>
      <c r="B13">
        <v>7</v>
      </c>
      <c r="C13">
        <v>10</v>
      </c>
      <c r="D13">
        <v>0</v>
      </c>
      <c r="E13">
        <v>0</v>
      </c>
      <c r="F13">
        <v>-2</v>
      </c>
      <c r="G13">
        <v>3</v>
      </c>
      <c r="H13">
        <v>-1</v>
      </c>
      <c r="I13">
        <v>1</v>
      </c>
      <c r="J13">
        <v>5</v>
      </c>
      <c r="K13">
        <v>0</v>
      </c>
      <c r="L13">
        <v>1</v>
      </c>
      <c r="M13" t="str">
        <f>TEXT(def_sup_mcq[[#This Row],[StudentNumber]],"0")</f>
        <v>1455713</v>
      </c>
    </row>
    <row r="14" spans="1:13">
      <c r="A14">
        <v>1854920</v>
      </c>
      <c r="B14">
        <v>14</v>
      </c>
      <c r="C14">
        <v>14</v>
      </c>
      <c r="D14">
        <v>0</v>
      </c>
      <c r="E14">
        <v>2</v>
      </c>
      <c r="F14">
        <v>3</v>
      </c>
      <c r="G14">
        <v>5</v>
      </c>
      <c r="H14">
        <v>0</v>
      </c>
      <c r="I14">
        <v>1</v>
      </c>
      <c r="J14">
        <v>3</v>
      </c>
      <c r="K14">
        <v>0</v>
      </c>
      <c r="L14">
        <v>0</v>
      </c>
      <c r="M14" t="str">
        <f>TEXT(def_sup_mcq[[#This Row],[StudentNumber]],"0")</f>
        <v>1854920</v>
      </c>
    </row>
    <row r="15" spans="1:13">
      <c r="A15">
        <v>1834022</v>
      </c>
      <c r="B15">
        <v>2</v>
      </c>
      <c r="C15">
        <v>11</v>
      </c>
      <c r="D15">
        <v>0</v>
      </c>
      <c r="E15">
        <v>0</v>
      </c>
      <c r="F15">
        <v>-2</v>
      </c>
      <c r="G15">
        <v>-5</v>
      </c>
      <c r="H15">
        <v>3</v>
      </c>
      <c r="I15">
        <v>-1</v>
      </c>
      <c r="J15">
        <v>3</v>
      </c>
      <c r="K15">
        <v>-1</v>
      </c>
      <c r="L15">
        <v>5</v>
      </c>
      <c r="M15" t="str">
        <f>TEXT(def_sup_mcq[[#This Row],[StudentNumber]],"0")</f>
        <v>1834022</v>
      </c>
    </row>
    <row r="16" spans="1:13">
      <c r="A16">
        <v>1437039</v>
      </c>
      <c r="B16">
        <v>0</v>
      </c>
      <c r="C16">
        <v>6</v>
      </c>
      <c r="D16">
        <v>0</v>
      </c>
      <c r="E16">
        <v>0</v>
      </c>
      <c r="F16">
        <v>-3</v>
      </c>
      <c r="G16">
        <v>-3</v>
      </c>
      <c r="H16">
        <v>0</v>
      </c>
      <c r="I16">
        <v>0</v>
      </c>
      <c r="J16">
        <v>3</v>
      </c>
      <c r="K16">
        <v>0</v>
      </c>
      <c r="L16">
        <v>3</v>
      </c>
      <c r="M16" t="str">
        <f>TEXT(def_sup_mcq[[#This Row],[StudentNumber]],"0")</f>
        <v>1437039</v>
      </c>
    </row>
    <row r="17" spans="1:13">
      <c r="A17">
        <v>1832991</v>
      </c>
      <c r="B17">
        <v>18</v>
      </c>
      <c r="C17">
        <v>22</v>
      </c>
      <c r="D17">
        <v>0</v>
      </c>
      <c r="E17">
        <v>5</v>
      </c>
      <c r="F17">
        <v>-1</v>
      </c>
      <c r="G17">
        <v>5</v>
      </c>
      <c r="H17">
        <v>3</v>
      </c>
      <c r="I17">
        <v>1</v>
      </c>
      <c r="J17">
        <v>5</v>
      </c>
      <c r="K17">
        <v>-3</v>
      </c>
      <c r="L17">
        <v>3</v>
      </c>
      <c r="M17" t="str">
        <f>TEXT(def_sup_mcq[[#This Row],[StudentNumber]],"0")</f>
        <v>1832991</v>
      </c>
    </row>
    <row r="18" spans="1:13">
      <c r="A18">
        <v>2308227</v>
      </c>
      <c r="B18">
        <v>17</v>
      </c>
      <c r="C18">
        <v>22</v>
      </c>
      <c r="D18">
        <v>0</v>
      </c>
      <c r="E18">
        <v>-2</v>
      </c>
      <c r="F18">
        <v>4</v>
      </c>
      <c r="G18">
        <v>5</v>
      </c>
      <c r="H18">
        <v>3</v>
      </c>
      <c r="I18">
        <v>2</v>
      </c>
      <c r="J18">
        <v>5</v>
      </c>
      <c r="K18">
        <v>-3</v>
      </c>
      <c r="L18">
        <v>3</v>
      </c>
      <c r="M18" t="str">
        <f>TEXT(def_sup_mcq[[#This Row],[StudentNumber]],"0")</f>
        <v>2308227</v>
      </c>
    </row>
    <row r="19" spans="1:13">
      <c r="A19">
        <v>1906349</v>
      </c>
      <c r="B19">
        <v>7</v>
      </c>
      <c r="C19">
        <v>12</v>
      </c>
      <c r="D19">
        <v>0</v>
      </c>
      <c r="E19">
        <v>1</v>
      </c>
      <c r="F19">
        <v>-2</v>
      </c>
      <c r="G19">
        <v>3</v>
      </c>
      <c r="H19">
        <v>3</v>
      </c>
      <c r="I19">
        <v>-2</v>
      </c>
      <c r="J19">
        <v>3</v>
      </c>
      <c r="K19">
        <v>-1</v>
      </c>
      <c r="L19">
        <v>2</v>
      </c>
      <c r="M19" t="str">
        <f>TEXT(def_sup_mcq[[#This Row],[StudentNumber]],"0")</f>
        <v>1906349</v>
      </c>
    </row>
    <row r="20" spans="1:13">
      <c r="A20">
        <v>2050175</v>
      </c>
      <c r="B20">
        <v>9</v>
      </c>
      <c r="C20">
        <v>15</v>
      </c>
      <c r="D20">
        <v>0</v>
      </c>
      <c r="E20">
        <v>-3</v>
      </c>
      <c r="F20">
        <v>-1</v>
      </c>
      <c r="G20">
        <v>5</v>
      </c>
      <c r="H20">
        <v>2</v>
      </c>
      <c r="I20">
        <v>-1</v>
      </c>
      <c r="J20">
        <v>5</v>
      </c>
      <c r="K20">
        <v>-1</v>
      </c>
      <c r="L20">
        <v>3</v>
      </c>
      <c r="M20" t="str">
        <f>TEXT(def_sup_mcq[[#This Row],[StudentNumber]],"0")</f>
        <v>2050175</v>
      </c>
    </row>
    <row r="21" spans="1:13">
      <c r="A21">
        <v>1730123</v>
      </c>
      <c r="B21">
        <v>9</v>
      </c>
      <c r="C21">
        <v>14</v>
      </c>
      <c r="D21">
        <v>0</v>
      </c>
      <c r="E21">
        <v>0</v>
      </c>
      <c r="F21">
        <v>-5</v>
      </c>
      <c r="G21">
        <v>5</v>
      </c>
      <c r="H21">
        <v>1</v>
      </c>
      <c r="I21">
        <v>0</v>
      </c>
      <c r="J21">
        <v>5</v>
      </c>
      <c r="K21">
        <v>0</v>
      </c>
      <c r="L21">
        <v>3</v>
      </c>
      <c r="M21" t="str">
        <f>TEXT(def_sup_mcq[[#This Row],[StudentNumber]],"0")</f>
        <v>1730123</v>
      </c>
    </row>
    <row r="22" spans="1:13">
      <c r="A22">
        <v>2208622</v>
      </c>
      <c r="B22">
        <v>11</v>
      </c>
      <c r="C22">
        <v>12</v>
      </c>
      <c r="D22">
        <v>0</v>
      </c>
      <c r="E22">
        <v>0</v>
      </c>
      <c r="F22">
        <v>-1</v>
      </c>
      <c r="G22">
        <v>0</v>
      </c>
      <c r="H22">
        <v>1</v>
      </c>
      <c r="I22">
        <v>3</v>
      </c>
      <c r="J22">
        <v>5</v>
      </c>
      <c r="K22">
        <v>0</v>
      </c>
      <c r="L22">
        <v>3</v>
      </c>
      <c r="M22" t="str">
        <f>TEXT(def_sup_mcq[[#This Row],[StudentNumber]],"0")</f>
        <v>2208622</v>
      </c>
    </row>
    <row r="23" spans="1:13">
      <c r="A23">
        <v>1823178</v>
      </c>
      <c r="B23">
        <v>8</v>
      </c>
      <c r="C23">
        <v>13</v>
      </c>
      <c r="D23">
        <v>0</v>
      </c>
      <c r="E23">
        <v>0</v>
      </c>
      <c r="F23">
        <v>-2</v>
      </c>
      <c r="G23">
        <v>2</v>
      </c>
      <c r="H23">
        <v>3</v>
      </c>
      <c r="I23">
        <v>0</v>
      </c>
      <c r="J23">
        <v>5</v>
      </c>
      <c r="K23">
        <v>-3</v>
      </c>
      <c r="L23">
        <v>3</v>
      </c>
      <c r="M23" t="str">
        <f>TEXT(def_sup_mcq[[#This Row],[StudentNumber]],"0")</f>
        <v>1823178</v>
      </c>
    </row>
    <row r="24" spans="1:13">
      <c r="A24">
        <v>1849732</v>
      </c>
      <c r="B24">
        <v>6</v>
      </c>
      <c r="C24">
        <v>16</v>
      </c>
      <c r="D24">
        <v>0</v>
      </c>
      <c r="E24">
        <v>-4</v>
      </c>
      <c r="F24">
        <v>-4</v>
      </c>
      <c r="G24">
        <v>5</v>
      </c>
      <c r="H24">
        <v>1</v>
      </c>
      <c r="I24">
        <v>3</v>
      </c>
      <c r="J24">
        <v>5</v>
      </c>
      <c r="K24">
        <v>-2</v>
      </c>
      <c r="L24">
        <v>2</v>
      </c>
      <c r="M24" t="str">
        <f>TEXT(def_sup_mcq[[#This Row],[StudentNumber]],"0")</f>
        <v>1849732</v>
      </c>
    </row>
    <row r="25" spans="1:13">
      <c r="A25">
        <v>1864879</v>
      </c>
      <c r="B25">
        <v>3</v>
      </c>
      <c r="C25">
        <v>7</v>
      </c>
      <c r="D25">
        <v>0</v>
      </c>
      <c r="E25">
        <v>0</v>
      </c>
      <c r="F25">
        <v>2</v>
      </c>
      <c r="G25">
        <v>1</v>
      </c>
      <c r="H25">
        <v>-1</v>
      </c>
      <c r="I25">
        <v>-2</v>
      </c>
      <c r="J25">
        <v>1</v>
      </c>
      <c r="K25">
        <v>-1</v>
      </c>
      <c r="L25">
        <v>3</v>
      </c>
      <c r="M25" t="str">
        <f>TEXT(def_sup_mcq[[#This Row],[StudentNumber]],"0")</f>
        <v>1864879</v>
      </c>
    </row>
    <row r="26" spans="1:13">
      <c r="A26">
        <v>2140390</v>
      </c>
      <c r="B26">
        <v>8</v>
      </c>
      <c r="C26">
        <v>14</v>
      </c>
      <c r="D26">
        <v>0</v>
      </c>
      <c r="E26">
        <v>-2</v>
      </c>
      <c r="F26">
        <v>-3</v>
      </c>
      <c r="G26">
        <v>-1</v>
      </c>
      <c r="H26">
        <v>5</v>
      </c>
      <c r="I26">
        <v>3</v>
      </c>
      <c r="J26">
        <v>5</v>
      </c>
      <c r="K26">
        <v>0</v>
      </c>
      <c r="L26">
        <v>1</v>
      </c>
      <c r="M26" t="str">
        <f>TEXT(def_sup_mcq[[#This Row],[StudentNumber]],"0")</f>
        <v>2140390</v>
      </c>
    </row>
    <row r="27" spans="1:13">
      <c r="A27">
        <v>2141245</v>
      </c>
      <c r="B27">
        <v>15</v>
      </c>
      <c r="C27">
        <v>18</v>
      </c>
      <c r="D27">
        <v>0</v>
      </c>
      <c r="E27">
        <v>3</v>
      </c>
      <c r="F27">
        <v>-2</v>
      </c>
      <c r="G27">
        <v>5</v>
      </c>
      <c r="H27">
        <v>0</v>
      </c>
      <c r="I27">
        <v>3</v>
      </c>
      <c r="J27">
        <v>5</v>
      </c>
      <c r="K27">
        <v>-1</v>
      </c>
      <c r="L27">
        <v>2</v>
      </c>
      <c r="M27" t="str">
        <f>TEXT(def_sup_mcq[[#This Row],[StudentNumber]],"0")</f>
        <v>2141245</v>
      </c>
    </row>
    <row r="28" spans="1:13">
      <c r="A28">
        <v>2199951</v>
      </c>
      <c r="B28">
        <v>13</v>
      </c>
      <c r="C28">
        <v>16</v>
      </c>
      <c r="D28">
        <v>0</v>
      </c>
      <c r="E28">
        <v>0</v>
      </c>
      <c r="F28">
        <v>-3</v>
      </c>
      <c r="G28">
        <v>5</v>
      </c>
      <c r="H28">
        <v>3</v>
      </c>
      <c r="I28">
        <v>3</v>
      </c>
      <c r="J28">
        <v>3</v>
      </c>
      <c r="K28">
        <v>0</v>
      </c>
      <c r="L28">
        <v>2</v>
      </c>
      <c r="M28" t="str">
        <f>TEXT(def_sup_mcq[[#This Row],[StudentNumber]],"0")</f>
        <v>2199951</v>
      </c>
    </row>
    <row r="29" spans="1:13">
      <c r="A29">
        <v>2307157</v>
      </c>
      <c r="B29">
        <v>11</v>
      </c>
      <c r="C29">
        <v>16</v>
      </c>
      <c r="D29">
        <v>0</v>
      </c>
      <c r="E29">
        <v>3</v>
      </c>
      <c r="F29">
        <v>-3</v>
      </c>
      <c r="G29">
        <v>3</v>
      </c>
      <c r="H29">
        <v>4</v>
      </c>
      <c r="I29">
        <v>-1</v>
      </c>
      <c r="J29">
        <v>5</v>
      </c>
      <c r="K29">
        <v>-1</v>
      </c>
      <c r="L29">
        <v>1</v>
      </c>
      <c r="M29" t="str">
        <f>TEXT(def_sup_mcq[[#This Row],[StudentNumber]],"0")</f>
        <v>2307157</v>
      </c>
    </row>
    <row r="30" spans="1:13">
      <c r="A30">
        <v>2373926</v>
      </c>
      <c r="B30">
        <v>21</v>
      </c>
      <c r="C30">
        <v>23</v>
      </c>
      <c r="D30">
        <v>0</v>
      </c>
      <c r="E30">
        <v>-2</v>
      </c>
      <c r="F30">
        <v>3</v>
      </c>
      <c r="G30">
        <v>5</v>
      </c>
      <c r="H30">
        <v>2</v>
      </c>
      <c r="I30">
        <v>5</v>
      </c>
      <c r="J30">
        <v>5</v>
      </c>
      <c r="K30">
        <v>0</v>
      </c>
      <c r="L30">
        <v>3</v>
      </c>
      <c r="M30" t="str">
        <f>TEXT(def_sup_mcq[[#This Row],[StudentNumber]],"0")</f>
        <v>2373926</v>
      </c>
    </row>
    <row r="31" spans="1:13">
      <c r="A31">
        <v>2172598</v>
      </c>
      <c r="B31">
        <v>21</v>
      </c>
      <c r="C31">
        <v>21</v>
      </c>
      <c r="D31">
        <v>0</v>
      </c>
      <c r="E31">
        <v>1</v>
      </c>
      <c r="F31">
        <v>0</v>
      </c>
      <c r="G31">
        <v>5</v>
      </c>
      <c r="H31">
        <v>3</v>
      </c>
      <c r="I31">
        <v>5</v>
      </c>
      <c r="J31">
        <v>5</v>
      </c>
      <c r="K31">
        <v>0</v>
      </c>
      <c r="L31">
        <v>2</v>
      </c>
      <c r="M31" t="str">
        <f>TEXT(def_sup_mcq[[#This Row],[StudentNumber]],"0")</f>
        <v>2172598</v>
      </c>
    </row>
    <row r="32" spans="1:13">
      <c r="A32">
        <v>2352044</v>
      </c>
      <c r="B32">
        <v>8</v>
      </c>
      <c r="C32">
        <v>18</v>
      </c>
      <c r="D32">
        <v>0</v>
      </c>
      <c r="E32">
        <v>-2</v>
      </c>
      <c r="F32">
        <v>-3</v>
      </c>
      <c r="G32">
        <v>5</v>
      </c>
      <c r="H32">
        <v>3</v>
      </c>
      <c r="I32">
        <v>5</v>
      </c>
      <c r="J32">
        <v>3</v>
      </c>
      <c r="K32">
        <v>-5</v>
      </c>
      <c r="L32">
        <v>2</v>
      </c>
      <c r="M32" t="str">
        <f>TEXT(def_sup_mcq[[#This Row],[StudentNumber]],"0")</f>
        <v>2352044</v>
      </c>
    </row>
    <row r="33" spans="1:13">
      <c r="A33">
        <v>2144205</v>
      </c>
      <c r="B33">
        <v>16</v>
      </c>
      <c r="C33">
        <v>17</v>
      </c>
      <c r="D33">
        <v>0</v>
      </c>
      <c r="E33">
        <v>1</v>
      </c>
      <c r="F33">
        <v>-1</v>
      </c>
      <c r="G33">
        <v>5</v>
      </c>
      <c r="H33">
        <v>3</v>
      </c>
      <c r="I33">
        <v>3</v>
      </c>
      <c r="J33">
        <v>3</v>
      </c>
      <c r="K33">
        <v>0</v>
      </c>
      <c r="L33">
        <v>2</v>
      </c>
      <c r="M33" t="str">
        <f>TEXT(def_sup_mcq[[#This Row],[StudentNumber]],"0")</f>
        <v>2144205</v>
      </c>
    </row>
    <row r="34" spans="1:13">
      <c r="A34">
        <v>1851387</v>
      </c>
      <c r="B34">
        <v>9</v>
      </c>
      <c r="C34">
        <v>16</v>
      </c>
      <c r="D34">
        <v>0</v>
      </c>
      <c r="E34">
        <v>-2</v>
      </c>
      <c r="F34">
        <v>-2</v>
      </c>
      <c r="G34">
        <v>5</v>
      </c>
      <c r="H34">
        <v>3</v>
      </c>
      <c r="I34">
        <v>-2</v>
      </c>
      <c r="J34">
        <v>5</v>
      </c>
      <c r="K34">
        <v>-1</v>
      </c>
      <c r="L34">
        <v>3</v>
      </c>
      <c r="M34" t="str">
        <f>TEXT(def_sup_mcq[[#This Row],[StudentNumber]],"0")</f>
        <v>1851387</v>
      </c>
    </row>
    <row r="35" spans="1:13">
      <c r="A35">
        <v>2104199</v>
      </c>
      <c r="B35">
        <v>14</v>
      </c>
      <c r="C35">
        <v>17</v>
      </c>
      <c r="D35">
        <v>0</v>
      </c>
      <c r="E35">
        <v>0</v>
      </c>
      <c r="F35">
        <v>-2</v>
      </c>
      <c r="G35">
        <v>4</v>
      </c>
      <c r="H35">
        <v>2</v>
      </c>
      <c r="I35">
        <v>3</v>
      </c>
      <c r="J35">
        <v>5</v>
      </c>
      <c r="K35">
        <v>-1</v>
      </c>
      <c r="L35">
        <v>3</v>
      </c>
      <c r="M35" t="str">
        <f>TEXT(def_sup_mcq[[#This Row],[StudentNumber]],"0")</f>
        <v>2104199</v>
      </c>
    </row>
    <row r="36" spans="1:13">
      <c r="A36">
        <v>2303450</v>
      </c>
      <c r="B36">
        <v>17</v>
      </c>
      <c r="C36">
        <v>21</v>
      </c>
      <c r="D36">
        <v>0</v>
      </c>
      <c r="E36">
        <v>1</v>
      </c>
      <c r="F36">
        <v>4</v>
      </c>
      <c r="G36">
        <v>5</v>
      </c>
      <c r="H36">
        <v>3</v>
      </c>
      <c r="I36">
        <v>3</v>
      </c>
      <c r="J36">
        <v>5</v>
      </c>
      <c r="K36">
        <v>-3</v>
      </c>
      <c r="L36">
        <v>-1</v>
      </c>
      <c r="M36" t="str">
        <f>TEXT(def_sup_mcq[[#This Row],[StudentNumber]],"0")</f>
        <v>2303450</v>
      </c>
    </row>
    <row r="37" spans="1:13">
      <c r="A37">
        <v>2353833</v>
      </c>
      <c r="B37">
        <v>23</v>
      </c>
      <c r="C37">
        <v>26</v>
      </c>
      <c r="D37">
        <v>0</v>
      </c>
      <c r="E37">
        <v>3</v>
      </c>
      <c r="F37">
        <v>4</v>
      </c>
      <c r="G37">
        <v>5</v>
      </c>
      <c r="H37">
        <v>3</v>
      </c>
      <c r="I37">
        <v>3</v>
      </c>
      <c r="J37">
        <v>5</v>
      </c>
      <c r="K37">
        <v>-3</v>
      </c>
      <c r="L37">
        <v>3</v>
      </c>
      <c r="M37" t="str">
        <f>TEXT(def_sup_mcq[[#This Row],[StudentNumber]],"0")</f>
        <v>2353833</v>
      </c>
    </row>
    <row r="38" spans="1:13">
      <c r="A38">
        <v>1823614</v>
      </c>
      <c r="B38">
        <v>14</v>
      </c>
      <c r="C38">
        <v>20</v>
      </c>
      <c r="D38">
        <v>0</v>
      </c>
      <c r="E38">
        <v>-2</v>
      </c>
      <c r="F38">
        <v>-4</v>
      </c>
      <c r="G38">
        <v>2</v>
      </c>
      <c r="H38">
        <v>3</v>
      </c>
      <c r="I38">
        <v>3</v>
      </c>
      <c r="J38">
        <v>5</v>
      </c>
      <c r="K38">
        <v>5</v>
      </c>
      <c r="L38">
        <v>2</v>
      </c>
      <c r="M38" t="str">
        <f>TEXT(def_sup_mcq[[#This Row],[StudentNumber]],"0")</f>
        <v>1823614</v>
      </c>
    </row>
    <row r="39" spans="1:13">
      <c r="A39">
        <v>1744150</v>
      </c>
      <c r="B39">
        <v>9</v>
      </c>
      <c r="C39">
        <v>17</v>
      </c>
      <c r="D39">
        <v>0</v>
      </c>
      <c r="E39">
        <v>-2</v>
      </c>
      <c r="F39">
        <v>-3</v>
      </c>
      <c r="G39">
        <v>5</v>
      </c>
      <c r="H39">
        <v>1</v>
      </c>
      <c r="I39">
        <v>3</v>
      </c>
      <c r="J39">
        <v>5</v>
      </c>
      <c r="K39">
        <v>-3</v>
      </c>
      <c r="L39">
        <v>3</v>
      </c>
      <c r="M39" t="str">
        <f>TEXT(def_sup_mcq[[#This Row],[StudentNumber]],"0")</f>
        <v>1744150</v>
      </c>
    </row>
    <row r="40" spans="1:13">
      <c r="A40">
        <v>1715463</v>
      </c>
      <c r="B40">
        <v>-3</v>
      </c>
      <c r="C40">
        <v>8</v>
      </c>
      <c r="D40">
        <v>0</v>
      </c>
      <c r="E40">
        <v>-2</v>
      </c>
      <c r="F40">
        <v>-4</v>
      </c>
      <c r="G40">
        <v>0</v>
      </c>
      <c r="H40">
        <v>3</v>
      </c>
      <c r="I40">
        <v>0</v>
      </c>
      <c r="J40">
        <v>5</v>
      </c>
      <c r="K40">
        <v>-3</v>
      </c>
      <c r="L40">
        <v>-2</v>
      </c>
      <c r="M40" t="str">
        <f>TEXT(def_sup_mcq[[#This Row],[StudentNumber]],"0")</f>
        <v>1715463</v>
      </c>
    </row>
    <row r="41" spans="1:13">
      <c r="A41">
        <v>1844501</v>
      </c>
      <c r="B41">
        <v>18</v>
      </c>
      <c r="C41">
        <v>18</v>
      </c>
      <c r="D41">
        <v>0</v>
      </c>
      <c r="E41">
        <v>1</v>
      </c>
      <c r="F41">
        <v>2</v>
      </c>
      <c r="G41">
        <v>5</v>
      </c>
      <c r="H41">
        <v>0</v>
      </c>
      <c r="I41">
        <v>3</v>
      </c>
      <c r="J41">
        <v>5</v>
      </c>
      <c r="K41">
        <v>0</v>
      </c>
      <c r="L41">
        <v>2</v>
      </c>
      <c r="M41" t="str">
        <f>TEXT(def_sup_mcq[[#This Row],[StudentNumber]],"0")</f>
        <v>1844501</v>
      </c>
    </row>
    <row r="42" spans="1:13">
      <c r="A42">
        <v>1832055</v>
      </c>
      <c r="B42">
        <v>11</v>
      </c>
      <c r="C42">
        <v>16</v>
      </c>
      <c r="D42">
        <v>0</v>
      </c>
      <c r="E42">
        <v>-2</v>
      </c>
      <c r="F42">
        <v>0</v>
      </c>
      <c r="G42">
        <v>5</v>
      </c>
      <c r="H42">
        <v>3</v>
      </c>
      <c r="I42">
        <v>1</v>
      </c>
      <c r="J42">
        <v>5</v>
      </c>
      <c r="K42">
        <v>-3</v>
      </c>
      <c r="L42">
        <v>2</v>
      </c>
      <c r="M42" t="str">
        <f>TEXT(def_sup_mcq[[#This Row],[StudentNumber]],"0")</f>
        <v>1832055</v>
      </c>
    </row>
    <row r="43" spans="1:13">
      <c r="A43">
        <v>1848116</v>
      </c>
      <c r="B43">
        <v>10</v>
      </c>
      <c r="C43">
        <v>16</v>
      </c>
      <c r="D43">
        <v>0</v>
      </c>
      <c r="E43">
        <v>3</v>
      </c>
      <c r="F43">
        <v>-2</v>
      </c>
      <c r="G43">
        <v>5</v>
      </c>
      <c r="H43">
        <v>-2</v>
      </c>
      <c r="I43">
        <v>3</v>
      </c>
      <c r="J43">
        <v>5</v>
      </c>
      <c r="K43">
        <v>0</v>
      </c>
      <c r="L43">
        <v>-2</v>
      </c>
      <c r="M43" t="str">
        <f>TEXT(def_sup_mcq[[#This Row],[StudentNumber]],"0")</f>
        <v>1848116</v>
      </c>
    </row>
    <row r="44" spans="1:13">
      <c r="A44">
        <v>1876297</v>
      </c>
      <c r="B44">
        <v>13</v>
      </c>
      <c r="C44">
        <v>15</v>
      </c>
      <c r="D44">
        <v>0</v>
      </c>
      <c r="E44">
        <v>-2</v>
      </c>
      <c r="F44">
        <v>4</v>
      </c>
      <c r="G44">
        <v>3</v>
      </c>
      <c r="H44">
        <v>3</v>
      </c>
      <c r="I44">
        <v>2</v>
      </c>
      <c r="J44">
        <v>3</v>
      </c>
      <c r="K44">
        <v>0</v>
      </c>
      <c r="L44">
        <v>0</v>
      </c>
      <c r="M44" t="str">
        <f>TEXT(def_sup_mcq[[#This Row],[StudentNumber]],"0")</f>
        <v>1876297</v>
      </c>
    </row>
    <row r="45" spans="1:13">
      <c r="A45">
        <v>2363523</v>
      </c>
      <c r="B45">
        <v>10</v>
      </c>
      <c r="C45">
        <v>18</v>
      </c>
      <c r="D45">
        <v>0</v>
      </c>
      <c r="E45">
        <v>3</v>
      </c>
      <c r="F45">
        <v>-3</v>
      </c>
      <c r="G45">
        <v>5</v>
      </c>
      <c r="H45">
        <v>3</v>
      </c>
      <c r="I45">
        <v>0</v>
      </c>
      <c r="J45">
        <v>5</v>
      </c>
      <c r="K45">
        <v>-5</v>
      </c>
      <c r="L45">
        <v>2</v>
      </c>
      <c r="M45" t="str">
        <f>TEXT(def_sup_mcq[[#This Row],[StudentNumber]],"0")</f>
        <v>2363523</v>
      </c>
    </row>
    <row r="46" spans="1:13">
      <c r="A46" s="165"/>
      <c r="M46" t="str">
        <f>TEXT(def_sup_mcq[[#This Row],[StudentNumber]],"0")</f>
        <v>0</v>
      </c>
    </row>
    <row r="47" spans="1:13">
      <c r="A47" s="165"/>
      <c r="M47" t="str">
        <f>TEXT(def_sup_mcq[[#This Row],[StudentNumber]],"0")</f>
        <v>0</v>
      </c>
    </row>
    <row r="48" spans="1:13">
      <c r="A48" s="165"/>
      <c r="M48" t="str">
        <f>TEXT(def_sup_mcq[[#This Row],[StudentNumber]],"0")</f>
        <v>0</v>
      </c>
    </row>
    <row r="49" spans="1:13">
      <c r="A49" s="165"/>
      <c r="M49" t="str">
        <f>TEXT(def_sup_mcq[[#This Row],[StudentNumber]],"0")</f>
        <v>0</v>
      </c>
    </row>
    <row r="50" spans="1:13">
      <c r="A50" s="165"/>
      <c r="M50" t="str">
        <f>TEXT(def_sup_mcq[[#This Row],[StudentNumber]],"0")</f>
        <v>0</v>
      </c>
    </row>
    <row r="51" spans="1:13">
      <c r="A51" s="165"/>
      <c r="M51" t="str">
        <f>TEXT(def_sup_mcq[[#This Row],[StudentNumber]],"0")</f>
        <v>0</v>
      </c>
    </row>
    <row r="52" spans="1:13">
      <c r="A52" s="165"/>
      <c r="M52" t="str">
        <f>TEXT(def_sup_mcq[[#This Row],[StudentNumber]],"0")</f>
        <v>0</v>
      </c>
    </row>
    <row r="53" spans="1:13">
      <c r="A53" s="165"/>
      <c r="M53" t="str">
        <f>TEXT(def_sup_mcq[[#This Row],[StudentNumber]],"0")</f>
        <v>0</v>
      </c>
    </row>
    <row r="54" spans="1:13">
      <c r="A54" s="165"/>
      <c r="M54" t="str">
        <f>TEXT(def_sup_mcq[[#This Row],[StudentNumber]],"0")</f>
        <v>0</v>
      </c>
    </row>
    <row r="55" spans="1:13">
      <c r="A55" s="165"/>
      <c r="M55" t="str">
        <f>TEXT(def_sup_mcq[[#This Row],[StudentNumber]],"0")</f>
        <v>0</v>
      </c>
    </row>
    <row r="56" spans="1:13">
      <c r="A56" s="165"/>
      <c r="M56" t="str">
        <f>TEXT(def_sup_mcq[[#This Row],[StudentNumber]],"0")</f>
        <v>0</v>
      </c>
    </row>
    <row r="57" spans="1:13">
      <c r="A57" s="165"/>
      <c r="M57" t="str">
        <f>TEXT(def_sup_mcq[[#This Row],[StudentNumber]],"0")</f>
        <v>0</v>
      </c>
    </row>
    <row r="58" spans="1:13">
      <c r="A58" s="165"/>
      <c r="M58" t="str">
        <f>TEXT(def_sup_mcq[[#This Row],[StudentNumber]],"0")</f>
        <v>0</v>
      </c>
    </row>
    <row r="59" spans="1:13">
      <c r="A59" s="165"/>
      <c r="M59" t="str">
        <f>TEXT(def_sup_mcq[[#This Row],[StudentNumber]],"0")</f>
        <v>0</v>
      </c>
    </row>
    <row r="60" spans="1:13">
      <c r="A60" s="165"/>
      <c r="M60" t="str">
        <f>TEXT(def_sup_mcq[[#This Row],[StudentNumber]],"0")</f>
        <v>0</v>
      </c>
    </row>
    <row r="61" spans="1:13">
      <c r="A61" s="165"/>
      <c r="M61" t="str">
        <f>TEXT(def_sup_mcq[[#This Row],[StudentNumber]],"0")</f>
        <v>0</v>
      </c>
    </row>
    <row r="62" spans="1:13">
      <c r="A62" s="165"/>
      <c r="M62" t="str">
        <f>TEXT(def_sup_mcq[[#This Row],[StudentNumber]],"0")</f>
        <v>0</v>
      </c>
    </row>
    <row r="63" spans="1:13">
      <c r="A63" s="165"/>
      <c r="M63" t="str">
        <f>TEXT(def_sup_mcq[[#This Row],[StudentNumber]],"0")</f>
        <v>0</v>
      </c>
    </row>
    <row r="64" spans="1:13">
      <c r="A64" s="165"/>
      <c r="M64" t="str">
        <f>TEXT(def_sup_mcq[[#This Row],[StudentNumber]],"0")</f>
        <v>0</v>
      </c>
    </row>
    <row r="65" spans="1:13">
      <c r="A65" s="165"/>
      <c r="M65" t="str">
        <f>TEXT(def_sup_mcq[[#This Row],[StudentNumber]],"0")</f>
        <v>0</v>
      </c>
    </row>
    <row r="66" spans="1:13">
      <c r="A66" s="165"/>
      <c r="M66" t="str">
        <f>TEXT(def_sup_mcq[[#This Row],[StudentNumber]],"0")</f>
        <v>0</v>
      </c>
    </row>
    <row r="67" spans="1:13">
      <c r="A67" s="165"/>
      <c r="M67" t="str">
        <f>TEXT(def_sup_mcq[[#This Row],[StudentNumber]],"0")</f>
        <v>0</v>
      </c>
    </row>
    <row r="68" spans="1:13">
      <c r="A68" s="165"/>
      <c r="M68" t="str">
        <f>TEXT(def_sup_mcq[[#This Row],[StudentNumber]],"0")</f>
        <v>0</v>
      </c>
    </row>
    <row r="69" spans="1:13">
      <c r="A69" s="165"/>
      <c r="M69" t="str">
        <f>TEXT(def_sup_mcq[[#This Row],[StudentNumber]],"0")</f>
        <v>0</v>
      </c>
    </row>
    <row r="70" spans="1:13">
      <c r="A70" s="165"/>
      <c r="M70" t="str">
        <f>TEXT(def_sup_mcq[[#This Row],[StudentNumber]],"0")</f>
        <v>0</v>
      </c>
    </row>
    <row r="71" spans="1:13">
      <c r="A71" s="165"/>
      <c r="M71" t="str">
        <f>TEXT(def_sup_mcq[[#This Row],[StudentNumber]],"0")</f>
        <v>0</v>
      </c>
    </row>
    <row r="72" spans="1:13">
      <c r="A72" s="165"/>
      <c r="M72" t="str">
        <f>TEXT(def_sup_mcq[[#This Row],[StudentNumber]],"0")</f>
        <v>0</v>
      </c>
    </row>
    <row r="73" spans="1:13">
      <c r="A73" s="165"/>
      <c r="M73" t="str">
        <f>TEXT(def_sup_mcq[[#This Row],[StudentNumber]],"0")</f>
        <v>0</v>
      </c>
    </row>
    <row r="74" spans="1:13">
      <c r="A74" s="165"/>
      <c r="M74" t="str">
        <f>TEXT(def_sup_mcq[[#This Row],[StudentNumber]],"0")</f>
        <v>0</v>
      </c>
    </row>
    <row r="75" spans="1:13">
      <c r="A75" s="165"/>
      <c r="M75" t="str">
        <f>TEXT(def_sup_mcq[[#This Row],[StudentNumber]],"0")</f>
        <v>0</v>
      </c>
    </row>
    <row r="76" spans="1:13">
      <c r="A76" s="165"/>
      <c r="M76" t="str">
        <f>TEXT(def_sup_mcq[[#This Row],[StudentNumber]],"0")</f>
        <v>0</v>
      </c>
    </row>
    <row r="77" spans="1:13">
      <c r="A77" s="165"/>
      <c r="M77" t="str">
        <f>TEXT(def_sup_mcq[[#This Row],[StudentNumber]],"0")</f>
        <v>0</v>
      </c>
    </row>
    <row r="78" spans="1:13">
      <c r="A78" s="165"/>
      <c r="M78" t="str">
        <f>TEXT(def_sup_mcq[[#This Row],[StudentNumber]],"0")</f>
        <v>0</v>
      </c>
    </row>
    <row r="79" spans="1:13">
      <c r="A79" s="165"/>
      <c r="M79" t="str">
        <f>TEXT(def_sup_mcq[[#This Row],[StudentNumber]],"0")</f>
        <v>0</v>
      </c>
    </row>
    <row r="80" spans="1:13">
      <c r="A80" s="165"/>
      <c r="M80" t="str">
        <f>TEXT(def_sup_mcq[[#This Row],[StudentNumber]],"0")</f>
        <v>0</v>
      </c>
    </row>
    <row r="81" spans="1:14">
      <c r="A81" s="165"/>
      <c r="M81" t="str">
        <f>TEXT(def_sup_mcq[[#This Row],[StudentNumber]],"0")</f>
        <v>0</v>
      </c>
    </row>
    <row r="82" spans="1:14">
      <c r="A82" s="165"/>
      <c r="M82" t="str">
        <f>TEXT(def_sup_mcq[[#This Row],[StudentNumber]],"0")</f>
        <v>0</v>
      </c>
    </row>
    <row r="83" spans="1:14">
      <c r="A83" s="165"/>
      <c r="M83" t="str">
        <f>TEXT(def_sup_mcq[[#This Row],[StudentNumber]],"0")</f>
        <v>0</v>
      </c>
    </row>
    <row r="84" spans="1:14">
      <c r="A84" s="166"/>
      <c r="M84" t="str">
        <f>TEXT(def_sup_mcq[[#This Row],[StudentNumber]],"0")</f>
        <v>0</v>
      </c>
      <c r="N84" t="s">
        <v>1036</v>
      </c>
    </row>
    <row r="85" spans="1:14">
      <c r="A85" s="165"/>
      <c r="M85" t="str">
        <f>TEXT(def_sup_mcq[[#This Row],[StudentNumber]],"0")</f>
        <v>0</v>
      </c>
    </row>
    <row r="86" spans="1:14">
      <c r="A86" s="165"/>
      <c r="M86" t="str">
        <f>TEXT(def_sup_mcq[[#This Row],[StudentNumber]],"0")</f>
        <v>0</v>
      </c>
    </row>
    <row r="87" spans="1:14">
      <c r="A87" s="165"/>
      <c r="M87" t="str">
        <f>TEXT(def_sup_mcq[[#This Row],[StudentNumber]],"0")</f>
        <v>0</v>
      </c>
    </row>
    <row r="88" spans="1:14">
      <c r="A88" s="165"/>
      <c r="M88" t="str">
        <f>TEXT(def_sup_mcq[[#This Row],[StudentNumber]],"0")</f>
        <v>0</v>
      </c>
    </row>
    <row r="89" spans="1:14">
      <c r="A89" s="165"/>
      <c r="M89" t="str">
        <f>TEXT(def_sup_mcq[[#This Row],[StudentNumber]],"0")</f>
        <v>0</v>
      </c>
    </row>
    <row r="90" spans="1:14">
      <c r="A90" s="165"/>
      <c r="M90" t="str">
        <f>TEXT(def_sup_mcq[[#This Row],[StudentNumber]],"0")</f>
        <v>0</v>
      </c>
    </row>
    <row r="91" spans="1:14">
      <c r="A91" s="165"/>
      <c r="M91" t="str">
        <f>TEXT(def_sup_mcq[[#This Row],[StudentNumber]],"0")</f>
        <v>0</v>
      </c>
    </row>
    <row r="92" spans="1:14">
      <c r="A92" s="165"/>
      <c r="M92" t="str">
        <f>TEXT(def_sup_mcq[[#This Row],[StudentNumber]],"0")</f>
        <v>0</v>
      </c>
    </row>
    <row r="93" spans="1:14">
      <c r="A93" s="165"/>
      <c r="M93" t="str">
        <f>TEXT(def_sup_mcq[[#This Row],[StudentNumber]],"0")</f>
        <v>0</v>
      </c>
    </row>
    <row r="94" spans="1:14">
      <c r="A94" s="165"/>
      <c r="M94" t="str">
        <f>TEXT(def_sup_mcq[[#This Row],[StudentNumber]],"0")</f>
        <v>0</v>
      </c>
    </row>
    <row r="95" spans="1:14">
      <c r="A95" s="165"/>
      <c r="M95" t="str">
        <f>TEXT(def_sup_mcq[[#This Row],[StudentNumber]],"0")</f>
        <v>0</v>
      </c>
    </row>
    <row r="96" spans="1:14">
      <c r="A96" s="165"/>
      <c r="M96" t="str">
        <f>TEXT(def_sup_mcq[[#This Row],[StudentNumber]],"0")</f>
        <v>0</v>
      </c>
    </row>
    <row r="97" spans="1:13">
      <c r="A97" s="165"/>
      <c r="M97" t="str">
        <f>TEXT(def_sup_mcq[[#This Row],[StudentNumber]],"0")</f>
        <v>0</v>
      </c>
    </row>
    <row r="98" spans="1:13">
      <c r="A98" s="165"/>
      <c r="M98" t="str">
        <f>TEXT(def_sup_mcq[[#This Row],[StudentNumber]],"0")</f>
        <v>0</v>
      </c>
    </row>
    <row r="99" spans="1:13">
      <c r="A99" s="165"/>
      <c r="M99" t="str">
        <f>TEXT(def_sup_mcq[[#This Row],[StudentNumber]],"0")</f>
        <v>0</v>
      </c>
    </row>
    <row r="100" spans="1:13">
      <c r="A100" s="165"/>
      <c r="M100" t="str">
        <f>TEXT(def_sup_mcq[[#This Row],[StudentNumber]],"0")</f>
        <v>0</v>
      </c>
    </row>
    <row r="101" spans="1:13">
      <c r="A101" s="165"/>
      <c r="M101" t="str">
        <f>TEXT(def_sup_mcq[[#This Row],[StudentNumber]],"0")</f>
        <v>0</v>
      </c>
    </row>
    <row r="102" spans="1:13">
      <c r="A102" s="165"/>
      <c r="M102" t="str">
        <f>TEXT(def_sup_mcq[[#This Row],[StudentNumber]],"0")</f>
        <v>0</v>
      </c>
    </row>
    <row r="103" spans="1:13">
      <c r="A103" s="165"/>
      <c r="M103" t="str">
        <f>TEXT(def_sup_mcq[[#This Row],[StudentNumber]],"0")</f>
        <v>0</v>
      </c>
    </row>
    <row r="104" spans="1:13">
      <c r="A104" s="165"/>
      <c r="M104" t="str">
        <f>TEXT(def_sup_mcq[[#This Row],[StudentNumber]],"0")</f>
        <v>0</v>
      </c>
    </row>
    <row r="105" spans="1:13">
      <c r="A105" s="165"/>
      <c r="M105" t="str">
        <f>TEXT(def_sup_mcq[[#This Row],[StudentNumber]],"0")</f>
        <v>0</v>
      </c>
    </row>
    <row r="106" spans="1:13">
      <c r="A106" s="165"/>
      <c r="M106" t="str">
        <f>TEXT(def_sup_mcq[[#This Row],[StudentNumber]],"0")</f>
        <v>0</v>
      </c>
    </row>
    <row r="107" spans="1:13">
      <c r="A107" s="165"/>
      <c r="M107" t="str">
        <f>TEXT(def_sup_mcq[[#This Row],[StudentNumber]],"0")</f>
        <v>0</v>
      </c>
    </row>
    <row r="108" spans="1:13">
      <c r="A108" s="165"/>
      <c r="M108" t="str">
        <f>TEXT(def_sup_mcq[[#This Row],[StudentNumber]],"0")</f>
        <v>0</v>
      </c>
    </row>
    <row r="109" spans="1:13">
      <c r="A109" s="165"/>
      <c r="M109" t="str">
        <f>TEXT(def_sup_mcq[[#This Row],[StudentNumber]],"0")</f>
        <v>0</v>
      </c>
    </row>
    <row r="110" spans="1:13">
      <c r="A110" s="165"/>
      <c r="M110" t="str">
        <f>TEXT(def_sup_mcq[[#This Row],[StudentNumber]],"0")</f>
        <v>0</v>
      </c>
    </row>
    <row r="111" spans="1:13">
      <c r="A111" s="165"/>
      <c r="M111" t="str">
        <f>TEXT(def_sup_mcq[[#This Row],[StudentNumber]],"0")</f>
        <v>0</v>
      </c>
    </row>
    <row r="112" spans="1:13">
      <c r="A112" s="165"/>
      <c r="M112" t="str">
        <f>TEXT(def_sup_mcq[[#This Row],[StudentNumber]],"0")</f>
        <v>0</v>
      </c>
    </row>
    <row r="113" spans="1:13">
      <c r="A113" s="165"/>
      <c r="M113" t="str">
        <f>TEXT(def_sup_mcq[[#This Row],[StudentNumber]],"0")</f>
        <v>0</v>
      </c>
    </row>
    <row r="114" spans="1:13">
      <c r="A114" s="165"/>
      <c r="M114" t="str">
        <f>TEXT(def_sup_mcq[[#This Row],[StudentNumber]],"0")</f>
        <v>0</v>
      </c>
    </row>
    <row r="115" spans="1:13">
      <c r="A115" s="165"/>
      <c r="M115" t="str">
        <f>TEXT(def_sup_mcq[[#This Row],[StudentNumber]],"0")</f>
        <v>0</v>
      </c>
    </row>
    <row r="116" spans="1:13">
      <c r="A116" s="165"/>
      <c r="M116" t="str">
        <f>TEXT(def_sup_mcq[[#This Row],[StudentNumber]],"0")</f>
        <v>0</v>
      </c>
    </row>
    <row r="117" spans="1:13">
      <c r="A117" s="165"/>
      <c r="M117" t="str">
        <f>TEXT(def_sup_mcq[[#This Row],[StudentNumber]],"0")</f>
        <v>0</v>
      </c>
    </row>
    <row r="118" spans="1:13">
      <c r="A118" s="165"/>
      <c r="M118" t="str">
        <f>TEXT(def_sup_mcq[[#This Row],[StudentNumber]],"0")</f>
        <v>0</v>
      </c>
    </row>
    <row r="119" spans="1:13">
      <c r="A119" s="165"/>
      <c r="M119" t="str">
        <f>TEXT(def_sup_mcq[[#This Row],[StudentNumber]],"0")</f>
        <v>0</v>
      </c>
    </row>
    <row r="120" spans="1:13">
      <c r="A120" s="165"/>
      <c r="M120" t="str">
        <f>TEXT(def_sup_mcq[[#This Row],[StudentNumber]],"0")</f>
        <v>0</v>
      </c>
    </row>
    <row r="121" spans="1:13">
      <c r="A121" s="165"/>
      <c r="M121" t="str">
        <f>TEXT(def_sup_mcq[[#This Row],[StudentNumber]],"0")</f>
        <v>0</v>
      </c>
    </row>
    <row r="122" spans="1:13">
      <c r="A122" s="165"/>
      <c r="M122" t="str">
        <f>TEXT(def_sup_mcq[[#This Row],[StudentNumber]],"0")</f>
        <v>0</v>
      </c>
    </row>
    <row r="123" spans="1:13">
      <c r="A123" s="165"/>
      <c r="M123" t="str">
        <f>TEXT(def_sup_mcq[[#This Row],[StudentNumber]],"0")</f>
        <v>0</v>
      </c>
    </row>
    <row r="124" spans="1:13">
      <c r="A124" s="165"/>
      <c r="M124" t="str">
        <f>TEXT(def_sup_mcq[[#This Row],[StudentNumber]],"0")</f>
        <v>0</v>
      </c>
    </row>
    <row r="125" spans="1:13">
      <c r="A125" s="165"/>
      <c r="M125" t="str">
        <f>TEXT(def_sup_mcq[[#This Row],[StudentNumber]],"0")</f>
        <v>0</v>
      </c>
    </row>
    <row r="126" spans="1:13">
      <c r="A126" s="165"/>
      <c r="M126" t="str">
        <f>TEXT(def_sup_mcq[[#This Row],[StudentNumber]],"0")</f>
        <v>0</v>
      </c>
    </row>
    <row r="127" spans="1:13">
      <c r="A127" s="165"/>
      <c r="M127" t="str">
        <f>TEXT(def_sup_mcq[[#This Row],[StudentNumber]],"0")</f>
        <v>0</v>
      </c>
    </row>
    <row r="128" spans="1:13">
      <c r="A128" s="165"/>
      <c r="M128" t="str">
        <f>TEXT(def_sup_mcq[[#This Row],[StudentNumber]],"0")</f>
        <v>0</v>
      </c>
    </row>
    <row r="129" spans="1:13">
      <c r="A129" s="165"/>
      <c r="M129" t="str">
        <f>TEXT(def_sup_mcq[[#This Row],[StudentNumber]],"0")</f>
        <v>0</v>
      </c>
    </row>
    <row r="130" spans="1:13">
      <c r="A130" s="165"/>
      <c r="M130" t="str">
        <f>TEXT(def_sup_mcq[[#This Row],[StudentNumber]],"0")</f>
        <v>0</v>
      </c>
    </row>
    <row r="131" spans="1:13">
      <c r="A131" s="165"/>
      <c r="M131" t="str">
        <f>TEXT(def_sup_mcq[[#This Row],[StudentNumber]],"0")</f>
        <v>0</v>
      </c>
    </row>
    <row r="132" spans="1:13">
      <c r="A132" s="165"/>
      <c r="M132" t="str">
        <f>TEXT(def_sup_mcq[[#This Row],[StudentNumber]],"0")</f>
        <v>0</v>
      </c>
    </row>
    <row r="133" spans="1:13">
      <c r="A133" s="165"/>
      <c r="M133" t="str">
        <f>TEXT(def_sup_mcq[[#This Row],[StudentNumber]],"0")</f>
        <v>0</v>
      </c>
    </row>
    <row r="134" spans="1:13">
      <c r="A134" s="165"/>
      <c r="M134" t="str">
        <f>TEXT(def_sup_mcq[[#This Row],[StudentNumber]],"0")</f>
        <v>0</v>
      </c>
    </row>
    <row r="135" spans="1:13">
      <c r="A135" s="165"/>
      <c r="M135" t="str">
        <f>TEXT(def_sup_mcq[[#This Row],[StudentNumber]],"0")</f>
        <v>0</v>
      </c>
    </row>
  </sheetData>
  <pageMargins left="0.7" right="0.7" top="0.75" bottom="0.75" header="0.3" footer="0.3"/>
  <pageSetup paperSize="9" orientation="portrait" horizontalDpi="1200" verticalDpi="120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K9"/>
  <sheetViews>
    <sheetView zoomScale="90" zoomScaleNormal="90" workbookViewId="0">
      <pane xSplit="2" ySplit="6" topLeftCell="C7" activePane="bottomRight" state="frozen"/>
      <selection pane="topRight" activeCell="D1" sqref="D1"/>
      <selection pane="bottomLeft" activeCell="A7" sqref="A7"/>
      <selection pane="bottomRight" activeCell="A6" sqref="A6:K8"/>
    </sheetView>
  </sheetViews>
  <sheetFormatPr defaultColWidth="9.109375" defaultRowHeight="14.4"/>
  <cols>
    <col min="1" max="1" width="11.33203125" style="210" customWidth="1"/>
    <col min="2" max="2" width="27" style="210" customWidth="1"/>
    <col min="3" max="3" width="12.88671875" style="210" bestFit="1" customWidth="1"/>
    <col min="4" max="4" width="10.21875" style="2" bestFit="1" customWidth="1"/>
    <col min="5" max="9" width="9.109375" style="2" customWidth="1"/>
    <col min="10" max="10" width="15.44140625" style="2" customWidth="1"/>
    <col min="11" max="11" width="28.88671875" style="210" customWidth="1"/>
    <col min="12" max="18" width="12.6640625" style="210" bestFit="1" customWidth="1"/>
    <col min="19" max="19" width="12.6640625" style="210" customWidth="1"/>
    <col min="20" max="22" width="12.6640625" style="210" bestFit="1" customWidth="1"/>
    <col min="23" max="23" width="10.6640625" style="210" bestFit="1" customWidth="1"/>
    <col min="24" max="16384" width="9.109375" style="210"/>
  </cols>
  <sheetData>
    <row r="1" spans="1:11" ht="31.2">
      <c r="A1" s="34" t="s">
        <v>32</v>
      </c>
      <c r="B1" s="34"/>
      <c r="D1" s="210"/>
    </row>
    <row r="2" spans="1:11" ht="21">
      <c r="A2" s="9"/>
    </row>
    <row r="3" spans="1:11">
      <c r="A3" s="3" t="s">
        <v>1024</v>
      </c>
      <c r="D3" s="2">
        <f>SUM(E5:I5)</f>
        <v>0</v>
      </c>
    </row>
    <row r="4" spans="1:11">
      <c r="A4" s="3" t="s">
        <v>268</v>
      </c>
      <c r="D4" s="2" t="str">
        <f>IF(AND(ISNUMBER(D5),ISNUMBER(D3)),D5-D3,"")</f>
        <v/>
      </c>
      <c r="E4" s="6"/>
      <c r="F4" s="6"/>
      <c r="G4" s="6"/>
      <c r="H4" s="6"/>
      <c r="I4" s="6"/>
      <c r="J4" s="6"/>
    </row>
    <row r="5" spans="1:11">
      <c r="A5" s="210" t="s">
        <v>25</v>
      </c>
      <c r="C5" s="2">
        <v>100</v>
      </c>
      <c r="D5" s="2" t="s">
        <v>1619</v>
      </c>
      <c r="E5" s="6" t="s">
        <v>1619</v>
      </c>
      <c r="F5" s="6" t="s">
        <v>1619</v>
      </c>
      <c r="G5" s="6" t="s">
        <v>1619</v>
      </c>
      <c r="H5" s="6" t="s">
        <v>1619</v>
      </c>
      <c r="I5" s="6" t="s">
        <v>1619</v>
      </c>
      <c r="J5" s="6">
        <f>SUM(F$5:I$5)</f>
        <v>0</v>
      </c>
    </row>
    <row r="6" spans="1:11">
      <c r="A6" s="5" t="s">
        <v>617</v>
      </c>
      <c r="B6" s="1" t="s">
        <v>1010</v>
      </c>
      <c r="C6" s="151" t="s">
        <v>29</v>
      </c>
      <c r="D6" s="32" t="s">
        <v>28</v>
      </c>
      <c r="E6" s="26" t="s">
        <v>1039</v>
      </c>
      <c r="F6" s="26" t="s">
        <v>1</v>
      </c>
      <c r="G6" s="26" t="s">
        <v>2</v>
      </c>
      <c r="H6" s="26" t="s">
        <v>3</v>
      </c>
      <c r="I6" s="26" t="s">
        <v>4</v>
      </c>
      <c r="J6" s="26" t="s">
        <v>1248</v>
      </c>
      <c r="K6" s="32" t="s">
        <v>24</v>
      </c>
    </row>
    <row r="7" spans="1:11">
      <c r="A7" s="14"/>
      <c r="B7" s="27" t="s">
        <v>1620</v>
      </c>
      <c r="C7" s="28" t="str">
        <f>IF(ISNUMBER(Def[Total]),ROUND(Def[Total]/$D$5*100,0),"")</f>
        <v/>
      </c>
      <c r="D7" s="2" t="str">
        <f>IF(NOT(Def[[#This Row],[Student No.]]=""),(IF(COUNTBLANK(Def[[#This Row],[MCQ]:[Q5]])=0,SUM(Def[[#This Row],[MCQ]:[Q5]]),"")),"")</f>
        <v/>
      </c>
      <c r="E7" s="2" t="str">
        <f>IF(NOT(Def[[#This Row],[Student No.]]=""), _xlfn.IFNA(INDEX([2]!def_sup_mcq[LenientTotalMark],MATCH(Def[[#This Row],[Student No.]],[2]!def_sup_mcq[StudentNumberText],0)), "No student"),  "")</f>
        <v/>
      </c>
      <c r="J7" s="2" t="str">
        <f>IF(NOT(Def[[#This Row],[Student No.]]=""),(IF(COUNTBLANK(Def[[#This Row],[Q2]:[Q5]])=0,SUM(Def[[#This Row],[Q2]:[Q5]]),"")),"")</f>
        <v/>
      </c>
      <c r="K7" s="2"/>
    </row>
    <row r="8" spans="1:11">
      <c r="A8" s="7"/>
      <c r="B8" s="7" t="s">
        <v>6</v>
      </c>
      <c r="C8" s="8" t="str">
        <f>IF(COUNT(Def[Total (%)])&gt;0,TEXT(AVERAGE(Def[Total (%)]),"0.0")&amp; "  (" &amp; TEXT(AVERAGE(Def[Total (%)])/C$5*100,"###") &amp; "%)","")</f>
        <v/>
      </c>
      <c r="D8" s="8" t="str">
        <f>IF(COUNT(Def[Total])&gt;0,TEXT(AVERAGE(Def[Total]),"0.0")&amp; "  (" &amp; TEXT(AVERAGE(Def[Total])/D$5*100,"###") &amp; "%)","")</f>
        <v/>
      </c>
      <c r="E8" s="8" t="str">
        <f>IF(COUNT(Def[MCQ])&gt;0,TEXT(AVERAGE(Def[MCQ]),"0.0")&amp; "  (" &amp; TEXT(AVERAGE(Def[MCQ])/E$5*100,"###") &amp; "%)","")</f>
        <v/>
      </c>
      <c r="F8" s="8" t="str">
        <f>IF(COUNT(Def[Q2])&gt;0,TEXT(AVERAGE(Def[Q2]),"0.0")&amp; "  (" &amp; TEXT(AVERAGE(Def[Q2])/F$5*100,"###") &amp; "%)","")</f>
        <v/>
      </c>
      <c r="G8" s="8" t="str">
        <f>IF(COUNT(Def[Q3])&gt;0,TEXT(AVERAGE(Def[Q3]),"0.0")&amp; "  (" &amp; TEXT(AVERAGE(Def[Q3])/G$5*100,"###") &amp; "%)","")</f>
        <v/>
      </c>
      <c r="H8" s="8" t="str">
        <f>IF(COUNT(Def[Q4])&gt;0,TEXT(AVERAGE(Def[Q4]),"0.0")&amp; "  (" &amp; TEXT(AVERAGE(Def[Q4])/H$5*100,"###") &amp; "%)","")</f>
        <v/>
      </c>
      <c r="I8" s="8" t="str">
        <f>IF(COUNT(Def[Q5])&gt;0,TEXT(AVERAGE(Def[Q5]),"0.0")&amp; "  (" &amp; TEXT(AVERAGE(Def[Q5])/I$5*100,"###") &amp; "%)","")</f>
        <v/>
      </c>
      <c r="J8" s="8" t="str">
        <f>IF(COUNT(Def[Q2-Q5 Total])&gt;0,TEXT(AVERAGE(Def[Q2-Q5 Total]),"0.0")&amp; "  (" &amp; TEXT(AVERAGE(Def[Q2-Q5 Total])/J$5*100,"###") &amp; "%)","")</f>
        <v/>
      </c>
      <c r="K8" s="6"/>
    </row>
    <row r="9" spans="1:11">
      <c r="B9" s="210" t="s">
        <v>1249</v>
      </c>
      <c r="C9" s="2">
        <f>COUNT(Def[Total (%)])</f>
        <v>0</v>
      </c>
    </row>
  </sheetData>
  <conditionalFormatting sqref="C7:D8">
    <cfRule type="expression" dxfId="49" priority="1">
      <formula>IF(ISNUMBER(C7),OR(C7&lt;0,C7&gt;C$5))</formula>
    </cfRule>
  </conditionalFormatting>
  <dataValidations count="1">
    <dataValidation type="custom" allowBlank="1" showInputMessage="1" showErrorMessage="1" sqref="C7:D7 F7:J7">
      <formula1>OR(AND(ISNUMBER(C7),C7&gt;=0,C7&lt;=C$5),C7="")</formula1>
    </dataValidation>
  </dataValidations>
  <pageMargins left="0.7" right="0.7" top="0.75" bottom="0.75" header="0.3" footer="0.3"/>
  <pageSetup paperSize="9" orientation="portrait" verticalDpi="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R1000"/>
  <sheetViews>
    <sheetView zoomScale="90" zoomScaleNormal="90" workbookViewId="0">
      <pane xSplit="8" topLeftCell="I1" activePane="topRight" state="frozen"/>
      <selection activeCell="F3" sqref="F3"/>
      <selection pane="topRight" activeCell="C9" sqref="C9"/>
    </sheetView>
  </sheetViews>
  <sheetFormatPr defaultColWidth="14.44140625" defaultRowHeight="15" customHeight="1"/>
  <cols>
    <col min="1" max="1" width="7.44140625" style="38" customWidth="1"/>
    <col min="2" max="2" width="12.5546875" style="38" customWidth="1"/>
    <col min="3" max="3" width="13" style="38" customWidth="1"/>
    <col min="4" max="4" width="17.33203125" style="38" customWidth="1"/>
    <col min="5" max="5" width="8.88671875" style="38" customWidth="1"/>
    <col min="6" max="6" width="13" style="38" customWidth="1"/>
    <col min="7" max="7" width="8.5546875" style="38" customWidth="1"/>
    <col min="8" max="8" width="43.6640625" style="38" customWidth="1"/>
    <col min="9" max="9" width="61.88671875" style="38" customWidth="1"/>
    <col min="10" max="10" width="65.109375" style="38" customWidth="1"/>
    <col min="11" max="11" width="3.109375" style="38" customWidth="1"/>
    <col min="12" max="12" width="46" style="38" customWidth="1"/>
    <col min="13" max="15" width="8.88671875" style="38" customWidth="1"/>
    <col min="16" max="16" width="12.6640625" style="38" customWidth="1"/>
    <col min="17" max="17" width="8.88671875" style="38" customWidth="1"/>
    <col min="18" max="16384" width="14.44140625" style="38"/>
  </cols>
  <sheetData>
    <row r="1" spans="1:18" ht="31.2">
      <c r="A1" s="255" t="s">
        <v>264</v>
      </c>
      <c r="B1" s="256"/>
      <c r="C1" s="35"/>
      <c r="D1" s="35"/>
      <c r="E1" s="36"/>
      <c r="F1" s="36"/>
      <c r="G1" s="37"/>
      <c r="H1" s="35"/>
      <c r="I1" s="35"/>
      <c r="J1" s="35"/>
      <c r="K1" s="35"/>
      <c r="L1" s="35"/>
      <c r="M1" s="35"/>
      <c r="N1" s="35"/>
      <c r="O1" s="35"/>
      <c r="P1" s="35"/>
      <c r="Q1" s="35"/>
    </row>
    <row r="2" spans="1:18" ht="14.25" customHeight="1">
      <c r="A2" s="41" t="s">
        <v>616</v>
      </c>
      <c r="B2" s="41" t="s">
        <v>617</v>
      </c>
      <c r="C2" s="41" t="s">
        <v>442</v>
      </c>
      <c r="D2" s="41" t="s">
        <v>618</v>
      </c>
      <c r="E2" s="41" t="s">
        <v>619</v>
      </c>
      <c r="F2" s="61" t="s">
        <v>620</v>
      </c>
      <c r="G2" s="41" t="s">
        <v>443</v>
      </c>
      <c r="H2" s="41" t="s">
        <v>621</v>
      </c>
      <c r="I2" s="138" t="s">
        <v>24</v>
      </c>
      <c r="J2" s="39" t="s">
        <v>622</v>
      </c>
      <c r="K2" s="40"/>
      <c r="L2" s="41" t="s">
        <v>623</v>
      </c>
      <c r="M2" s="42"/>
      <c r="N2" s="35"/>
      <c r="O2" s="35"/>
      <c r="P2" s="35"/>
      <c r="Q2" s="35"/>
    </row>
    <row r="3" spans="1:18" ht="14.25" customHeight="1">
      <c r="A3" s="43">
        <v>39</v>
      </c>
      <c r="B3" s="44" t="s">
        <v>271</v>
      </c>
      <c r="C3" s="44" t="s">
        <v>38</v>
      </c>
      <c r="D3" s="45" t="s">
        <v>791</v>
      </c>
      <c r="E3" s="45" t="s">
        <v>663</v>
      </c>
      <c r="F3" s="44" t="s">
        <v>664</v>
      </c>
      <c r="G3" s="46">
        <v>1</v>
      </c>
      <c r="H3" s="47" t="s">
        <v>634</v>
      </c>
      <c r="I3" s="70"/>
      <c r="J3" s="44"/>
      <c r="K3" s="35"/>
      <c r="L3" s="48" t="s">
        <v>627</v>
      </c>
      <c r="Q3" s="35"/>
    </row>
    <row r="4" spans="1:18" ht="14.25" customHeight="1">
      <c r="A4" s="55">
        <v>28</v>
      </c>
      <c r="B4" s="56" t="s">
        <v>272</v>
      </c>
      <c r="C4" s="56" t="s">
        <v>40</v>
      </c>
      <c r="D4" s="57" t="s">
        <v>767</v>
      </c>
      <c r="E4" s="57" t="s">
        <v>659</v>
      </c>
      <c r="F4" s="56" t="s">
        <v>660</v>
      </c>
      <c r="G4" s="58"/>
      <c r="H4" s="56"/>
      <c r="I4" s="70"/>
      <c r="J4" s="53" t="s">
        <v>629</v>
      </c>
      <c r="K4" s="35"/>
      <c r="L4" s="48" t="s">
        <v>630</v>
      </c>
      <c r="M4" s="54"/>
      <c r="N4" s="54"/>
      <c r="O4" s="54"/>
      <c r="P4" s="54"/>
      <c r="Q4" s="54"/>
      <c r="R4" s="54"/>
    </row>
    <row r="5" spans="1:18" ht="14.25" customHeight="1">
      <c r="A5" s="55">
        <v>29</v>
      </c>
      <c r="B5" s="56" t="s">
        <v>273</v>
      </c>
      <c r="C5" s="56" t="s">
        <v>41</v>
      </c>
      <c r="D5" s="57" t="s">
        <v>769</v>
      </c>
      <c r="E5" s="57" t="s">
        <v>659</v>
      </c>
      <c r="F5" s="56" t="s">
        <v>660</v>
      </c>
      <c r="G5" s="58"/>
      <c r="H5" s="56"/>
      <c r="I5" s="70"/>
      <c r="J5" s="59" t="s">
        <v>631</v>
      </c>
      <c r="K5" s="35"/>
      <c r="L5" s="60" t="s">
        <v>632</v>
      </c>
      <c r="M5" s="35"/>
      <c r="N5" s="35"/>
      <c r="O5" s="35"/>
      <c r="P5" s="35"/>
      <c r="Q5" s="35"/>
    </row>
    <row r="6" spans="1:18" ht="14.25" customHeight="1">
      <c r="A6" s="55">
        <v>57</v>
      </c>
      <c r="B6" s="56" t="s">
        <v>274</v>
      </c>
      <c r="C6" s="56" t="s">
        <v>43</v>
      </c>
      <c r="D6" s="57" t="s">
        <v>835</v>
      </c>
      <c r="E6" s="57" t="s">
        <v>673</v>
      </c>
      <c r="F6" s="56" t="s">
        <v>674</v>
      </c>
      <c r="G6" s="58">
        <v>1</v>
      </c>
      <c r="H6" s="56"/>
      <c r="I6" s="70"/>
      <c r="J6" s="50"/>
      <c r="K6" s="35"/>
      <c r="L6" s="35"/>
      <c r="M6" s="35"/>
      <c r="N6" s="35"/>
      <c r="O6" s="35"/>
      <c r="P6" s="35"/>
      <c r="Q6" s="35"/>
    </row>
    <row r="7" spans="1:18" ht="14.25" customHeight="1">
      <c r="A7" s="55">
        <v>11</v>
      </c>
      <c r="B7" s="56" t="s">
        <v>275</v>
      </c>
      <c r="C7" s="56" t="s">
        <v>44</v>
      </c>
      <c r="D7" s="57" t="s">
        <v>726</v>
      </c>
      <c r="E7" s="57" t="s">
        <v>624</v>
      </c>
      <c r="F7" s="56" t="s">
        <v>625</v>
      </c>
      <c r="G7" s="58">
        <v>1</v>
      </c>
      <c r="H7" s="59"/>
      <c r="I7" s="235"/>
      <c r="J7" s="56"/>
      <c r="K7" s="35"/>
      <c r="L7" s="61" t="s">
        <v>635</v>
      </c>
      <c r="M7" s="61" t="s">
        <v>24</v>
      </c>
      <c r="N7" s="61"/>
      <c r="O7" s="61"/>
      <c r="P7" s="61"/>
      <c r="Q7" s="61"/>
      <c r="R7" s="61"/>
    </row>
    <row r="8" spans="1:18" ht="14.25" customHeight="1">
      <c r="A8" s="49">
        <v>86</v>
      </c>
      <c r="B8" s="50" t="s">
        <v>276</v>
      </c>
      <c r="C8" s="50" t="s">
        <v>45</v>
      </c>
      <c r="D8" s="51" t="s">
        <v>899</v>
      </c>
      <c r="E8" s="51" t="s">
        <v>686</v>
      </c>
      <c r="F8" s="50" t="s">
        <v>687</v>
      </c>
      <c r="G8" s="52">
        <v>0</v>
      </c>
      <c r="H8" s="50" t="s">
        <v>634</v>
      </c>
      <c r="I8" s="69"/>
      <c r="J8" s="50"/>
      <c r="K8" s="35"/>
      <c r="L8" s="35" t="s">
        <v>633</v>
      </c>
      <c r="M8" s="35" t="s">
        <v>636</v>
      </c>
      <c r="N8" s="35"/>
      <c r="O8" s="35"/>
      <c r="P8" s="35"/>
      <c r="Q8" s="35"/>
    </row>
    <row r="9" spans="1:18" ht="14.25" customHeight="1">
      <c r="A9" s="55">
        <v>50</v>
      </c>
      <c r="B9" s="245" t="s">
        <v>277</v>
      </c>
      <c r="C9" s="56" t="s">
        <v>46</v>
      </c>
      <c r="D9" s="57" t="s">
        <v>815</v>
      </c>
      <c r="E9" s="57" t="s">
        <v>669</v>
      </c>
      <c r="F9" s="56" t="s">
        <v>670</v>
      </c>
      <c r="G9" s="58">
        <v>0</v>
      </c>
      <c r="H9" s="59" t="s">
        <v>634</v>
      </c>
      <c r="I9" s="70"/>
      <c r="J9" s="56"/>
      <c r="K9" s="35"/>
      <c r="L9" s="35" t="s">
        <v>639</v>
      </c>
      <c r="M9" s="35" t="s">
        <v>636</v>
      </c>
      <c r="N9" s="35"/>
      <c r="O9" s="35"/>
      <c r="P9" s="35"/>
      <c r="Q9" s="35"/>
    </row>
    <row r="10" spans="1:18" ht="14.25" customHeight="1">
      <c r="A10" s="55">
        <v>37</v>
      </c>
      <c r="B10" s="56" t="s">
        <v>278</v>
      </c>
      <c r="C10" s="56" t="s">
        <v>47</v>
      </c>
      <c r="D10" s="57" t="s">
        <v>787</v>
      </c>
      <c r="E10" s="57" t="s">
        <v>663</v>
      </c>
      <c r="F10" s="56" t="s">
        <v>664</v>
      </c>
      <c r="G10" s="58">
        <v>1</v>
      </c>
      <c r="H10" s="56"/>
      <c r="I10" s="70"/>
      <c r="J10" s="50"/>
      <c r="K10" s="35"/>
      <c r="L10" s="35" t="s">
        <v>637</v>
      </c>
      <c r="M10" s="62" t="s">
        <v>640</v>
      </c>
      <c r="N10" s="62"/>
      <c r="O10" s="62"/>
      <c r="P10" s="62"/>
      <c r="Q10" s="62"/>
      <c r="R10" s="62"/>
    </row>
    <row r="11" spans="1:18" ht="14.25" customHeight="1">
      <c r="A11" s="49">
        <v>28</v>
      </c>
      <c r="B11" s="50" t="s">
        <v>279</v>
      </c>
      <c r="C11" s="50" t="s">
        <v>49</v>
      </c>
      <c r="D11" s="51" t="s">
        <v>768</v>
      </c>
      <c r="E11" s="51" t="s">
        <v>659</v>
      </c>
      <c r="F11" s="50" t="s">
        <v>660</v>
      </c>
      <c r="G11" s="52">
        <v>1</v>
      </c>
      <c r="H11" s="50"/>
      <c r="I11" s="69"/>
      <c r="J11" s="56"/>
      <c r="K11" s="35"/>
      <c r="L11" s="35" t="s">
        <v>626</v>
      </c>
      <c r="M11" s="62" t="s">
        <v>641</v>
      </c>
      <c r="N11" s="62"/>
      <c r="O11" s="62"/>
      <c r="P11" s="62"/>
      <c r="Q11" s="35"/>
    </row>
    <row r="12" spans="1:18" ht="14.25" customHeight="1">
      <c r="A12" s="55">
        <v>86</v>
      </c>
      <c r="B12" s="56" t="s">
        <v>280</v>
      </c>
      <c r="C12" s="56" t="s">
        <v>51</v>
      </c>
      <c r="D12" s="57" t="s">
        <v>900</v>
      </c>
      <c r="E12" s="57" t="s">
        <v>686</v>
      </c>
      <c r="F12" s="56" t="s">
        <v>687</v>
      </c>
      <c r="G12" s="58">
        <v>0</v>
      </c>
      <c r="H12" s="56" t="s">
        <v>634</v>
      </c>
      <c r="I12" s="70"/>
      <c r="J12" s="50"/>
      <c r="K12" s="35"/>
      <c r="L12" s="35" t="s">
        <v>642</v>
      </c>
      <c r="M12" s="62" t="s">
        <v>641</v>
      </c>
      <c r="N12" s="62"/>
      <c r="O12" s="62"/>
      <c r="P12" s="62"/>
      <c r="Q12" s="35"/>
    </row>
    <row r="13" spans="1:18" ht="14.25" customHeight="1">
      <c r="A13" s="55">
        <v>34</v>
      </c>
      <c r="B13" s="56" t="s">
        <v>281</v>
      </c>
      <c r="C13" s="56" t="s">
        <v>53</v>
      </c>
      <c r="D13" s="57" t="s">
        <v>781</v>
      </c>
      <c r="E13" s="57" t="s">
        <v>663</v>
      </c>
      <c r="F13" s="56" t="s">
        <v>664</v>
      </c>
      <c r="G13" s="58">
        <v>1</v>
      </c>
      <c r="H13" s="59"/>
      <c r="I13" s="70"/>
      <c r="J13" s="56"/>
      <c r="K13" s="35"/>
      <c r="L13" s="35" t="s">
        <v>634</v>
      </c>
      <c r="M13" s="35" t="s">
        <v>643</v>
      </c>
      <c r="N13" s="35"/>
      <c r="O13" s="35"/>
      <c r="P13" s="35"/>
      <c r="Q13" s="35"/>
    </row>
    <row r="14" spans="1:18" ht="14.25" customHeight="1">
      <c r="A14" s="49">
        <v>11</v>
      </c>
      <c r="B14" s="50" t="s">
        <v>282</v>
      </c>
      <c r="C14" s="50" t="s">
        <v>54</v>
      </c>
      <c r="D14" s="51" t="s">
        <v>727</v>
      </c>
      <c r="E14" s="51" t="s">
        <v>624</v>
      </c>
      <c r="F14" s="50" t="s">
        <v>625</v>
      </c>
      <c r="G14" s="52">
        <v>1</v>
      </c>
      <c r="H14" s="50"/>
      <c r="I14" s="69"/>
      <c r="J14" s="50"/>
      <c r="K14" s="35"/>
      <c r="M14" s="63" t="s">
        <v>644</v>
      </c>
      <c r="N14" s="35"/>
      <c r="O14" s="35"/>
      <c r="P14" s="35"/>
      <c r="Q14" s="35"/>
    </row>
    <row r="15" spans="1:18" ht="14.25" customHeight="1">
      <c r="A15" s="55">
        <v>44</v>
      </c>
      <c r="B15" s="56"/>
      <c r="C15" s="56" t="s">
        <v>55</v>
      </c>
      <c r="D15" s="57" t="s">
        <v>802</v>
      </c>
      <c r="E15" s="57" t="s">
        <v>663</v>
      </c>
      <c r="F15" s="56" t="s">
        <v>664</v>
      </c>
      <c r="G15" s="58">
        <v>0</v>
      </c>
      <c r="H15" s="59" t="s">
        <v>634</v>
      </c>
      <c r="I15" s="70"/>
      <c r="J15" s="56"/>
      <c r="K15" s="35"/>
      <c r="L15" s="35"/>
      <c r="N15" s="35"/>
      <c r="O15" s="35"/>
      <c r="P15" s="35"/>
      <c r="Q15" s="35"/>
    </row>
    <row r="16" spans="1:18" ht="14.25" customHeight="1">
      <c r="A16" s="49">
        <v>50</v>
      </c>
      <c r="B16" s="50"/>
      <c r="C16" s="50" t="s">
        <v>56</v>
      </c>
      <c r="D16" s="51" t="s">
        <v>817</v>
      </c>
      <c r="E16" s="51" t="s">
        <v>669</v>
      </c>
      <c r="F16" s="50" t="s">
        <v>670</v>
      </c>
      <c r="G16" s="52">
        <v>0</v>
      </c>
      <c r="H16" s="53" t="s">
        <v>634</v>
      </c>
      <c r="I16" s="69"/>
      <c r="J16" s="53" t="s">
        <v>647</v>
      </c>
      <c r="K16" s="35"/>
    </row>
    <row r="17" spans="1:17" ht="14.25" customHeight="1">
      <c r="A17" s="55">
        <v>74</v>
      </c>
      <c r="B17" s="56" t="s">
        <v>285</v>
      </c>
      <c r="C17" s="56" t="s">
        <v>57</v>
      </c>
      <c r="D17" s="57" t="s">
        <v>875</v>
      </c>
      <c r="E17" s="57" t="s">
        <v>680</v>
      </c>
      <c r="F17" s="56" t="s">
        <v>681</v>
      </c>
      <c r="G17" s="58">
        <v>0</v>
      </c>
      <c r="H17" s="59" t="s">
        <v>634</v>
      </c>
      <c r="I17" s="70"/>
      <c r="J17" s="56"/>
      <c r="K17" s="35"/>
    </row>
    <row r="18" spans="1:17" ht="14.25" customHeight="1">
      <c r="A18" s="55">
        <v>16</v>
      </c>
      <c r="B18" s="56" t="s">
        <v>286</v>
      </c>
      <c r="C18" s="56" t="s">
        <v>59</v>
      </c>
      <c r="D18" s="57" t="s">
        <v>739</v>
      </c>
      <c r="E18" s="57" t="s">
        <v>650</v>
      </c>
      <c r="F18" s="56" t="s">
        <v>651</v>
      </c>
      <c r="G18" s="58">
        <v>1</v>
      </c>
      <c r="H18" s="56"/>
      <c r="I18" s="71"/>
      <c r="J18" s="50"/>
      <c r="K18" s="35"/>
      <c r="L18" s="35"/>
      <c r="M18" s="35"/>
      <c r="N18" s="35"/>
      <c r="O18" s="35"/>
      <c r="P18" s="35"/>
      <c r="Q18" s="35"/>
    </row>
    <row r="19" spans="1:17" ht="14.25" customHeight="1">
      <c r="A19" s="55">
        <v>21</v>
      </c>
      <c r="B19" s="56" t="s">
        <v>287</v>
      </c>
      <c r="C19" s="56" t="s">
        <v>60</v>
      </c>
      <c r="D19" s="57" t="s">
        <v>750</v>
      </c>
      <c r="E19" s="57" t="s">
        <v>650</v>
      </c>
      <c r="F19" s="56" t="s">
        <v>651</v>
      </c>
      <c r="G19" s="58">
        <v>0</v>
      </c>
      <c r="H19" s="59" t="s">
        <v>634</v>
      </c>
      <c r="I19" s="70"/>
      <c r="J19" s="56"/>
      <c r="K19" s="35"/>
      <c r="L19" s="35"/>
      <c r="M19" s="35"/>
      <c r="N19" s="35"/>
      <c r="O19" s="35"/>
      <c r="P19" s="35"/>
      <c r="Q19" s="35"/>
    </row>
    <row r="20" spans="1:17" ht="14.25" customHeight="1">
      <c r="A20" s="55">
        <v>56</v>
      </c>
      <c r="B20" s="56"/>
      <c r="C20" s="56" t="s">
        <v>61</v>
      </c>
      <c r="D20" s="57" t="s">
        <v>833</v>
      </c>
      <c r="E20" s="57" t="s">
        <v>673</v>
      </c>
      <c r="F20" s="56" t="s">
        <v>674</v>
      </c>
      <c r="G20" s="58">
        <v>0</v>
      </c>
      <c r="H20" s="59" t="s">
        <v>634</v>
      </c>
      <c r="I20" s="70"/>
      <c r="J20" s="50"/>
      <c r="K20" s="35"/>
      <c r="L20" s="35"/>
      <c r="M20" s="35"/>
      <c r="N20" s="35"/>
      <c r="O20" s="35"/>
      <c r="P20" s="35"/>
      <c r="Q20" s="35"/>
    </row>
    <row r="21" spans="1:17" ht="14.25" customHeight="1">
      <c r="A21" s="55">
        <v>31</v>
      </c>
      <c r="B21" s="56" t="s">
        <v>289</v>
      </c>
      <c r="C21" s="56" t="s">
        <v>62</v>
      </c>
      <c r="D21" s="57" t="s">
        <v>775</v>
      </c>
      <c r="E21" s="57" t="s">
        <v>659</v>
      </c>
      <c r="F21" s="56" t="s">
        <v>660</v>
      </c>
      <c r="G21" s="58">
        <v>1</v>
      </c>
      <c r="H21" s="56"/>
      <c r="I21" s="70"/>
      <c r="J21" s="59" t="s">
        <v>649</v>
      </c>
      <c r="K21" s="35"/>
      <c r="L21" s="35"/>
      <c r="M21" s="35"/>
      <c r="N21" s="35"/>
      <c r="O21" s="35"/>
      <c r="P21" s="35"/>
      <c r="Q21" s="35"/>
    </row>
    <row r="22" spans="1:17" ht="14.25" customHeight="1">
      <c r="A22" s="55">
        <v>4</v>
      </c>
      <c r="B22" s="56" t="s">
        <v>290</v>
      </c>
      <c r="C22" s="56" t="s">
        <v>63</v>
      </c>
      <c r="D22" s="57" t="s">
        <v>710</v>
      </c>
      <c r="E22" s="57" t="s">
        <v>624</v>
      </c>
      <c r="F22" s="56" t="s">
        <v>625</v>
      </c>
      <c r="G22" s="58">
        <v>0</v>
      </c>
      <c r="H22" s="56" t="s">
        <v>634</v>
      </c>
      <c r="I22" s="70"/>
      <c r="J22" s="50"/>
      <c r="K22" s="35"/>
      <c r="L22" s="35"/>
      <c r="M22" s="35"/>
      <c r="N22" s="35"/>
      <c r="O22" s="35"/>
      <c r="P22" s="35"/>
      <c r="Q22" s="35"/>
    </row>
    <row r="23" spans="1:17" ht="14.25" customHeight="1">
      <c r="A23" s="55">
        <v>43</v>
      </c>
      <c r="B23" s="56" t="s">
        <v>291</v>
      </c>
      <c r="C23" s="56" t="s">
        <v>65</v>
      </c>
      <c r="D23" s="57" t="s">
        <v>800</v>
      </c>
      <c r="E23" s="57" t="s">
        <v>663</v>
      </c>
      <c r="F23" s="56" t="s">
        <v>664</v>
      </c>
      <c r="G23" s="58">
        <v>1</v>
      </c>
      <c r="H23" s="59"/>
      <c r="I23" s="236"/>
      <c r="J23" s="56"/>
      <c r="K23" s="35"/>
      <c r="L23" s="35"/>
      <c r="M23" s="35"/>
      <c r="N23" s="35"/>
      <c r="O23" s="35"/>
      <c r="P23" s="35"/>
      <c r="Q23" s="35"/>
    </row>
    <row r="24" spans="1:17" ht="14.25" customHeight="1">
      <c r="A24" s="55">
        <v>75</v>
      </c>
      <c r="B24" s="56" t="s">
        <v>292</v>
      </c>
      <c r="C24" s="56" t="s">
        <v>65</v>
      </c>
      <c r="D24" s="57" t="s">
        <v>877</v>
      </c>
      <c r="E24" s="57" t="s">
        <v>680</v>
      </c>
      <c r="F24" s="56" t="s">
        <v>681</v>
      </c>
      <c r="G24" s="58">
        <v>0</v>
      </c>
      <c r="H24" s="59" t="s">
        <v>634</v>
      </c>
      <c r="I24" s="70"/>
      <c r="J24" s="50"/>
      <c r="K24" s="35"/>
      <c r="L24" s="35"/>
      <c r="M24" s="35"/>
      <c r="N24" s="35"/>
      <c r="O24" s="35"/>
      <c r="P24" s="35"/>
      <c r="Q24" s="35"/>
    </row>
    <row r="25" spans="1:17" ht="14.25" customHeight="1">
      <c r="A25" s="55">
        <v>40</v>
      </c>
      <c r="B25" s="56" t="s">
        <v>293</v>
      </c>
      <c r="C25" s="56" t="s">
        <v>66</v>
      </c>
      <c r="D25" s="57" t="s">
        <v>793</v>
      </c>
      <c r="E25" s="57" t="s">
        <v>663</v>
      </c>
      <c r="F25" s="56" t="s">
        <v>664</v>
      </c>
      <c r="G25" s="58">
        <v>1</v>
      </c>
      <c r="H25" s="59"/>
      <c r="I25" s="70"/>
      <c r="J25" s="65"/>
      <c r="K25" s="35"/>
      <c r="L25" s="35"/>
      <c r="M25" s="35"/>
      <c r="N25" s="35"/>
      <c r="O25" s="35"/>
      <c r="P25" s="35"/>
      <c r="Q25" s="35"/>
    </row>
    <row r="26" spans="1:17" ht="14.25" customHeight="1">
      <c r="A26" s="55">
        <v>19</v>
      </c>
      <c r="B26" s="56" t="s">
        <v>294</v>
      </c>
      <c r="C26" s="56" t="s">
        <v>67</v>
      </c>
      <c r="D26" s="57" t="s">
        <v>745</v>
      </c>
      <c r="E26" s="57" t="s">
        <v>650</v>
      </c>
      <c r="F26" s="56" t="s">
        <v>651</v>
      </c>
      <c r="G26" s="58">
        <v>0</v>
      </c>
      <c r="H26" s="59" t="s">
        <v>642</v>
      </c>
      <c r="I26" s="70" t="s">
        <v>657</v>
      </c>
      <c r="J26" s="53" t="s">
        <v>653</v>
      </c>
      <c r="K26" s="35"/>
      <c r="L26" s="35"/>
      <c r="M26" s="35"/>
      <c r="N26" s="35"/>
      <c r="O26" s="35"/>
      <c r="P26" s="35"/>
      <c r="Q26" s="35"/>
    </row>
    <row r="27" spans="1:17" ht="14.25" customHeight="1">
      <c r="A27" s="55">
        <v>71</v>
      </c>
      <c r="B27" s="56" t="s">
        <v>295</v>
      </c>
      <c r="C27" s="56" t="s">
        <v>68</v>
      </c>
      <c r="D27" s="57" t="s">
        <v>869</v>
      </c>
      <c r="E27" s="57" t="s">
        <v>680</v>
      </c>
      <c r="F27" s="56" t="s">
        <v>681</v>
      </c>
      <c r="G27" s="58">
        <v>0</v>
      </c>
      <c r="H27" s="59" t="s">
        <v>634</v>
      </c>
      <c r="I27" s="70"/>
      <c r="J27" s="65"/>
      <c r="K27" s="35"/>
      <c r="L27" s="35"/>
      <c r="M27" s="35"/>
      <c r="N27" s="35"/>
      <c r="O27" s="35"/>
      <c r="P27" s="35"/>
      <c r="Q27" s="35"/>
    </row>
    <row r="28" spans="1:17" ht="14.25" customHeight="1">
      <c r="A28" s="55">
        <v>24</v>
      </c>
      <c r="B28" s="56" t="s">
        <v>296</v>
      </c>
      <c r="C28" s="56" t="s">
        <v>69</v>
      </c>
      <c r="D28" s="57" t="s">
        <v>757</v>
      </c>
      <c r="E28" s="57" t="s">
        <v>659</v>
      </c>
      <c r="F28" s="56" t="s">
        <v>660</v>
      </c>
      <c r="G28" s="58">
        <v>0</v>
      </c>
      <c r="H28" s="59" t="s">
        <v>637</v>
      </c>
      <c r="I28" s="70" t="s">
        <v>648</v>
      </c>
      <c r="J28" s="65" t="s">
        <v>655</v>
      </c>
      <c r="K28" s="35"/>
      <c r="L28" s="35"/>
      <c r="M28" s="35"/>
      <c r="N28" s="35"/>
      <c r="O28" s="35"/>
      <c r="P28" s="35"/>
      <c r="Q28" s="35"/>
    </row>
    <row r="29" spans="1:17" ht="14.25" customHeight="1">
      <c r="A29" s="49">
        <v>21</v>
      </c>
      <c r="B29" s="50" t="s">
        <v>297</v>
      </c>
      <c r="C29" s="50" t="s">
        <v>70</v>
      </c>
      <c r="D29" s="51" t="s">
        <v>751</v>
      </c>
      <c r="E29" s="51" t="s">
        <v>650</v>
      </c>
      <c r="F29" s="50" t="s">
        <v>651</v>
      </c>
      <c r="G29" s="52">
        <v>0</v>
      </c>
      <c r="H29" s="53" t="s">
        <v>634</v>
      </c>
      <c r="I29" s="69"/>
      <c r="J29" s="65" t="s">
        <v>692</v>
      </c>
      <c r="K29" s="35"/>
      <c r="L29" s="35"/>
      <c r="M29" s="35"/>
      <c r="N29" s="35"/>
      <c r="O29" s="35"/>
      <c r="P29" s="35"/>
      <c r="Q29" s="35"/>
    </row>
    <row r="30" spans="1:17" ht="14.25" customHeight="1">
      <c r="A30" s="55">
        <v>14</v>
      </c>
      <c r="B30" s="56" t="s">
        <v>298</v>
      </c>
      <c r="C30" s="56" t="s">
        <v>71</v>
      </c>
      <c r="D30" s="57" t="s">
        <v>732</v>
      </c>
      <c r="E30" s="57" t="s">
        <v>650</v>
      </c>
      <c r="F30" s="56" t="s">
        <v>651</v>
      </c>
      <c r="G30" s="58">
        <v>1</v>
      </c>
      <c r="H30" s="56"/>
      <c r="I30" s="71"/>
      <c r="J30" s="66"/>
      <c r="K30" s="35"/>
      <c r="L30" s="35"/>
      <c r="M30" s="35"/>
      <c r="N30" s="35"/>
      <c r="O30" s="35"/>
      <c r="P30" s="35"/>
      <c r="Q30" s="35"/>
    </row>
    <row r="31" spans="1:17" ht="14.25" customHeight="1">
      <c r="A31" s="49">
        <v>39</v>
      </c>
      <c r="B31" s="50" t="s">
        <v>299</v>
      </c>
      <c r="C31" s="50" t="s">
        <v>72</v>
      </c>
      <c r="D31" s="51" t="s">
        <v>792</v>
      </c>
      <c r="E31" s="51" t="s">
        <v>663</v>
      </c>
      <c r="F31" s="50" t="s">
        <v>664</v>
      </c>
      <c r="G31" s="52">
        <v>0</v>
      </c>
      <c r="H31" s="53" t="s">
        <v>634</v>
      </c>
      <c r="I31" s="69"/>
      <c r="J31" s="64"/>
      <c r="K31" s="35"/>
      <c r="L31" s="35"/>
      <c r="M31" s="35"/>
      <c r="N31" s="35"/>
      <c r="O31" s="35"/>
      <c r="P31" s="35"/>
      <c r="Q31" s="35"/>
    </row>
    <row r="32" spans="1:17" ht="14.25" customHeight="1">
      <c r="A32" s="49">
        <v>29</v>
      </c>
      <c r="B32" s="50" t="s">
        <v>300</v>
      </c>
      <c r="C32" s="50" t="s">
        <v>74</v>
      </c>
      <c r="D32" s="51" t="s">
        <v>770</v>
      </c>
      <c r="E32" s="51" t="s">
        <v>659</v>
      </c>
      <c r="F32" s="50" t="s">
        <v>660</v>
      </c>
      <c r="G32" s="52">
        <v>0</v>
      </c>
      <c r="H32" s="53" t="s">
        <v>637</v>
      </c>
      <c r="I32" s="69" t="s">
        <v>694</v>
      </c>
      <c r="J32" s="50"/>
      <c r="K32" s="35"/>
      <c r="L32" s="35"/>
      <c r="M32" s="35"/>
      <c r="N32" s="35"/>
      <c r="O32" s="35"/>
      <c r="P32" s="35"/>
      <c r="Q32" s="35"/>
    </row>
    <row r="33" spans="1:17" ht="14.25" customHeight="1">
      <c r="A33" s="49">
        <v>79</v>
      </c>
      <c r="B33" s="50" t="s">
        <v>301</v>
      </c>
      <c r="C33" s="50" t="s">
        <v>75</v>
      </c>
      <c r="D33" s="51" t="s">
        <v>884</v>
      </c>
      <c r="E33" s="51" t="s">
        <v>686</v>
      </c>
      <c r="F33" s="50" t="s">
        <v>687</v>
      </c>
      <c r="G33" s="52">
        <v>0</v>
      </c>
      <c r="H33" s="50" t="s">
        <v>634</v>
      </c>
      <c r="I33" s="69"/>
      <c r="J33" s="56"/>
      <c r="K33" s="35"/>
      <c r="L33" s="35"/>
      <c r="M33" s="35"/>
      <c r="N33" s="35"/>
      <c r="O33" s="35"/>
      <c r="P33" s="35"/>
      <c r="Q33" s="35"/>
    </row>
    <row r="34" spans="1:17" ht="14.25" customHeight="1">
      <c r="A34" s="49">
        <v>57</v>
      </c>
      <c r="B34" s="50" t="s">
        <v>302</v>
      </c>
      <c r="C34" s="50" t="s">
        <v>76</v>
      </c>
      <c r="D34" s="51" t="s">
        <v>836</v>
      </c>
      <c r="E34" s="51" t="s">
        <v>673</v>
      </c>
      <c r="F34" s="50" t="s">
        <v>674</v>
      </c>
      <c r="G34" s="52">
        <v>0</v>
      </c>
      <c r="H34" s="53" t="s">
        <v>626</v>
      </c>
      <c r="I34" s="69" t="s">
        <v>675</v>
      </c>
      <c r="J34" s="50"/>
      <c r="K34" s="35"/>
      <c r="L34" s="35"/>
      <c r="M34" s="35"/>
      <c r="N34" s="35"/>
      <c r="O34" s="35"/>
      <c r="P34" s="35"/>
      <c r="Q34" s="35"/>
    </row>
    <row r="35" spans="1:17" ht="14.25" customHeight="1">
      <c r="A35" s="55">
        <v>5</v>
      </c>
      <c r="B35" s="56" t="s">
        <v>303</v>
      </c>
      <c r="C35" s="56" t="s">
        <v>78</v>
      </c>
      <c r="D35" s="57" t="s">
        <v>712</v>
      </c>
      <c r="E35" s="57" t="s">
        <v>624</v>
      </c>
      <c r="F35" s="56" t="s">
        <v>625</v>
      </c>
      <c r="G35" s="58">
        <v>0</v>
      </c>
      <c r="H35" s="59" t="s">
        <v>637</v>
      </c>
      <c r="I35" s="70" t="s">
        <v>638</v>
      </c>
      <c r="J35" s="56"/>
      <c r="K35" s="35"/>
      <c r="L35" s="35"/>
      <c r="M35" s="35"/>
      <c r="N35" s="35"/>
      <c r="O35" s="35"/>
      <c r="P35" s="35"/>
      <c r="Q35" s="35"/>
    </row>
    <row r="36" spans="1:17" ht="14.25" customHeight="1">
      <c r="A36" s="55">
        <v>64</v>
      </c>
      <c r="B36" s="56" t="s">
        <v>304</v>
      </c>
      <c r="C36" s="56" t="s">
        <v>80</v>
      </c>
      <c r="D36" s="57" t="s">
        <v>853</v>
      </c>
      <c r="E36" s="57" t="s">
        <v>673</v>
      </c>
      <c r="F36" s="56" t="s">
        <v>674</v>
      </c>
      <c r="G36" s="58">
        <v>1</v>
      </c>
      <c r="H36" s="56"/>
      <c r="I36" s="70"/>
      <c r="J36" s="50"/>
      <c r="K36" s="35"/>
      <c r="L36" s="35"/>
      <c r="M36" s="35"/>
      <c r="N36" s="35"/>
      <c r="O36" s="35"/>
      <c r="P36" s="35"/>
      <c r="Q36" s="35"/>
    </row>
    <row r="37" spans="1:17" ht="14.25" customHeight="1">
      <c r="A37" s="49">
        <v>14</v>
      </c>
      <c r="B37" s="50" t="s">
        <v>305</v>
      </c>
      <c r="C37" s="50" t="s">
        <v>81</v>
      </c>
      <c r="D37" s="51" t="s">
        <v>734</v>
      </c>
      <c r="E37" s="51" t="s">
        <v>650</v>
      </c>
      <c r="F37" s="50" t="s">
        <v>651</v>
      </c>
      <c r="G37" s="52">
        <v>0</v>
      </c>
      <c r="H37" s="53" t="s">
        <v>642</v>
      </c>
      <c r="I37" s="69" t="s">
        <v>654</v>
      </c>
      <c r="J37" s="59"/>
      <c r="K37" s="35"/>
      <c r="L37" s="35"/>
      <c r="M37" s="35"/>
      <c r="N37" s="35"/>
      <c r="O37" s="35"/>
      <c r="P37" s="35"/>
      <c r="Q37" s="35"/>
    </row>
    <row r="38" spans="1:17" ht="14.25" customHeight="1">
      <c r="A38" s="55">
        <v>32</v>
      </c>
      <c r="B38" s="56" t="s">
        <v>306</v>
      </c>
      <c r="C38" s="56" t="s">
        <v>82</v>
      </c>
      <c r="D38" s="57" t="s">
        <v>778</v>
      </c>
      <c r="E38" s="57" t="s">
        <v>659</v>
      </c>
      <c r="F38" s="56" t="s">
        <v>660</v>
      </c>
      <c r="G38" s="58">
        <v>1</v>
      </c>
      <c r="H38" s="56"/>
      <c r="I38" s="70"/>
      <c r="J38" s="50"/>
      <c r="K38" s="35"/>
      <c r="L38" s="35"/>
      <c r="M38" s="35"/>
      <c r="N38" s="35"/>
      <c r="O38" s="35"/>
      <c r="P38" s="35"/>
      <c r="Q38" s="35"/>
    </row>
    <row r="39" spans="1:17" ht="14.25" customHeight="1">
      <c r="A39" s="49">
        <v>32</v>
      </c>
      <c r="B39" s="50" t="s">
        <v>307</v>
      </c>
      <c r="C39" s="50" t="s">
        <v>84</v>
      </c>
      <c r="D39" s="51" t="s">
        <v>779</v>
      </c>
      <c r="E39" s="51" t="s">
        <v>659</v>
      </c>
      <c r="F39" s="50" t="s">
        <v>660</v>
      </c>
      <c r="G39" s="52">
        <v>1</v>
      </c>
      <c r="H39" s="50"/>
      <c r="I39" s="69"/>
      <c r="J39" s="59"/>
      <c r="K39" s="35"/>
      <c r="L39" s="35"/>
      <c r="M39" s="35"/>
      <c r="N39" s="35"/>
      <c r="O39" s="35"/>
      <c r="P39" s="35"/>
      <c r="Q39" s="35"/>
    </row>
    <row r="40" spans="1:17" ht="14.25" customHeight="1">
      <c r="A40" s="55">
        <v>66</v>
      </c>
      <c r="B40" s="56" t="s">
        <v>308</v>
      </c>
      <c r="C40" s="56" t="s">
        <v>85</v>
      </c>
      <c r="D40" s="57" t="s">
        <v>857</v>
      </c>
      <c r="E40" s="57" t="s">
        <v>680</v>
      </c>
      <c r="F40" s="56" t="s">
        <v>681</v>
      </c>
      <c r="G40" s="58">
        <v>1</v>
      </c>
      <c r="H40" s="56"/>
      <c r="I40" s="70"/>
      <c r="J40" s="53"/>
      <c r="K40" s="35"/>
      <c r="L40" s="35"/>
      <c r="M40" s="35"/>
      <c r="N40" s="35"/>
      <c r="O40" s="35"/>
      <c r="P40" s="35"/>
      <c r="Q40" s="35"/>
    </row>
    <row r="41" spans="1:17" ht="14.25" customHeight="1">
      <c r="A41" s="55">
        <v>8</v>
      </c>
      <c r="B41" s="56" t="s">
        <v>309</v>
      </c>
      <c r="C41" s="56" t="s">
        <v>86</v>
      </c>
      <c r="D41" s="57" t="s">
        <v>719</v>
      </c>
      <c r="E41" s="57" t="s">
        <v>624</v>
      </c>
      <c r="F41" s="56" t="s">
        <v>625</v>
      </c>
      <c r="G41" s="58">
        <v>0</v>
      </c>
      <c r="H41" s="59" t="s">
        <v>626</v>
      </c>
      <c r="I41" s="70" t="s">
        <v>645</v>
      </c>
      <c r="J41" s="56"/>
      <c r="K41" s="35"/>
      <c r="L41" s="35"/>
      <c r="M41" s="35"/>
      <c r="N41" s="35"/>
      <c r="O41" s="35"/>
      <c r="P41" s="35"/>
      <c r="Q41" s="35"/>
    </row>
    <row r="42" spans="1:17" ht="14.25" customHeight="1">
      <c r="A42" s="55">
        <v>10</v>
      </c>
      <c r="B42" s="56" t="s">
        <v>310</v>
      </c>
      <c r="C42" s="56" t="s">
        <v>88</v>
      </c>
      <c r="D42" s="57" t="s">
        <v>724</v>
      </c>
      <c r="E42" s="57" t="s">
        <v>624</v>
      </c>
      <c r="F42" s="56" t="s">
        <v>625</v>
      </c>
      <c r="G42" s="58">
        <v>1</v>
      </c>
      <c r="H42" s="56"/>
      <c r="I42" s="70"/>
      <c r="J42" s="50"/>
      <c r="K42" s="35"/>
      <c r="L42" s="35"/>
      <c r="M42" s="35"/>
      <c r="N42" s="35"/>
      <c r="O42" s="35"/>
      <c r="P42" s="35"/>
      <c r="Q42" s="35"/>
    </row>
    <row r="43" spans="1:17" ht="14.25" customHeight="1">
      <c r="A43" s="55">
        <v>6</v>
      </c>
      <c r="B43" s="56" t="s">
        <v>311</v>
      </c>
      <c r="C43" s="56" t="s">
        <v>89</v>
      </c>
      <c r="D43" s="57" t="s">
        <v>715</v>
      </c>
      <c r="E43" s="57" t="s">
        <v>624</v>
      </c>
      <c r="F43" s="56" t="s">
        <v>625</v>
      </c>
      <c r="G43" s="58">
        <v>1</v>
      </c>
      <c r="H43" s="56"/>
      <c r="I43" s="70"/>
      <c r="J43" s="56"/>
      <c r="K43" s="35"/>
      <c r="L43" s="35"/>
      <c r="M43" s="35"/>
      <c r="N43" s="35"/>
      <c r="O43" s="35"/>
      <c r="P43" s="35"/>
      <c r="Q43" s="35"/>
    </row>
    <row r="44" spans="1:17" ht="14.25" customHeight="1">
      <c r="A44" s="55">
        <v>48</v>
      </c>
      <c r="B44" s="56"/>
      <c r="C44" s="56" t="s">
        <v>90</v>
      </c>
      <c r="D44" s="57" t="s">
        <v>811</v>
      </c>
      <c r="E44" s="57" t="s">
        <v>669</v>
      </c>
      <c r="F44" s="56" t="s">
        <v>670</v>
      </c>
      <c r="G44" s="58">
        <v>1</v>
      </c>
      <c r="H44" s="56"/>
      <c r="I44" s="70"/>
      <c r="J44" s="50"/>
      <c r="K44" s="35"/>
      <c r="L44" s="35"/>
      <c r="M44" s="35"/>
      <c r="N44" s="35"/>
      <c r="O44" s="35"/>
      <c r="P44" s="35"/>
      <c r="Q44" s="35"/>
    </row>
    <row r="45" spans="1:17" ht="14.25" customHeight="1">
      <c r="A45" s="55">
        <v>18</v>
      </c>
      <c r="B45" s="56" t="s">
        <v>313</v>
      </c>
      <c r="C45" s="56" t="s">
        <v>91</v>
      </c>
      <c r="D45" s="57" t="s">
        <v>743</v>
      </c>
      <c r="E45" s="57" t="s">
        <v>650</v>
      </c>
      <c r="F45" s="56" t="s">
        <v>651</v>
      </c>
      <c r="G45" s="58">
        <v>1</v>
      </c>
      <c r="H45" s="56"/>
      <c r="I45" s="70"/>
      <c r="J45" s="56"/>
      <c r="K45" s="35"/>
      <c r="L45" s="35"/>
      <c r="M45" s="35"/>
      <c r="N45" s="35"/>
      <c r="O45" s="35"/>
      <c r="P45" s="35"/>
      <c r="Q45" s="35"/>
    </row>
    <row r="46" spans="1:17" ht="14.25" customHeight="1">
      <c r="A46" s="55">
        <v>15</v>
      </c>
      <c r="B46" s="56" t="s">
        <v>314</v>
      </c>
      <c r="C46" s="56" t="s">
        <v>92</v>
      </c>
      <c r="D46" s="57" t="s">
        <v>736</v>
      </c>
      <c r="E46" s="57" t="s">
        <v>650</v>
      </c>
      <c r="F46" s="56" t="s">
        <v>651</v>
      </c>
      <c r="G46" s="58">
        <v>1</v>
      </c>
      <c r="H46" s="59"/>
      <c r="I46" s="72"/>
      <c r="J46" s="50"/>
      <c r="K46" s="35"/>
      <c r="L46" s="35"/>
      <c r="M46" s="35"/>
      <c r="N46" s="35"/>
      <c r="O46" s="35"/>
      <c r="P46" s="35"/>
      <c r="Q46" s="35"/>
    </row>
    <row r="47" spans="1:17" ht="14.25" customHeight="1">
      <c r="A47" s="49">
        <v>34</v>
      </c>
      <c r="B47" s="50" t="s">
        <v>315</v>
      </c>
      <c r="C47" s="50" t="s">
        <v>93</v>
      </c>
      <c r="D47" s="51" t="s">
        <v>782</v>
      </c>
      <c r="E47" s="51" t="s">
        <v>663</v>
      </c>
      <c r="F47" s="50" t="s">
        <v>664</v>
      </c>
      <c r="G47" s="52">
        <v>1</v>
      </c>
      <c r="H47" s="53"/>
      <c r="I47" s="69"/>
      <c r="J47" s="56"/>
      <c r="K47" s="35"/>
      <c r="L47" s="35"/>
      <c r="M47" s="35"/>
      <c r="N47" s="35"/>
      <c r="O47" s="35"/>
      <c r="P47" s="35"/>
      <c r="Q47" s="35"/>
    </row>
    <row r="48" spans="1:17" ht="14.25" customHeight="1">
      <c r="A48" s="49">
        <v>48</v>
      </c>
      <c r="B48" s="50"/>
      <c r="C48" s="50" t="s">
        <v>95</v>
      </c>
      <c r="D48" s="51" t="s">
        <v>812</v>
      </c>
      <c r="E48" s="51" t="s">
        <v>669</v>
      </c>
      <c r="F48" s="50" t="s">
        <v>670</v>
      </c>
      <c r="G48" s="52">
        <v>1</v>
      </c>
      <c r="H48" s="50"/>
      <c r="I48" s="69"/>
      <c r="J48" s="50"/>
      <c r="K48" s="35"/>
      <c r="L48" s="35"/>
      <c r="M48" s="35"/>
      <c r="N48" s="35"/>
      <c r="O48" s="35"/>
      <c r="P48" s="35"/>
      <c r="Q48" s="35"/>
    </row>
    <row r="49" spans="1:17" ht="14.25" customHeight="1">
      <c r="A49" s="49">
        <v>16</v>
      </c>
      <c r="B49" s="50" t="s">
        <v>317</v>
      </c>
      <c r="C49" s="50" t="s">
        <v>97</v>
      </c>
      <c r="D49" s="51" t="s">
        <v>740</v>
      </c>
      <c r="E49" s="51" t="s">
        <v>650</v>
      </c>
      <c r="F49" s="50" t="s">
        <v>651</v>
      </c>
      <c r="G49" s="52">
        <v>1</v>
      </c>
      <c r="H49" s="50"/>
      <c r="I49" s="69"/>
      <c r="J49" s="56"/>
      <c r="K49" s="35"/>
      <c r="L49" s="35"/>
      <c r="M49" s="35"/>
      <c r="N49" s="35"/>
      <c r="O49" s="35"/>
      <c r="P49" s="35"/>
      <c r="Q49" s="35"/>
    </row>
    <row r="50" spans="1:17" ht="14.25" customHeight="1">
      <c r="A50" s="55">
        <v>33</v>
      </c>
      <c r="B50" s="56" t="s">
        <v>318</v>
      </c>
      <c r="C50" s="56" t="s">
        <v>98</v>
      </c>
      <c r="D50" s="57" t="s">
        <v>99</v>
      </c>
      <c r="E50" s="57" t="s">
        <v>659</v>
      </c>
      <c r="F50" s="56" t="s">
        <v>660</v>
      </c>
      <c r="G50" s="58">
        <v>1</v>
      </c>
      <c r="H50" s="56"/>
      <c r="I50" s="70"/>
      <c r="J50" s="50"/>
      <c r="K50" s="35"/>
      <c r="L50" s="35"/>
      <c r="M50" s="35"/>
      <c r="N50" s="35"/>
      <c r="O50" s="35"/>
      <c r="P50" s="35"/>
      <c r="Q50" s="35"/>
    </row>
    <row r="51" spans="1:17" ht="14.25" customHeight="1">
      <c r="A51" s="49">
        <v>10</v>
      </c>
      <c r="B51" s="50" t="s">
        <v>319</v>
      </c>
      <c r="C51" s="50" t="s">
        <v>100</v>
      </c>
      <c r="D51" s="51" t="s">
        <v>725</v>
      </c>
      <c r="E51" s="51" t="s">
        <v>624</v>
      </c>
      <c r="F51" s="50" t="s">
        <v>625</v>
      </c>
      <c r="G51" s="52">
        <v>0</v>
      </c>
      <c r="H51" s="50" t="s">
        <v>637</v>
      </c>
      <c r="I51" s="69" t="s">
        <v>701</v>
      </c>
      <c r="J51" s="56"/>
      <c r="K51" s="35"/>
      <c r="L51" s="35"/>
      <c r="M51" s="35"/>
      <c r="N51" s="35"/>
      <c r="O51" s="35"/>
      <c r="P51" s="35"/>
      <c r="Q51" s="35"/>
    </row>
    <row r="52" spans="1:17" ht="14.25" customHeight="1">
      <c r="A52" s="55">
        <v>13</v>
      </c>
      <c r="B52" s="56" t="s">
        <v>320</v>
      </c>
      <c r="C52" s="56" t="s">
        <v>101</v>
      </c>
      <c r="D52" s="57" t="s">
        <v>730</v>
      </c>
      <c r="E52" s="57" t="s">
        <v>650</v>
      </c>
      <c r="F52" s="56" t="s">
        <v>651</v>
      </c>
      <c r="G52" s="58">
        <v>1</v>
      </c>
      <c r="H52" s="56"/>
      <c r="I52" s="71"/>
      <c r="J52" s="50"/>
      <c r="K52" s="35"/>
      <c r="L52" s="35"/>
      <c r="M52" s="35"/>
      <c r="N52" s="35"/>
      <c r="O52" s="35"/>
      <c r="P52" s="35"/>
      <c r="Q52" s="35"/>
    </row>
    <row r="53" spans="1:17" ht="14.25" customHeight="1">
      <c r="A53" s="49">
        <v>66</v>
      </c>
      <c r="B53" s="50" t="s">
        <v>321</v>
      </c>
      <c r="C53" s="50" t="s">
        <v>102</v>
      </c>
      <c r="D53" s="51" t="s">
        <v>858</v>
      </c>
      <c r="E53" s="51" t="s">
        <v>680</v>
      </c>
      <c r="F53" s="50" t="s">
        <v>681</v>
      </c>
      <c r="G53" s="52">
        <v>0</v>
      </c>
      <c r="H53" s="53" t="s">
        <v>626</v>
      </c>
      <c r="I53" s="53" t="s">
        <v>682</v>
      </c>
      <c r="J53" s="56"/>
      <c r="K53" s="35"/>
      <c r="L53" s="35"/>
      <c r="M53" s="35"/>
      <c r="N53" s="35"/>
      <c r="O53" s="35"/>
      <c r="P53" s="35"/>
      <c r="Q53" s="35"/>
    </row>
    <row r="54" spans="1:17" ht="14.25" customHeight="1">
      <c r="A54" s="49">
        <v>56</v>
      </c>
      <c r="B54" s="50" t="s">
        <v>322</v>
      </c>
      <c r="C54" s="50" t="s">
        <v>103</v>
      </c>
      <c r="D54" s="51" t="s">
        <v>834</v>
      </c>
      <c r="E54" s="51" t="s">
        <v>673</v>
      </c>
      <c r="F54" s="50" t="s">
        <v>674</v>
      </c>
      <c r="G54" s="52">
        <v>0</v>
      </c>
      <c r="H54" s="53" t="s">
        <v>634</v>
      </c>
      <c r="I54" s="69"/>
      <c r="J54" s="50"/>
      <c r="K54" s="35"/>
      <c r="L54" s="35"/>
      <c r="M54" s="35"/>
      <c r="N54" s="35"/>
      <c r="O54" s="35"/>
      <c r="P54" s="35"/>
      <c r="Q54" s="35"/>
    </row>
    <row r="55" spans="1:17" ht="14.25" customHeight="1">
      <c r="A55" s="55">
        <v>62</v>
      </c>
      <c r="B55" s="56" t="s">
        <v>323</v>
      </c>
      <c r="C55" s="56" t="s">
        <v>103</v>
      </c>
      <c r="D55" s="57" t="s">
        <v>848</v>
      </c>
      <c r="E55" s="57" t="s">
        <v>673</v>
      </c>
      <c r="F55" s="56" t="s">
        <v>674</v>
      </c>
      <c r="G55" s="58">
        <v>1</v>
      </c>
      <c r="H55" s="56"/>
      <c r="I55" s="70"/>
      <c r="J55" s="56"/>
      <c r="K55" s="35"/>
      <c r="L55" s="35"/>
      <c r="M55" s="35"/>
      <c r="N55" s="35"/>
      <c r="O55" s="35"/>
      <c r="P55" s="35"/>
      <c r="Q55" s="35"/>
    </row>
    <row r="56" spans="1:17" ht="14.25" customHeight="1">
      <c r="A56" s="49">
        <v>13</v>
      </c>
      <c r="B56" s="50" t="s">
        <v>324</v>
      </c>
      <c r="C56" s="50" t="s">
        <v>104</v>
      </c>
      <c r="D56" s="51" t="s">
        <v>731</v>
      </c>
      <c r="E56" s="51" t="s">
        <v>650</v>
      </c>
      <c r="F56" s="50" t="s">
        <v>651</v>
      </c>
      <c r="G56" s="52">
        <v>0</v>
      </c>
      <c r="H56" s="53" t="s">
        <v>626</v>
      </c>
      <c r="I56" s="69" t="s">
        <v>652</v>
      </c>
      <c r="J56" s="50"/>
      <c r="K56" s="35"/>
      <c r="L56" s="35"/>
      <c r="M56" s="35"/>
      <c r="N56" s="35"/>
      <c r="O56" s="35"/>
      <c r="P56" s="35"/>
      <c r="Q56" s="35"/>
    </row>
    <row r="57" spans="1:17" ht="14.25" customHeight="1">
      <c r="A57" s="55">
        <v>70</v>
      </c>
      <c r="B57" s="56" t="s">
        <v>325</v>
      </c>
      <c r="C57" s="56" t="s">
        <v>106</v>
      </c>
      <c r="D57" s="57" t="s">
        <v>866</v>
      </c>
      <c r="E57" s="57" t="s">
        <v>680</v>
      </c>
      <c r="F57" s="56" t="s">
        <v>681</v>
      </c>
      <c r="G57" s="58">
        <v>0</v>
      </c>
      <c r="H57" s="59" t="s">
        <v>626</v>
      </c>
      <c r="I57" s="59" t="s">
        <v>685</v>
      </c>
      <c r="J57" s="56"/>
      <c r="K57" s="35"/>
      <c r="L57" s="35"/>
      <c r="M57" s="35"/>
      <c r="N57" s="35"/>
      <c r="O57" s="35"/>
      <c r="P57" s="35"/>
      <c r="Q57" s="35"/>
    </row>
    <row r="58" spans="1:17" ht="14.25" customHeight="1">
      <c r="A58" s="55">
        <v>9</v>
      </c>
      <c r="B58" s="56" t="s">
        <v>326</v>
      </c>
      <c r="C58" s="56" t="s">
        <v>18</v>
      </c>
      <c r="D58" s="57" t="s">
        <v>722</v>
      </c>
      <c r="E58" s="57" t="s">
        <v>624</v>
      </c>
      <c r="F58" s="56" t="s">
        <v>625</v>
      </c>
      <c r="G58" s="58">
        <v>0</v>
      </c>
      <c r="H58" s="59" t="s">
        <v>637</v>
      </c>
      <c r="I58" s="70" t="s">
        <v>648</v>
      </c>
      <c r="J58" s="50"/>
      <c r="K58" s="35"/>
      <c r="L58" s="35"/>
      <c r="M58" s="35"/>
      <c r="N58" s="35"/>
      <c r="O58" s="35"/>
      <c r="P58" s="35"/>
      <c r="Q58" s="35"/>
    </row>
    <row r="59" spans="1:17" ht="14.25" customHeight="1">
      <c r="A59" s="49">
        <v>85</v>
      </c>
      <c r="B59" s="50" t="s">
        <v>327</v>
      </c>
      <c r="C59" s="50" t="s">
        <v>107</v>
      </c>
      <c r="D59" s="51" t="s">
        <v>896</v>
      </c>
      <c r="E59" s="51" t="s">
        <v>686</v>
      </c>
      <c r="F59" s="50" t="s">
        <v>687</v>
      </c>
      <c r="G59" s="52">
        <v>1</v>
      </c>
      <c r="H59" s="50"/>
      <c r="I59" s="69"/>
      <c r="J59" s="56"/>
      <c r="K59" s="35"/>
      <c r="L59" s="35"/>
      <c r="M59" s="35"/>
      <c r="N59" s="35"/>
      <c r="O59" s="35"/>
      <c r="P59" s="35"/>
      <c r="Q59" s="35"/>
    </row>
    <row r="60" spans="1:17" ht="14.25" customHeight="1">
      <c r="A60" s="55">
        <v>53</v>
      </c>
      <c r="B60" s="56"/>
      <c r="C60" s="56" t="s">
        <v>109</v>
      </c>
      <c r="D60" s="57" t="s">
        <v>825</v>
      </c>
      <c r="E60" s="57" t="s">
        <v>669</v>
      </c>
      <c r="F60" s="56" t="s">
        <v>670</v>
      </c>
      <c r="G60" s="58">
        <v>0</v>
      </c>
      <c r="H60" s="59" t="s">
        <v>634</v>
      </c>
      <c r="I60" s="70"/>
      <c r="J60" s="50"/>
      <c r="K60" s="35"/>
      <c r="L60" s="35"/>
      <c r="M60" s="35"/>
      <c r="N60" s="35"/>
      <c r="O60" s="35"/>
      <c r="P60" s="35"/>
      <c r="Q60" s="35"/>
    </row>
    <row r="61" spans="1:17" ht="14.25" customHeight="1">
      <c r="A61" s="55">
        <v>22</v>
      </c>
      <c r="B61" s="56" t="s">
        <v>330</v>
      </c>
      <c r="C61" s="56" t="s">
        <v>110</v>
      </c>
      <c r="D61" s="57" t="s">
        <v>752</v>
      </c>
      <c r="E61" s="57" t="s">
        <v>650</v>
      </c>
      <c r="F61" s="56" t="s">
        <v>651</v>
      </c>
      <c r="G61" s="58">
        <v>1</v>
      </c>
      <c r="H61" s="56"/>
      <c r="I61" s="70"/>
      <c r="J61" s="56"/>
      <c r="K61" s="35"/>
      <c r="L61" s="35"/>
      <c r="M61" s="35"/>
      <c r="N61" s="35"/>
      <c r="O61" s="35"/>
      <c r="P61" s="35"/>
      <c r="Q61" s="35"/>
    </row>
    <row r="62" spans="1:17" ht="14.25" customHeight="1">
      <c r="A62" s="49">
        <v>87</v>
      </c>
      <c r="B62" s="50" t="s">
        <v>331</v>
      </c>
      <c r="C62" s="50" t="s">
        <v>112</v>
      </c>
      <c r="D62" s="51">
        <v>2341547</v>
      </c>
      <c r="E62" s="51" t="s">
        <v>680</v>
      </c>
      <c r="F62" s="50" t="s">
        <v>681</v>
      </c>
      <c r="G62" s="52">
        <v>0</v>
      </c>
      <c r="H62" s="53" t="s">
        <v>634</v>
      </c>
      <c r="I62" s="69"/>
      <c r="J62" s="50"/>
      <c r="K62" s="35"/>
      <c r="L62" s="35"/>
      <c r="M62" s="35"/>
      <c r="N62" s="35"/>
      <c r="O62" s="35"/>
      <c r="P62" s="35"/>
      <c r="Q62" s="35"/>
    </row>
    <row r="63" spans="1:17" ht="14.25" customHeight="1">
      <c r="A63" s="55">
        <v>25</v>
      </c>
      <c r="B63" s="56" t="s">
        <v>332</v>
      </c>
      <c r="C63" s="56" t="s">
        <v>113</v>
      </c>
      <c r="D63" s="57" t="s">
        <v>759</v>
      </c>
      <c r="E63" s="57" t="s">
        <v>659</v>
      </c>
      <c r="F63" s="56" t="s">
        <v>660</v>
      </c>
      <c r="G63" s="58">
        <v>1</v>
      </c>
      <c r="H63" s="56"/>
      <c r="I63" s="70"/>
      <c r="J63" s="56"/>
      <c r="K63" s="35"/>
      <c r="L63" s="35"/>
      <c r="M63" s="35"/>
      <c r="N63" s="35"/>
      <c r="O63" s="35"/>
      <c r="P63" s="35"/>
      <c r="Q63" s="35"/>
    </row>
    <row r="64" spans="1:17" ht="14.25" customHeight="1">
      <c r="A64" s="49">
        <v>77</v>
      </c>
      <c r="B64" s="50" t="s">
        <v>333</v>
      </c>
      <c r="C64" s="50" t="s">
        <v>115</v>
      </c>
      <c r="D64" s="51" t="s">
        <v>878</v>
      </c>
      <c r="E64" s="51" t="s">
        <v>686</v>
      </c>
      <c r="F64" s="50" t="s">
        <v>687</v>
      </c>
      <c r="G64" s="52">
        <v>1</v>
      </c>
      <c r="H64" s="50"/>
      <c r="I64" s="69"/>
      <c r="J64" s="50"/>
      <c r="K64" s="35"/>
      <c r="L64" s="35"/>
      <c r="M64" s="35"/>
      <c r="N64" s="35"/>
      <c r="O64" s="35"/>
      <c r="P64" s="35"/>
      <c r="Q64" s="35"/>
    </row>
    <row r="65" spans="1:17" ht="14.25" customHeight="1">
      <c r="A65" s="49">
        <v>15</v>
      </c>
      <c r="B65" s="50" t="s">
        <v>334</v>
      </c>
      <c r="C65" s="50" t="s">
        <v>19</v>
      </c>
      <c r="D65" s="51" t="s">
        <v>738</v>
      </c>
      <c r="E65" s="51" t="s">
        <v>650</v>
      </c>
      <c r="F65" s="50" t="s">
        <v>651</v>
      </c>
      <c r="G65" s="52">
        <v>0</v>
      </c>
      <c r="H65" s="53" t="s">
        <v>642</v>
      </c>
      <c r="I65" s="69" t="s">
        <v>656</v>
      </c>
      <c r="J65" s="56"/>
      <c r="K65" s="35"/>
      <c r="L65" s="35"/>
      <c r="M65" s="35"/>
      <c r="N65" s="35"/>
      <c r="O65" s="35"/>
      <c r="P65" s="35"/>
      <c r="Q65" s="35"/>
    </row>
    <row r="66" spans="1:17" ht="14.25" customHeight="1">
      <c r="A66" s="55">
        <v>38</v>
      </c>
      <c r="B66" s="56" t="s">
        <v>335</v>
      </c>
      <c r="C66" s="56" t="s">
        <v>118</v>
      </c>
      <c r="D66" s="57" t="s">
        <v>789</v>
      </c>
      <c r="E66" s="57" t="s">
        <v>663</v>
      </c>
      <c r="F66" s="56" t="s">
        <v>664</v>
      </c>
      <c r="G66" s="58">
        <v>1</v>
      </c>
      <c r="H66" s="56"/>
      <c r="I66" s="70"/>
      <c r="J66" s="50"/>
      <c r="K66" s="35"/>
      <c r="L66" s="35"/>
      <c r="M66" s="35"/>
      <c r="N66" s="35"/>
      <c r="O66" s="35"/>
      <c r="P66" s="35"/>
      <c r="Q66" s="35"/>
    </row>
    <row r="67" spans="1:17" ht="14.25" customHeight="1">
      <c r="A67" s="55">
        <v>35</v>
      </c>
      <c r="B67" s="56" t="s">
        <v>336</v>
      </c>
      <c r="C67" s="56" t="s">
        <v>119</v>
      </c>
      <c r="D67" s="57" t="s">
        <v>783</v>
      </c>
      <c r="E67" s="57" t="s">
        <v>663</v>
      </c>
      <c r="F67" s="56" t="s">
        <v>664</v>
      </c>
      <c r="G67" s="58">
        <v>1</v>
      </c>
      <c r="H67" s="59"/>
      <c r="I67" s="70"/>
      <c r="J67" s="56"/>
      <c r="K67" s="35"/>
      <c r="L67" s="35"/>
      <c r="M67" s="35"/>
      <c r="N67" s="35"/>
      <c r="O67" s="35"/>
      <c r="P67" s="35"/>
      <c r="Q67" s="35"/>
    </row>
    <row r="68" spans="1:17" ht="14.25" customHeight="1">
      <c r="A68" s="55">
        <v>47</v>
      </c>
      <c r="B68" s="56"/>
      <c r="C68" s="56" t="s">
        <v>121</v>
      </c>
      <c r="D68" s="57" t="s">
        <v>809</v>
      </c>
      <c r="E68" s="57" t="s">
        <v>669</v>
      </c>
      <c r="F68" s="56" t="s">
        <v>670</v>
      </c>
      <c r="G68" s="58">
        <v>0</v>
      </c>
      <c r="H68" s="59" t="s">
        <v>634</v>
      </c>
      <c r="I68" s="70"/>
      <c r="J68" s="50"/>
      <c r="K68" s="35"/>
      <c r="L68" s="35"/>
      <c r="M68" s="35"/>
      <c r="N68" s="35"/>
      <c r="O68" s="35"/>
      <c r="P68" s="35"/>
      <c r="Q68" s="35"/>
    </row>
    <row r="69" spans="1:17" ht="14.25" customHeight="1">
      <c r="A69" s="49">
        <v>53</v>
      </c>
      <c r="B69" s="50"/>
      <c r="C69" s="50" t="s">
        <v>122</v>
      </c>
      <c r="D69" s="51" t="s">
        <v>827</v>
      </c>
      <c r="E69" s="51" t="s">
        <v>669</v>
      </c>
      <c r="F69" s="50" t="s">
        <v>670</v>
      </c>
      <c r="G69" s="52">
        <v>0</v>
      </c>
      <c r="H69" s="53" t="s">
        <v>634</v>
      </c>
      <c r="I69" s="69"/>
      <c r="J69" s="75" t="s">
        <v>700</v>
      </c>
      <c r="K69" s="35"/>
      <c r="L69" s="35"/>
      <c r="M69" s="35"/>
      <c r="N69" s="35"/>
      <c r="O69" s="35"/>
      <c r="P69" s="35"/>
      <c r="Q69" s="35"/>
    </row>
    <row r="70" spans="1:17" ht="14.25" customHeight="1">
      <c r="A70" s="55">
        <v>54</v>
      </c>
      <c r="B70" s="56"/>
      <c r="C70" s="56" t="s">
        <v>123</v>
      </c>
      <c r="D70" s="57" t="s">
        <v>828</v>
      </c>
      <c r="E70" s="57" t="s">
        <v>669</v>
      </c>
      <c r="F70" s="56" t="s">
        <v>670</v>
      </c>
      <c r="G70" s="58">
        <v>0</v>
      </c>
      <c r="H70" s="59" t="s">
        <v>634</v>
      </c>
      <c r="I70" s="70"/>
      <c r="J70" s="50"/>
      <c r="K70" s="35"/>
      <c r="L70" s="35"/>
      <c r="M70" s="35"/>
      <c r="N70" s="35"/>
      <c r="O70" s="35"/>
      <c r="P70" s="35"/>
      <c r="Q70" s="35"/>
    </row>
    <row r="71" spans="1:17" ht="14.25" customHeight="1">
      <c r="A71" s="55">
        <v>12</v>
      </c>
      <c r="B71" s="56" t="s">
        <v>340</v>
      </c>
      <c r="C71" s="56" t="s">
        <v>125</v>
      </c>
      <c r="D71" s="57" t="s">
        <v>728</v>
      </c>
      <c r="E71" s="57" t="s">
        <v>650</v>
      </c>
      <c r="F71" s="56" t="s">
        <v>651</v>
      </c>
      <c r="G71" s="58">
        <v>0</v>
      </c>
      <c r="H71" s="59" t="s">
        <v>637</v>
      </c>
      <c r="I71" s="70" t="s">
        <v>648</v>
      </c>
      <c r="J71" s="56"/>
      <c r="K71" s="35"/>
      <c r="L71" s="35"/>
      <c r="M71" s="35"/>
      <c r="N71" s="35"/>
      <c r="O71" s="35"/>
      <c r="P71" s="35"/>
      <c r="Q71" s="35"/>
    </row>
    <row r="72" spans="1:17" ht="14.25" customHeight="1">
      <c r="A72" s="55">
        <v>77</v>
      </c>
      <c r="B72" s="56" t="s">
        <v>341</v>
      </c>
      <c r="C72" s="56" t="s">
        <v>127</v>
      </c>
      <c r="D72" s="57" t="s">
        <v>880</v>
      </c>
      <c r="E72" s="57" t="s">
        <v>686</v>
      </c>
      <c r="F72" s="56" t="s">
        <v>687</v>
      </c>
      <c r="G72" s="58">
        <v>1</v>
      </c>
      <c r="H72" s="56"/>
      <c r="I72" s="70"/>
      <c r="J72" s="50"/>
      <c r="K72" s="35"/>
      <c r="L72" s="35"/>
      <c r="M72" s="35"/>
      <c r="N72" s="35"/>
      <c r="O72" s="35"/>
      <c r="P72" s="35"/>
      <c r="Q72" s="35"/>
    </row>
    <row r="73" spans="1:17" ht="14.25" customHeight="1">
      <c r="A73" s="55">
        <v>58</v>
      </c>
      <c r="B73" s="56" t="s">
        <v>342</v>
      </c>
      <c r="C73" s="56" t="s">
        <v>128</v>
      </c>
      <c r="D73" s="57" t="s">
        <v>838</v>
      </c>
      <c r="E73" s="57" t="s">
        <v>673</v>
      </c>
      <c r="F73" s="56" t="s">
        <v>674</v>
      </c>
      <c r="G73" s="58">
        <v>0</v>
      </c>
      <c r="H73" s="59" t="s">
        <v>634</v>
      </c>
      <c r="I73" s="70"/>
      <c r="J73" s="56"/>
      <c r="K73" s="35"/>
      <c r="L73" s="35"/>
      <c r="M73" s="35"/>
      <c r="N73" s="35"/>
      <c r="O73" s="35"/>
      <c r="P73" s="35"/>
      <c r="Q73" s="35"/>
    </row>
    <row r="74" spans="1:17" ht="14.25" customHeight="1">
      <c r="A74" s="55">
        <v>72</v>
      </c>
      <c r="B74" s="56" t="s">
        <v>343</v>
      </c>
      <c r="C74" s="56" t="s">
        <v>130</v>
      </c>
      <c r="D74" s="57" t="s">
        <v>871</v>
      </c>
      <c r="E74" s="57" t="s">
        <v>680</v>
      </c>
      <c r="F74" s="56" t="s">
        <v>681</v>
      </c>
      <c r="G74" s="58">
        <v>0</v>
      </c>
      <c r="H74" s="59" t="s">
        <v>634</v>
      </c>
      <c r="I74" s="70"/>
      <c r="J74" s="50"/>
      <c r="K74" s="35"/>
      <c r="L74" s="35"/>
      <c r="M74" s="35"/>
      <c r="N74" s="35"/>
      <c r="O74" s="35"/>
      <c r="P74" s="35"/>
      <c r="Q74" s="35"/>
    </row>
    <row r="75" spans="1:17" ht="14.25" customHeight="1">
      <c r="A75" s="49">
        <v>72</v>
      </c>
      <c r="B75" s="50" t="s">
        <v>344</v>
      </c>
      <c r="C75" s="50" t="s">
        <v>131</v>
      </c>
      <c r="D75" s="51" t="s">
        <v>872</v>
      </c>
      <c r="E75" s="51" t="s">
        <v>680</v>
      </c>
      <c r="F75" s="50" t="s">
        <v>681</v>
      </c>
      <c r="G75" s="52">
        <v>0</v>
      </c>
      <c r="H75" s="53" t="s">
        <v>634</v>
      </c>
      <c r="I75" s="69"/>
      <c r="J75" s="56"/>
      <c r="K75" s="35"/>
      <c r="L75" s="35"/>
      <c r="M75" s="35"/>
      <c r="N75" s="35"/>
      <c r="O75" s="35"/>
      <c r="P75" s="35"/>
      <c r="Q75" s="35"/>
    </row>
    <row r="76" spans="1:17" ht="14.25" customHeight="1">
      <c r="A76" s="55">
        <v>41</v>
      </c>
      <c r="B76" s="56" t="s">
        <v>345</v>
      </c>
      <c r="C76" s="56" t="s">
        <v>133</v>
      </c>
      <c r="D76" s="57" t="s">
        <v>795</v>
      </c>
      <c r="E76" s="57" t="s">
        <v>663</v>
      </c>
      <c r="F76" s="56" t="s">
        <v>664</v>
      </c>
      <c r="G76" s="58">
        <v>0</v>
      </c>
      <c r="H76" s="59" t="s">
        <v>634</v>
      </c>
      <c r="I76" s="70"/>
      <c r="J76" s="50"/>
      <c r="K76" s="35"/>
      <c r="L76" s="35"/>
      <c r="M76" s="35"/>
      <c r="N76" s="35"/>
      <c r="O76" s="35"/>
      <c r="P76" s="35"/>
      <c r="Q76" s="35"/>
    </row>
    <row r="77" spans="1:17" ht="14.25" customHeight="1">
      <c r="A77" s="55">
        <v>51</v>
      </c>
      <c r="B77" s="56"/>
      <c r="C77" s="56" t="s">
        <v>134</v>
      </c>
      <c r="D77" s="57" t="s">
        <v>818</v>
      </c>
      <c r="E77" s="57" t="s">
        <v>669</v>
      </c>
      <c r="F77" s="56" t="s">
        <v>670</v>
      </c>
      <c r="G77" s="58">
        <v>1</v>
      </c>
      <c r="H77" s="56"/>
      <c r="I77" s="70"/>
      <c r="J77" s="56"/>
      <c r="K77" s="35"/>
      <c r="L77" s="35"/>
      <c r="M77" s="35"/>
      <c r="N77" s="35"/>
      <c r="O77" s="35"/>
      <c r="P77" s="35"/>
      <c r="Q77" s="35"/>
    </row>
    <row r="78" spans="1:17" ht="14.25" customHeight="1">
      <c r="A78" s="55">
        <v>30</v>
      </c>
      <c r="B78" s="56" t="s">
        <v>347</v>
      </c>
      <c r="C78" s="56" t="s">
        <v>136</v>
      </c>
      <c r="D78" s="57" t="s">
        <v>773</v>
      </c>
      <c r="E78" s="57" t="s">
        <v>659</v>
      </c>
      <c r="F78" s="56" t="s">
        <v>660</v>
      </c>
      <c r="G78" s="58">
        <v>0</v>
      </c>
      <c r="H78" s="59" t="s">
        <v>634</v>
      </c>
      <c r="I78" s="70"/>
      <c r="J78" s="50"/>
      <c r="K78" s="35"/>
      <c r="L78" s="35"/>
      <c r="M78" s="35"/>
      <c r="N78" s="35"/>
      <c r="O78" s="35"/>
      <c r="P78" s="35"/>
      <c r="Q78" s="35"/>
    </row>
    <row r="79" spans="1:17" ht="14.25" customHeight="1">
      <c r="A79" s="49">
        <v>78</v>
      </c>
      <c r="B79" s="50" t="s">
        <v>348</v>
      </c>
      <c r="C79" s="50" t="s">
        <v>137</v>
      </c>
      <c r="D79" s="51" t="s">
        <v>881</v>
      </c>
      <c r="E79" s="51" t="s">
        <v>686</v>
      </c>
      <c r="F79" s="50" t="s">
        <v>687</v>
      </c>
      <c r="G79" s="52">
        <v>1</v>
      </c>
      <c r="H79" s="50"/>
      <c r="I79" s="69"/>
      <c r="J79" s="56"/>
      <c r="K79" s="35"/>
      <c r="L79" s="35"/>
      <c r="M79" s="35"/>
      <c r="N79" s="35"/>
      <c r="O79" s="35"/>
      <c r="P79" s="35"/>
      <c r="Q79" s="35"/>
    </row>
    <row r="80" spans="1:17" ht="14.25" customHeight="1">
      <c r="A80" s="49">
        <v>24</v>
      </c>
      <c r="B80" s="50" t="s">
        <v>349</v>
      </c>
      <c r="C80" s="50" t="s">
        <v>138</v>
      </c>
      <c r="D80" s="51" t="s">
        <v>758</v>
      </c>
      <c r="E80" s="51" t="s">
        <v>659</v>
      </c>
      <c r="F80" s="50" t="s">
        <v>660</v>
      </c>
      <c r="G80" s="52">
        <v>1</v>
      </c>
      <c r="H80" s="50"/>
      <c r="I80" s="69"/>
      <c r="J80" s="50"/>
      <c r="K80" s="35"/>
      <c r="L80" s="35"/>
      <c r="M80" s="35"/>
      <c r="N80" s="35"/>
      <c r="O80" s="35"/>
      <c r="P80" s="35"/>
      <c r="Q80" s="35"/>
    </row>
    <row r="81" spans="1:17" ht="14.25" customHeight="1">
      <c r="A81" s="55">
        <v>1</v>
      </c>
      <c r="B81" s="56" t="s">
        <v>350</v>
      </c>
      <c r="C81" s="56" t="s">
        <v>139</v>
      </c>
      <c r="D81" s="57" t="s">
        <v>703</v>
      </c>
      <c r="E81" s="57" t="s">
        <v>624</v>
      </c>
      <c r="F81" s="56" t="s">
        <v>625</v>
      </c>
      <c r="G81" s="58">
        <v>0</v>
      </c>
      <c r="H81" s="59" t="s">
        <v>626</v>
      </c>
      <c r="I81" s="235" t="s">
        <v>693</v>
      </c>
      <c r="J81" s="56"/>
      <c r="K81" s="35"/>
      <c r="L81" s="35"/>
      <c r="M81" s="35"/>
      <c r="N81" s="35"/>
      <c r="O81" s="35"/>
      <c r="P81" s="35"/>
      <c r="Q81" s="35"/>
    </row>
    <row r="82" spans="1:17" ht="14.25" customHeight="1">
      <c r="A82" s="49">
        <v>41</v>
      </c>
      <c r="B82" s="50" t="s">
        <v>351</v>
      </c>
      <c r="C82" s="50" t="s">
        <v>140</v>
      </c>
      <c r="D82" s="51" t="s">
        <v>796</v>
      </c>
      <c r="E82" s="51" t="s">
        <v>663</v>
      </c>
      <c r="F82" s="50" t="s">
        <v>664</v>
      </c>
      <c r="G82" s="52">
        <v>0</v>
      </c>
      <c r="H82" s="53" t="s">
        <v>634</v>
      </c>
      <c r="I82" s="69"/>
      <c r="J82" s="50"/>
      <c r="K82" s="35"/>
      <c r="L82" s="35"/>
      <c r="M82" s="35"/>
      <c r="N82" s="35"/>
      <c r="O82" s="35"/>
      <c r="P82" s="35"/>
      <c r="Q82" s="35"/>
    </row>
    <row r="83" spans="1:17" ht="14.25" customHeight="1">
      <c r="A83" s="49">
        <v>1</v>
      </c>
      <c r="B83" s="50" t="s">
        <v>352</v>
      </c>
      <c r="C83" s="50" t="s">
        <v>142</v>
      </c>
      <c r="D83" s="51" t="s">
        <v>705</v>
      </c>
      <c r="E83" s="51" t="s">
        <v>624</v>
      </c>
      <c r="F83" s="50" t="s">
        <v>625</v>
      </c>
      <c r="G83" s="52">
        <v>0</v>
      </c>
      <c r="H83" s="53" t="s">
        <v>626</v>
      </c>
      <c r="I83" s="69" t="s">
        <v>628</v>
      </c>
      <c r="J83" s="56"/>
      <c r="K83" s="35"/>
      <c r="L83" s="35"/>
      <c r="M83" s="35"/>
      <c r="N83" s="35"/>
      <c r="O83" s="35"/>
      <c r="P83" s="35"/>
      <c r="Q83" s="35"/>
    </row>
    <row r="84" spans="1:17" ht="14.25" customHeight="1">
      <c r="A84" s="49">
        <v>80</v>
      </c>
      <c r="B84" s="50" t="s">
        <v>353</v>
      </c>
      <c r="C84" s="50" t="s">
        <v>20</v>
      </c>
      <c r="D84" s="51" t="s">
        <v>887</v>
      </c>
      <c r="E84" s="51" t="s">
        <v>686</v>
      </c>
      <c r="F84" s="50" t="s">
        <v>687</v>
      </c>
      <c r="G84" s="52">
        <v>1</v>
      </c>
      <c r="H84" s="50"/>
      <c r="I84" s="69"/>
      <c r="J84" s="50"/>
      <c r="K84" s="35"/>
      <c r="L84" s="35"/>
      <c r="M84" s="35"/>
      <c r="N84" s="35"/>
      <c r="O84" s="35"/>
      <c r="P84" s="35"/>
      <c r="Q84" s="35"/>
    </row>
    <row r="85" spans="1:17" ht="14.25" customHeight="1">
      <c r="A85" s="55">
        <v>80</v>
      </c>
      <c r="B85" s="56" t="s">
        <v>354</v>
      </c>
      <c r="C85" s="56" t="s">
        <v>143</v>
      </c>
      <c r="D85" s="57" t="s">
        <v>888</v>
      </c>
      <c r="E85" s="57" t="s">
        <v>686</v>
      </c>
      <c r="F85" s="56" t="s">
        <v>687</v>
      </c>
      <c r="G85" s="58">
        <v>0</v>
      </c>
      <c r="H85" s="59" t="s">
        <v>642</v>
      </c>
      <c r="I85" s="70" t="s">
        <v>689</v>
      </c>
      <c r="J85" s="73" t="s">
        <v>667</v>
      </c>
      <c r="K85" s="35"/>
      <c r="L85" s="35"/>
      <c r="M85" s="35"/>
      <c r="N85" s="35"/>
      <c r="O85" s="35"/>
      <c r="P85" s="35"/>
      <c r="Q85" s="35"/>
    </row>
    <row r="86" spans="1:17" ht="14.25" customHeight="1">
      <c r="A86" s="55">
        <v>20</v>
      </c>
      <c r="B86" s="56" t="s">
        <v>355</v>
      </c>
      <c r="C86" s="56" t="s">
        <v>144</v>
      </c>
      <c r="D86" s="57" t="s">
        <v>747</v>
      </c>
      <c r="E86" s="57" t="s">
        <v>650</v>
      </c>
      <c r="F86" s="56" t="s">
        <v>651</v>
      </c>
      <c r="G86" s="58">
        <v>1</v>
      </c>
      <c r="H86" s="56"/>
      <c r="I86" s="70"/>
      <c r="J86" s="74" t="s">
        <v>668</v>
      </c>
      <c r="K86" s="35"/>
      <c r="L86" s="35"/>
      <c r="M86" s="35"/>
      <c r="N86" s="35"/>
      <c r="O86" s="35"/>
      <c r="P86" s="35"/>
      <c r="Q86" s="35"/>
    </row>
    <row r="87" spans="1:17" ht="14.25" customHeight="1">
      <c r="A87" s="55">
        <v>68</v>
      </c>
      <c r="B87" s="56" t="s">
        <v>356</v>
      </c>
      <c r="C87" s="56" t="s">
        <v>145</v>
      </c>
      <c r="D87" s="57" t="s">
        <v>861</v>
      </c>
      <c r="E87" s="57" t="s">
        <v>680</v>
      </c>
      <c r="F87" s="56" t="s">
        <v>681</v>
      </c>
      <c r="G87" s="58">
        <v>1</v>
      </c>
      <c r="H87" s="56"/>
      <c r="I87" s="70"/>
      <c r="J87" s="56"/>
      <c r="K87" s="35"/>
      <c r="L87" s="35"/>
      <c r="M87" s="35"/>
      <c r="N87" s="35"/>
      <c r="O87" s="35"/>
      <c r="P87" s="35"/>
      <c r="Q87" s="35"/>
    </row>
    <row r="88" spans="1:17" ht="14.25" customHeight="1">
      <c r="A88" s="49">
        <v>9</v>
      </c>
      <c r="B88" s="50" t="s">
        <v>357</v>
      </c>
      <c r="C88" s="50" t="s">
        <v>146</v>
      </c>
      <c r="D88" s="51" t="s">
        <v>723</v>
      </c>
      <c r="E88" s="51" t="s">
        <v>624</v>
      </c>
      <c r="F88" s="50" t="s">
        <v>625</v>
      </c>
      <c r="G88" s="52">
        <v>0</v>
      </c>
      <c r="H88" s="53" t="s">
        <v>633</v>
      </c>
      <c r="I88" s="69"/>
      <c r="J88" s="50"/>
      <c r="K88" s="35"/>
      <c r="L88" s="35"/>
      <c r="M88" s="35"/>
      <c r="N88" s="35"/>
      <c r="O88" s="35"/>
      <c r="P88" s="35"/>
      <c r="Q88" s="35"/>
    </row>
    <row r="89" spans="1:17" ht="14.25" customHeight="1">
      <c r="A89" s="55">
        <v>79</v>
      </c>
      <c r="B89" s="56" t="s">
        <v>359</v>
      </c>
      <c r="C89" s="56" t="s">
        <v>147</v>
      </c>
      <c r="D89" s="57" t="s">
        <v>886</v>
      </c>
      <c r="E89" s="57" t="s">
        <v>686</v>
      </c>
      <c r="F89" s="56" t="s">
        <v>687</v>
      </c>
      <c r="G89" s="58">
        <v>0</v>
      </c>
      <c r="H89" s="56" t="s">
        <v>634</v>
      </c>
      <c r="I89" s="70"/>
      <c r="J89" s="56"/>
      <c r="K89" s="35"/>
      <c r="L89" s="35"/>
      <c r="M89" s="35"/>
      <c r="N89" s="35"/>
      <c r="O89" s="35"/>
      <c r="P89" s="35"/>
      <c r="Q89" s="35"/>
    </row>
    <row r="90" spans="1:17" ht="14.25" customHeight="1">
      <c r="A90" s="55">
        <v>85</v>
      </c>
      <c r="B90" s="56" t="s">
        <v>358</v>
      </c>
      <c r="C90" s="56" t="s">
        <v>147</v>
      </c>
      <c r="D90" s="57" t="s">
        <v>898</v>
      </c>
      <c r="E90" s="57" t="s">
        <v>686</v>
      </c>
      <c r="F90" s="56" t="s">
        <v>687</v>
      </c>
      <c r="G90" s="58">
        <v>1</v>
      </c>
      <c r="H90" s="56"/>
      <c r="I90" s="70"/>
      <c r="J90" s="50"/>
      <c r="K90" s="35"/>
      <c r="L90" s="35"/>
      <c r="M90" s="35"/>
      <c r="N90" s="35"/>
      <c r="O90" s="35"/>
      <c r="P90" s="35"/>
      <c r="Q90" s="35"/>
    </row>
    <row r="91" spans="1:17" ht="14.25" customHeight="1">
      <c r="A91" s="55">
        <v>87</v>
      </c>
      <c r="B91" s="56" t="s">
        <v>360</v>
      </c>
      <c r="C91" s="56" t="s">
        <v>149</v>
      </c>
      <c r="D91" s="57" t="s">
        <v>902</v>
      </c>
      <c r="E91" s="57" t="s">
        <v>680</v>
      </c>
      <c r="F91" s="56" t="s">
        <v>681</v>
      </c>
      <c r="G91" s="58">
        <v>0</v>
      </c>
      <c r="H91" s="59" t="s">
        <v>634</v>
      </c>
      <c r="I91" s="70"/>
      <c r="J91" s="56"/>
      <c r="K91" s="35"/>
      <c r="L91" s="35"/>
      <c r="M91" s="35"/>
      <c r="N91" s="35"/>
      <c r="O91" s="35"/>
      <c r="P91" s="35"/>
      <c r="Q91" s="35"/>
    </row>
    <row r="92" spans="1:17" ht="14.25" customHeight="1">
      <c r="A92" s="49">
        <v>81</v>
      </c>
      <c r="B92" s="50" t="s">
        <v>361</v>
      </c>
      <c r="C92" s="50" t="s">
        <v>150</v>
      </c>
      <c r="D92" s="51" t="s">
        <v>906</v>
      </c>
      <c r="E92" s="51" t="s">
        <v>686</v>
      </c>
      <c r="F92" s="50" t="s">
        <v>687</v>
      </c>
      <c r="G92" s="52">
        <v>0</v>
      </c>
      <c r="H92" s="50" t="s">
        <v>634</v>
      </c>
      <c r="I92" s="69"/>
      <c r="J92" s="50"/>
      <c r="K92" s="35"/>
      <c r="L92" s="35"/>
      <c r="M92" s="35"/>
      <c r="N92" s="35"/>
      <c r="O92" s="35"/>
      <c r="P92" s="35"/>
      <c r="Q92" s="35"/>
    </row>
    <row r="93" spans="1:17" ht="14.25" customHeight="1">
      <c r="A93" s="49">
        <v>30</v>
      </c>
      <c r="B93" s="50" t="s">
        <v>362</v>
      </c>
      <c r="C93" s="50" t="s">
        <v>151</v>
      </c>
      <c r="D93" s="51" t="s">
        <v>774</v>
      </c>
      <c r="E93" s="51" t="s">
        <v>659</v>
      </c>
      <c r="F93" s="50" t="s">
        <v>660</v>
      </c>
      <c r="G93" s="52">
        <v>0</v>
      </c>
      <c r="H93" s="53" t="s">
        <v>634</v>
      </c>
      <c r="I93" s="69"/>
      <c r="J93" s="56"/>
      <c r="K93" s="35"/>
      <c r="L93" s="35"/>
      <c r="M93" s="35"/>
      <c r="N93" s="35"/>
      <c r="O93" s="35"/>
      <c r="P93" s="35"/>
      <c r="Q93" s="35"/>
    </row>
    <row r="94" spans="1:17" ht="14.25" customHeight="1">
      <c r="A94" s="49">
        <v>54</v>
      </c>
      <c r="B94" s="50"/>
      <c r="C94" s="50" t="s">
        <v>152</v>
      </c>
      <c r="D94" s="51" t="s">
        <v>829</v>
      </c>
      <c r="E94" s="51" t="s">
        <v>669</v>
      </c>
      <c r="F94" s="50" t="s">
        <v>670</v>
      </c>
      <c r="G94" s="52">
        <v>0</v>
      </c>
      <c r="H94" s="53" t="s">
        <v>634</v>
      </c>
      <c r="I94" s="69"/>
      <c r="J94" s="50"/>
      <c r="K94" s="35"/>
      <c r="L94" s="35"/>
      <c r="M94" s="35"/>
      <c r="N94" s="35"/>
      <c r="O94" s="35"/>
      <c r="P94" s="35"/>
      <c r="Q94" s="35"/>
    </row>
    <row r="95" spans="1:17" ht="14.25" customHeight="1">
      <c r="A95" s="49">
        <v>71</v>
      </c>
      <c r="B95" s="50" t="s">
        <v>364</v>
      </c>
      <c r="C95" s="50" t="s">
        <v>154</v>
      </c>
      <c r="D95" s="51" t="s">
        <v>870</v>
      </c>
      <c r="E95" s="51" t="s">
        <v>680</v>
      </c>
      <c r="F95" s="50" t="s">
        <v>681</v>
      </c>
      <c r="G95" s="52">
        <v>0</v>
      </c>
      <c r="H95" s="53" t="s">
        <v>634</v>
      </c>
      <c r="I95" s="69"/>
      <c r="J95" s="56"/>
      <c r="K95" s="35"/>
      <c r="L95" s="35"/>
      <c r="M95" s="35"/>
      <c r="N95" s="35"/>
      <c r="O95" s="35"/>
      <c r="P95" s="35"/>
      <c r="Q95" s="35"/>
    </row>
    <row r="96" spans="1:17" ht="14.25" customHeight="1">
      <c r="A96" s="55">
        <v>45</v>
      </c>
      <c r="B96" s="56"/>
      <c r="C96" s="56" t="s">
        <v>155</v>
      </c>
      <c r="D96" s="57" t="s">
        <v>804</v>
      </c>
      <c r="E96" s="57" t="s">
        <v>669</v>
      </c>
      <c r="F96" s="56" t="s">
        <v>670</v>
      </c>
      <c r="G96" s="58">
        <v>0</v>
      </c>
      <c r="H96" s="59" t="s">
        <v>634</v>
      </c>
      <c r="I96" s="70"/>
      <c r="J96" s="50"/>
      <c r="K96" s="35"/>
      <c r="L96" s="35"/>
      <c r="M96" s="35"/>
      <c r="N96" s="35"/>
      <c r="O96" s="35"/>
      <c r="P96" s="35"/>
      <c r="Q96" s="35"/>
    </row>
    <row r="97" spans="1:17" ht="14.25" customHeight="1">
      <c r="A97" s="49">
        <v>43</v>
      </c>
      <c r="B97" s="50"/>
      <c r="C97" s="50" t="s">
        <v>157</v>
      </c>
      <c r="D97" s="51" t="s">
        <v>801</v>
      </c>
      <c r="E97" s="51" t="s">
        <v>663</v>
      </c>
      <c r="F97" s="50" t="s">
        <v>664</v>
      </c>
      <c r="G97" s="52">
        <v>1</v>
      </c>
      <c r="H97" s="53"/>
      <c r="I97" s="236"/>
      <c r="J97" s="56"/>
      <c r="K97" s="35"/>
      <c r="L97" s="35"/>
      <c r="M97" s="35"/>
      <c r="N97" s="35"/>
      <c r="O97" s="35"/>
      <c r="P97" s="35"/>
      <c r="Q97" s="35"/>
    </row>
    <row r="98" spans="1:17" ht="14.25" customHeight="1">
      <c r="A98" s="55">
        <v>2</v>
      </c>
      <c r="B98" s="56" t="s">
        <v>367</v>
      </c>
      <c r="C98" s="56" t="s">
        <v>159</v>
      </c>
      <c r="D98" s="57" t="s">
        <v>707</v>
      </c>
      <c r="E98" s="57" t="s">
        <v>624</v>
      </c>
      <c r="F98" s="56" t="s">
        <v>625</v>
      </c>
      <c r="G98" s="58">
        <v>0</v>
      </c>
      <c r="H98" s="59" t="s">
        <v>626</v>
      </c>
      <c r="I98" s="235" t="s">
        <v>695</v>
      </c>
      <c r="J98" s="50"/>
      <c r="K98" s="35"/>
      <c r="L98" s="35"/>
      <c r="M98" s="35"/>
      <c r="N98" s="35"/>
      <c r="O98" s="35"/>
      <c r="P98" s="35"/>
      <c r="Q98" s="35"/>
    </row>
    <row r="99" spans="1:17" ht="14.25" customHeight="1">
      <c r="A99" s="55">
        <v>7</v>
      </c>
      <c r="B99" s="56" t="s">
        <v>368</v>
      </c>
      <c r="C99" s="56" t="s">
        <v>161</v>
      </c>
      <c r="D99" s="57" t="s">
        <v>717</v>
      </c>
      <c r="E99" s="57" t="s">
        <v>624</v>
      </c>
      <c r="F99" s="56" t="s">
        <v>625</v>
      </c>
      <c r="G99" s="58">
        <v>1</v>
      </c>
      <c r="H99" s="56"/>
      <c r="I99" s="70"/>
      <c r="J99" s="56"/>
      <c r="K99" s="35"/>
      <c r="L99" s="35"/>
      <c r="M99" s="35"/>
      <c r="N99" s="35"/>
      <c r="O99" s="35"/>
      <c r="P99" s="35"/>
      <c r="Q99" s="35"/>
    </row>
    <row r="100" spans="1:17" ht="14.25" customHeight="1">
      <c r="A100" s="55">
        <v>23</v>
      </c>
      <c r="B100" s="56" t="s">
        <v>369</v>
      </c>
      <c r="C100" s="56" t="s">
        <v>163</v>
      </c>
      <c r="D100" s="57" t="s">
        <v>754</v>
      </c>
      <c r="E100" s="57" t="s">
        <v>659</v>
      </c>
      <c r="F100" s="56" t="s">
        <v>660</v>
      </c>
      <c r="G100" s="58">
        <v>0</v>
      </c>
      <c r="H100" s="59" t="s">
        <v>642</v>
      </c>
      <c r="I100" s="70" t="s">
        <v>661</v>
      </c>
      <c r="J100" s="50"/>
      <c r="K100" s="35"/>
      <c r="L100" s="35"/>
      <c r="M100" s="35"/>
      <c r="N100" s="35"/>
      <c r="O100" s="35"/>
      <c r="P100" s="35"/>
      <c r="Q100" s="35"/>
    </row>
    <row r="101" spans="1:17" ht="14.25" customHeight="1">
      <c r="A101" s="49">
        <v>4</v>
      </c>
      <c r="B101" s="50" t="s">
        <v>370</v>
      </c>
      <c r="C101" s="50" t="s">
        <v>164</v>
      </c>
      <c r="D101" s="51" t="s">
        <v>711</v>
      </c>
      <c r="E101" s="51" t="s">
        <v>624</v>
      </c>
      <c r="F101" s="50" t="s">
        <v>625</v>
      </c>
      <c r="G101" s="52">
        <v>0</v>
      </c>
      <c r="H101" s="50" t="s">
        <v>634</v>
      </c>
      <c r="I101" s="69"/>
      <c r="J101" s="56"/>
      <c r="K101" s="35"/>
      <c r="L101" s="35"/>
      <c r="M101" s="35"/>
      <c r="N101" s="35"/>
      <c r="O101" s="35"/>
      <c r="P101" s="35"/>
      <c r="Q101" s="35"/>
    </row>
    <row r="102" spans="1:17" ht="14.25" customHeight="1">
      <c r="A102" s="55">
        <v>27</v>
      </c>
      <c r="B102" s="56" t="s">
        <v>371</v>
      </c>
      <c r="C102" s="56" t="s">
        <v>166</v>
      </c>
      <c r="D102" s="57" t="s">
        <v>765</v>
      </c>
      <c r="E102" s="57" t="s">
        <v>659</v>
      </c>
      <c r="F102" s="56" t="s">
        <v>660</v>
      </c>
      <c r="G102" s="58">
        <v>0</v>
      </c>
      <c r="H102" s="59" t="s">
        <v>634</v>
      </c>
      <c r="I102" s="70"/>
      <c r="J102" s="50"/>
      <c r="K102" s="35"/>
      <c r="L102" s="35"/>
      <c r="M102" s="35"/>
      <c r="N102" s="35"/>
      <c r="O102" s="35"/>
      <c r="P102" s="35"/>
      <c r="Q102" s="35"/>
    </row>
    <row r="103" spans="1:17" ht="14.25" customHeight="1">
      <c r="A103" s="55">
        <v>69</v>
      </c>
      <c r="B103" s="56" t="s">
        <v>372</v>
      </c>
      <c r="C103" s="56" t="s">
        <v>168</v>
      </c>
      <c r="D103" s="57" t="s">
        <v>863</v>
      </c>
      <c r="E103" s="57" t="s">
        <v>680</v>
      </c>
      <c r="F103" s="56" t="s">
        <v>681</v>
      </c>
      <c r="G103" s="58">
        <v>1</v>
      </c>
      <c r="H103" s="56"/>
      <c r="I103" s="70"/>
      <c r="J103" s="56"/>
      <c r="K103" s="35"/>
      <c r="L103" s="35"/>
      <c r="M103" s="35"/>
      <c r="N103" s="35"/>
      <c r="O103" s="35"/>
      <c r="P103" s="35"/>
      <c r="Q103" s="35"/>
    </row>
    <row r="104" spans="1:17" ht="14.25" customHeight="1">
      <c r="A104" s="49">
        <v>19</v>
      </c>
      <c r="B104" s="50" t="s">
        <v>373</v>
      </c>
      <c r="C104" s="50" t="s">
        <v>169</v>
      </c>
      <c r="D104" s="51" t="s">
        <v>746</v>
      </c>
      <c r="E104" s="51" t="s">
        <v>650</v>
      </c>
      <c r="F104" s="50" t="s">
        <v>651</v>
      </c>
      <c r="G104" s="52">
        <v>1</v>
      </c>
      <c r="H104" s="50"/>
      <c r="I104" s="69"/>
      <c r="J104" s="50"/>
      <c r="K104" s="35"/>
      <c r="L104" s="35"/>
      <c r="M104" s="35"/>
      <c r="N104" s="35"/>
      <c r="O104" s="35"/>
      <c r="P104" s="35"/>
      <c r="Q104" s="35"/>
    </row>
    <row r="105" spans="1:17" ht="14.25" customHeight="1">
      <c r="A105" s="49">
        <v>44</v>
      </c>
      <c r="B105" s="50"/>
      <c r="C105" s="50" t="s">
        <v>170</v>
      </c>
      <c r="D105" s="51" t="s">
        <v>803</v>
      </c>
      <c r="E105" s="51" t="s">
        <v>663</v>
      </c>
      <c r="F105" s="56" t="s">
        <v>664</v>
      </c>
      <c r="G105" s="52">
        <v>0</v>
      </c>
      <c r="H105" s="53" t="s">
        <v>634</v>
      </c>
      <c r="I105" s="69"/>
      <c r="J105" s="56"/>
      <c r="K105" s="35"/>
      <c r="L105" s="35"/>
      <c r="M105" s="35"/>
      <c r="N105" s="35"/>
      <c r="O105" s="35"/>
      <c r="P105" s="35"/>
      <c r="Q105" s="35"/>
    </row>
    <row r="106" spans="1:17" ht="14.25" customHeight="1">
      <c r="A106" s="49">
        <v>7</v>
      </c>
      <c r="B106" s="50" t="s">
        <v>375</v>
      </c>
      <c r="C106" s="50" t="s">
        <v>171</v>
      </c>
      <c r="D106" s="51" t="s">
        <v>718</v>
      </c>
      <c r="E106" s="51" t="s">
        <v>624</v>
      </c>
      <c r="F106" s="50" t="s">
        <v>625</v>
      </c>
      <c r="G106" s="52">
        <v>1</v>
      </c>
      <c r="H106" s="50"/>
      <c r="I106" s="69"/>
      <c r="J106" s="50"/>
      <c r="K106" s="35"/>
      <c r="L106" s="35"/>
      <c r="M106" s="35"/>
      <c r="N106" s="35"/>
      <c r="O106" s="35"/>
      <c r="P106" s="35"/>
      <c r="Q106" s="35"/>
    </row>
    <row r="107" spans="1:17" ht="14.25" customHeight="1">
      <c r="A107" s="55">
        <v>46</v>
      </c>
      <c r="B107" s="56"/>
      <c r="C107" s="56" t="s">
        <v>173</v>
      </c>
      <c r="D107" s="57" t="s">
        <v>807</v>
      </c>
      <c r="E107" s="57" t="s">
        <v>669</v>
      </c>
      <c r="F107" s="56" t="s">
        <v>670</v>
      </c>
      <c r="G107" s="58">
        <v>1</v>
      </c>
      <c r="H107" s="59"/>
      <c r="I107" s="70"/>
      <c r="J107" s="56"/>
      <c r="K107" s="35"/>
      <c r="L107" s="35"/>
      <c r="M107" s="35"/>
      <c r="N107" s="35"/>
      <c r="O107" s="35"/>
      <c r="P107" s="35"/>
      <c r="Q107" s="35"/>
    </row>
    <row r="108" spans="1:17" ht="14.25" customHeight="1">
      <c r="A108" s="55">
        <v>73</v>
      </c>
      <c r="B108" s="56" t="s">
        <v>377</v>
      </c>
      <c r="C108" s="56" t="s">
        <v>175</v>
      </c>
      <c r="D108" s="57" t="s">
        <v>873</v>
      </c>
      <c r="E108" s="57" t="s">
        <v>680</v>
      </c>
      <c r="F108" s="56" t="s">
        <v>681</v>
      </c>
      <c r="G108" s="58">
        <v>0</v>
      </c>
      <c r="H108" s="59" t="s">
        <v>634</v>
      </c>
      <c r="I108" s="70"/>
      <c r="J108" s="50"/>
      <c r="K108" s="35"/>
      <c r="L108" s="35"/>
      <c r="M108" s="35"/>
      <c r="N108" s="35"/>
      <c r="O108" s="35"/>
      <c r="P108" s="35"/>
      <c r="Q108" s="35"/>
    </row>
    <row r="109" spans="1:17" ht="14.25" customHeight="1">
      <c r="A109" s="55">
        <v>59</v>
      </c>
      <c r="B109" s="56" t="s">
        <v>378</v>
      </c>
      <c r="C109" s="56" t="s">
        <v>177</v>
      </c>
      <c r="D109" s="57" t="s">
        <v>840</v>
      </c>
      <c r="E109" s="57" t="s">
        <v>673</v>
      </c>
      <c r="F109" s="56" t="s">
        <v>674</v>
      </c>
      <c r="G109" s="58">
        <v>0</v>
      </c>
      <c r="H109" s="59" t="s">
        <v>626</v>
      </c>
      <c r="I109" s="70" t="s">
        <v>697</v>
      </c>
      <c r="J109" s="56"/>
      <c r="K109" s="35"/>
      <c r="L109" s="35"/>
      <c r="M109" s="35"/>
      <c r="N109" s="35"/>
      <c r="O109" s="35"/>
      <c r="P109" s="35"/>
      <c r="Q109" s="35"/>
    </row>
    <row r="110" spans="1:17" ht="14.25" customHeight="1">
      <c r="A110" s="55">
        <v>42</v>
      </c>
      <c r="B110" s="56" t="s">
        <v>379</v>
      </c>
      <c r="C110" s="56" t="s">
        <v>179</v>
      </c>
      <c r="D110" s="57" t="s">
        <v>797</v>
      </c>
      <c r="E110" s="57" t="s">
        <v>663</v>
      </c>
      <c r="F110" s="56" t="s">
        <v>664</v>
      </c>
      <c r="G110" s="58">
        <v>0</v>
      </c>
      <c r="H110" s="59" t="s">
        <v>634</v>
      </c>
      <c r="I110" s="70"/>
      <c r="J110" s="50"/>
      <c r="K110" s="35"/>
      <c r="L110" s="35"/>
      <c r="M110" s="35"/>
      <c r="N110" s="35"/>
      <c r="O110" s="35"/>
      <c r="P110" s="35"/>
      <c r="Q110" s="35"/>
    </row>
    <row r="111" spans="1:17" ht="14.25" customHeight="1">
      <c r="A111" s="55">
        <v>61</v>
      </c>
      <c r="B111" s="56" t="s">
        <v>380</v>
      </c>
      <c r="C111" s="56" t="s">
        <v>180</v>
      </c>
      <c r="D111" s="57" t="s">
        <v>846</v>
      </c>
      <c r="E111" s="57" t="s">
        <v>673</v>
      </c>
      <c r="F111" s="56" t="s">
        <v>674</v>
      </c>
      <c r="G111" s="58">
        <v>0</v>
      </c>
      <c r="H111" s="59" t="s">
        <v>634</v>
      </c>
      <c r="I111" s="70" t="s">
        <v>676</v>
      </c>
      <c r="J111" s="56"/>
      <c r="K111" s="35"/>
      <c r="L111" s="35"/>
      <c r="M111" s="35"/>
      <c r="N111" s="35"/>
      <c r="O111" s="35"/>
      <c r="P111" s="35"/>
      <c r="Q111" s="35"/>
    </row>
    <row r="112" spans="1:17" ht="14.25" customHeight="1">
      <c r="A112" s="55">
        <v>26</v>
      </c>
      <c r="B112" s="56" t="s">
        <v>381</v>
      </c>
      <c r="C112" s="56" t="s">
        <v>181</v>
      </c>
      <c r="D112" s="57" t="s">
        <v>761</v>
      </c>
      <c r="E112" s="57" t="s">
        <v>659</v>
      </c>
      <c r="F112" s="56" t="s">
        <v>660</v>
      </c>
      <c r="G112" s="58">
        <v>1</v>
      </c>
      <c r="H112" s="59"/>
      <c r="I112" s="70"/>
      <c r="J112" s="50"/>
      <c r="K112" s="35"/>
      <c r="L112" s="35"/>
      <c r="M112" s="35"/>
      <c r="N112" s="35"/>
      <c r="O112" s="35"/>
      <c r="P112" s="35"/>
      <c r="Q112" s="35"/>
    </row>
    <row r="113" spans="1:17" ht="14.25" customHeight="1">
      <c r="A113" s="49">
        <v>27</v>
      </c>
      <c r="B113" s="50" t="s">
        <v>382</v>
      </c>
      <c r="C113" s="50" t="s">
        <v>183</v>
      </c>
      <c r="D113" s="51" t="s">
        <v>766</v>
      </c>
      <c r="E113" s="51" t="s">
        <v>659</v>
      </c>
      <c r="F113" s="50" t="s">
        <v>660</v>
      </c>
      <c r="G113" s="52">
        <v>0</v>
      </c>
      <c r="H113" s="53" t="s">
        <v>634</v>
      </c>
      <c r="I113" s="69"/>
      <c r="J113" s="56"/>
      <c r="K113" s="35"/>
      <c r="L113" s="35"/>
      <c r="M113" s="35"/>
      <c r="N113" s="35"/>
      <c r="O113" s="35"/>
      <c r="P113" s="35"/>
      <c r="Q113" s="35"/>
    </row>
    <row r="114" spans="1:17" ht="14.25" customHeight="1">
      <c r="A114" s="49">
        <v>45</v>
      </c>
      <c r="B114" s="50"/>
      <c r="C114" s="50" t="s">
        <v>184</v>
      </c>
      <c r="D114" s="51" t="s">
        <v>806</v>
      </c>
      <c r="E114" s="51" t="s">
        <v>669</v>
      </c>
      <c r="F114" s="50" t="s">
        <v>670</v>
      </c>
      <c r="G114" s="52">
        <v>0</v>
      </c>
      <c r="H114" s="53" t="s">
        <v>634</v>
      </c>
      <c r="I114" s="69"/>
      <c r="J114" s="50"/>
      <c r="K114" s="35"/>
      <c r="L114" s="35"/>
      <c r="M114" s="35"/>
      <c r="N114" s="35"/>
      <c r="O114" s="35"/>
      <c r="P114" s="35"/>
      <c r="Q114" s="35"/>
    </row>
    <row r="115" spans="1:17" ht="14.25" customHeight="1">
      <c r="A115" s="55">
        <v>49</v>
      </c>
      <c r="B115" s="56"/>
      <c r="C115" s="56" t="s">
        <v>186</v>
      </c>
      <c r="D115" s="57" t="s">
        <v>813</v>
      </c>
      <c r="E115" s="57" t="s">
        <v>669</v>
      </c>
      <c r="F115" s="56" t="s">
        <v>670</v>
      </c>
      <c r="G115" s="58">
        <v>0</v>
      </c>
      <c r="H115" s="59" t="s">
        <v>626</v>
      </c>
      <c r="I115" s="70" t="s">
        <v>672</v>
      </c>
      <c r="J115" s="56"/>
      <c r="K115" s="35"/>
      <c r="L115" s="35"/>
      <c r="M115" s="35"/>
      <c r="N115" s="35"/>
      <c r="O115" s="35"/>
      <c r="P115" s="35"/>
      <c r="Q115" s="35"/>
    </row>
    <row r="116" spans="1:17" ht="14.25" customHeight="1">
      <c r="A116" s="55">
        <v>52</v>
      </c>
      <c r="B116" s="56"/>
      <c r="C116" s="56" t="s">
        <v>187</v>
      </c>
      <c r="D116" s="57" t="s">
        <v>821</v>
      </c>
      <c r="E116" s="57" t="s">
        <v>669</v>
      </c>
      <c r="F116" s="56" t="s">
        <v>670</v>
      </c>
      <c r="G116" s="58">
        <v>0</v>
      </c>
      <c r="H116" s="59" t="s">
        <v>634</v>
      </c>
      <c r="I116" s="70"/>
      <c r="J116" s="50"/>
      <c r="K116" s="35"/>
      <c r="L116" s="35"/>
      <c r="M116" s="35"/>
      <c r="N116" s="35"/>
      <c r="O116" s="35"/>
      <c r="P116" s="35"/>
      <c r="Q116" s="35"/>
    </row>
    <row r="117" spans="1:17" ht="14.25" customHeight="1">
      <c r="A117" s="49">
        <v>38</v>
      </c>
      <c r="B117" s="50" t="s">
        <v>386</v>
      </c>
      <c r="C117" s="50" t="s">
        <v>188</v>
      </c>
      <c r="D117" s="51" t="s">
        <v>790</v>
      </c>
      <c r="E117" s="51" t="s">
        <v>663</v>
      </c>
      <c r="F117" s="50" t="s">
        <v>664</v>
      </c>
      <c r="G117" s="52">
        <v>1</v>
      </c>
      <c r="H117" s="50"/>
      <c r="I117" s="69"/>
      <c r="J117" s="56"/>
      <c r="K117" s="35"/>
      <c r="L117" s="35"/>
      <c r="M117" s="35"/>
      <c r="N117" s="35"/>
      <c r="O117" s="35"/>
      <c r="P117" s="35"/>
      <c r="Q117" s="35"/>
    </row>
    <row r="118" spans="1:17" ht="14.25" customHeight="1">
      <c r="A118" s="55">
        <v>63</v>
      </c>
      <c r="B118" s="56" t="s">
        <v>387</v>
      </c>
      <c r="C118" s="56" t="s">
        <v>190</v>
      </c>
      <c r="D118" s="57" t="s">
        <v>851</v>
      </c>
      <c r="E118" s="57" t="s">
        <v>673</v>
      </c>
      <c r="F118" s="56" t="s">
        <v>674</v>
      </c>
      <c r="G118" s="58">
        <v>1</v>
      </c>
      <c r="H118" s="56"/>
      <c r="I118" s="70"/>
      <c r="J118" s="50"/>
      <c r="K118" s="35"/>
      <c r="L118" s="35"/>
      <c r="M118" s="35"/>
      <c r="N118" s="35"/>
      <c r="O118" s="35"/>
      <c r="P118" s="35"/>
      <c r="Q118" s="35"/>
    </row>
    <row r="119" spans="1:17" ht="14.25" customHeight="1">
      <c r="A119" s="49">
        <v>88</v>
      </c>
      <c r="B119" s="50" t="s">
        <v>388</v>
      </c>
      <c r="C119" s="50" t="s">
        <v>269</v>
      </c>
      <c r="D119" s="51" t="s">
        <v>903</v>
      </c>
      <c r="E119" s="51" t="s">
        <v>673</v>
      </c>
      <c r="F119" s="50" t="s">
        <v>674</v>
      </c>
      <c r="G119" s="52">
        <v>0</v>
      </c>
      <c r="H119" s="53" t="s">
        <v>634</v>
      </c>
      <c r="I119" s="69"/>
      <c r="J119" s="56"/>
      <c r="K119" s="35"/>
      <c r="L119" s="35"/>
      <c r="M119" s="35"/>
      <c r="N119" s="35"/>
      <c r="O119" s="35"/>
      <c r="P119" s="35"/>
      <c r="Q119" s="35"/>
    </row>
    <row r="120" spans="1:17" ht="14.25" customHeight="1">
      <c r="A120" s="55">
        <v>67</v>
      </c>
      <c r="B120" s="56" t="s">
        <v>389</v>
      </c>
      <c r="C120" s="56" t="s">
        <v>21</v>
      </c>
      <c r="D120" s="57" t="s">
        <v>859</v>
      </c>
      <c r="E120" s="57" t="s">
        <v>680</v>
      </c>
      <c r="F120" s="56" t="s">
        <v>681</v>
      </c>
      <c r="G120" s="58">
        <v>0</v>
      </c>
      <c r="H120" s="59" t="s">
        <v>626</v>
      </c>
      <c r="I120" s="59" t="s">
        <v>683</v>
      </c>
      <c r="J120" s="53"/>
      <c r="K120" s="35"/>
      <c r="L120" s="35"/>
      <c r="M120" s="35"/>
      <c r="N120" s="35"/>
      <c r="O120" s="35"/>
      <c r="P120" s="35"/>
      <c r="Q120" s="35"/>
    </row>
    <row r="121" spans="1:17" ht="14.25" customHeight="1">
      <c r="A121" s="55">
        <v>81</v>
      </c>
      <c r="B121" s="56" t="s">
        <v>390</v>
      </c>
      <c r="C121" s="56" t="s">
        <v>192</v>
      </c>
      <c r="D121" s="57" t="s">
        <v>906</v>
      </c>
      <c r="E121" s="57" t="s">
        <v>686</v>
      </c>
      <c r="F121" s="56" t="s">
        <v>687</v>
      </c>
      <c r="G121" s="58">
        <v>0</v>
      </c>
      <c r="H121" s="56" t="s">
        <v>634</v>
      </c>
      <c r="I121" s="70"/>
      <c r="J121" s="56"/>
      <c r="K121" s="35"/>
      <c r="L121" s="35"/>
      <c r="M121" s="35"/>
      <c r="N121" s="35"/>
      <c r="O121" s="35"/>
      <c r="P121" s="35"/>
      <c r="Q121" s="35"/>
    </row>
    <row r="122" spans="1:17" ht="14.25" customHeight="1">
      <c r="A122" s="49">
        <v>82</v>
      </c>
      <c r="B122" s="50" t="s">
        <v>391</v>
      </c>
      <c r="C122" s="50" t="s">
        <v>193</v>
      </c>
      <c r="D122" s="51" t="s">
        <v>889</v>
      </c>
      <c r="E122" s="51" t="s">
        <v>686</v>
      </c>
      <c r="F122" s="50" t="s">
        <v>687</v>
      </c>
      <c r="G122" s="52">
        <v>0</v>
      </c>
      <c r="H122" s="53" t="s">
        <v>633</v>
      </c>
      <c r="I122" s="69" t="s">
        <v>699</v>
      </c>
      <c r="J122" s="50"/>
      <c r="K122" s="35"/>
      <c r="L122" s="35"/>
      <c r="M122" s="35"/>
      <c r="N122" s="35"/>
      <c r="O122" s="35"/>
      <c r="P122" s="35"/>
      <c r="Q122" s="35"/>
    </row>
    <row r="123" spans="1:17" ht="14.25" customHeight="1">
      <c r="A123" s="49">
        <v>52</v>
      </c>
      <c r="B123" s="50"/>
      <c r="C123" s="50" t="s">
        <v>22</v>
      </c>
      <c r="D123" s="51" t="s">
        <v>823</v>
      </c>
      <c r="E123" s="51" t="s">
        <v>669</v>
      </c>
      <c r="F123" s="50" t="s">
        <v>670</v>
      </c>
      <c r="G123" s="52">
        <v>0</v>
      </c>
      <c r="H123" s="53" t="s">
        <v>634</v>
      </c>
      <c r="I123" s="69"/>
      <c r="J123" s="56"/>
      <c r="K123" s="35"/>
      <c r="L123" s="35"/>
      <c r="M123" s="35"/>
      <c r="N123" s="35"/>
      <c r="O123" s="35"/>
      <c r="P123" s="35"/>
      <c r="Q123" s="35"/>
    </row>
    <row r="124" spans="1:17" ht="14.25" customHeight="1">
      <c r="A124" s="49">
        <v>47</v>
      </c>
      <c r="B124" s="50"/>
      <c r="C124" s="50" t="s">
        <v>194</v>
      </c>
      <c r="D124" s="51" t="s">
        <v>195</v>
      </c>
      <c r="E124" s="51" t="s">
        <v>669</v>
      </c>
      <c r="F124" s="50" t="s">
        <v>670</v>
      </c>
      <c r="G124" s="52">
        <v>0</v>
      </c>
      <c r="H124" s="53" t="s">
        <v>634</v>
      </c>
      <c r="I124" s="69"/>
      <c r="J124" s="50"/>
      <c r="K124" s="35"/>
      <c r="L124" s="35"/>
      <c r="M124" s="35"/>
      <c r="N124" s="35"/>
      <c r="O124" s="35"/>
      <c r="P124" s="35"/>
      <c r="Q124" s="35"/>
    </row>
    <row r="125" spans="1:17" ht="14.25" customHeight="1">
      <c r="A125" s="49">
        <v>63</v>
      </c>
      <c r="B125" s="50" t="s">
        <v>394</v>
      </c>
      <c r="C125" s="50" t="s">
        <v>197</v>
      </c>
      <c r="D125" s="51" t="s">
        <v>852</v>
      </c>
      <c r="E125" s="51" t="s">
        <v>673</v>
      </c>
      <c r="F125" s="50" t="s">
        <v>674</v>
      </c>
      <c r="G125" s="52">
        <v>1</v>
      </c>
      <c r="H125" s="50"/>
      <c r="I125" s="69"/>
      <c r="J125" s="56"/>
      <c r="K125" s="35"/>
      <c r="L125" s="35"/>
      <c r="M125" s="35"/>
      <c r="N125" s="35"/>
      <c r="O125" s="35"/>
      <c r="P125" s="35"/>
      <c r="Q125" s="35"/>
    </row>
    <row r="126" spans="1:17" ht="14.25" customHeight="1">
      <c r="A126" s="49">
        <v>51</v>
      </c>
      <c r="B126" s="50"/>
      <c r="C126" s="50" t="s">
        <v>198</v>
      </c>
      <c r="D126" s="51" t="s">
        <v>820</v>
      </c>
      <c r="E126" s="51" t="s">
        <v>669</v>
      </c>
      <c r="F126" s="50" t="s">
        <v>670</v>
      </c>
      <c r="G126" s="52">
        <v>0</v>
      </c>
      <c r="H126" s="53" t="s">
        <v>626</v>
      </c>
      <c r="I126" s="69" t="s">
        <v>696</v>
      </c>
      <c r="J126" s="50"/>
      <c r="K126" s="35"/>
      <c r="L126" s="35"/>
      <c r="M126" s="35"/>
      <c r="N126" s="35"/>
      <c r="O126" s="35"/>
      <c r="P126" s="35"/>
      <c r="Q126" s="35"/>
    </row>
    <row r="127" spans="1:17" ht="14.25" customHeight="1">
      <c r="A127" s="49">
        <v>40</v>
      </c>
      <c r="B127" s="50" t="s">
        <v>396</v>
      </c>
      <c r="C127" s="50" t="s">
        <v>200</v>
      </c>
      <c r="D127" s="51" t="s">
        <v>794</v>
      </c>
      <c r="E127" s="51" t="s">
        <v>663</v>
      </c>
      <c r="F127" s="50" t="s">
        <v>664</v>
      </c>
      <c r="G127" s="52">
        <v>0</v>
      </c>
      <c r="H127" s="53"/>
      <c r="I127" s="69" t="s">
        <v>702</v>
      </c>
      <c r="J127" s="56"/>
      <c r="K127" s="35"/>
      <c r="L127" s="35"/>
      <c r="M127" s="35"/>
      <c r="N127" s="35"/>
      <c r="O127" s="35"/>
      <c r="P127" s="35"/>
      <c r="Q127" s="35"/>
    </row>
    <row r="128" spans="1:17" ht="14.25" customHeight="1">
      <c r="A128" s="49">
        <v>37</v>
      </c>
      <c r="B128" s="50" t="s">
        <v>397</v>
      </c>
      <c r="C128" s="50" t="s">
        <v>202</v>
      </c>
      <c r="D128" s="51" t="s">
        <v>788</v>
      </c>
      <c r="E128" s="51" t="s">
        <v>663</v>
      </c>
      <c r="F128" s="50" t="s">
        <v>664</v>
      </c>
      <c r="G128" s="52">
        <v>1</v>
      </c>
      <c r="H128" s="53"/>
      <c r="I128" s="69"/>
      <c r="J128" s="50"/>
      <c r="K128" s="35"/>
      <c r="L128" s="35"/>
      <c r="M128" s="35"/>
      <c r="N128" s="35"/>
      <c r="O128" s="35"/>
      <c r="P128" s="35"/>
      <c r="Q128" s="35"/>
    </row>
    <row r="129" spans="1:17" ht="14.25" customHeight="1">
      <c r="A129" s="55">
        <v>55</v>
      </c>
      <c r="B129" s="56"/>
      <c r="C129" s="56" t="s">
        <v>204</v>
      </c>
      <c r="D129" s="57" t="s">
        <v>830</v>
      </c>
      <c r="E129" s="57" t="s">
        <v>669</v>
      </c>
      <c r="F129" s="56" t="s">
        <v>670</v>
      </c>
      <c r="G129" s="58">
        <v>0</v>
      </c>
      <c r="H129" s="59" t="s">
        <v>634</v>
      </c>
      <c r="I129" s="70"/>
      <c r="J129" s="56"/>
      <c r="K129" s="35"/>
      <c r="L129" s="35"/>
      <c r="M129" s="35"/>
      <c r="N129" s="35"/>
      <c r="O129" s="35"/>
      <c r="P129" s="35"/>
      <c r="Q129" s="35"/>
    </row>
    <row r="130" spans="1:17" ht="14.25" customHeight="1">
      <c r="A130" s="49">
        <v>25</v>
      </c>
      <c r="B130" s="50" t="s">
        <v>399</v>
      </c>
      <c r="C130" s="50" t="s">
        <v>206</v>
      </c>
      <c r="D130" s="51" t="s">
        <v>760</v>
      </c>
      <c r="E130" s="51" t="s">
        <v>659</v>
      </c>
      <c r="F130" s="50" t="s">
        <v>660</v>
      </c>
      <c r="G130" s="52">
        <v>1</v>
      </c>
      <c r="H130" s="50"/>
      <c r="I130" s="69"/>
      <c r="J130" s="50"/>
      <c r="K130" s="35"/>
      <c r="L130" s="35"/>
      <c r="M130" s="35"/>
      <c r="N130" s="35"/>
      <c r="O130" s="35"/>
      <c r="P130" s="35"/>
      <c r="Q130" s="35"/>
    </row>
    <row r="131" spans="1:17" ht="14.25" customHeight="1">
      <c r="A131" s="49">
        <v>58</v>
      </c>
      <c r="B131" s="50" t="s">
        <v>400</v>
      </c>
      <c r="C131" s="50" t="s">
        <v>208</v>
      </c>
      <c r="D131" s="51" t="s">
        <v>839</v>
      </c>
      <c r="E131" s="51" t="s">
        <v>673</v>
      </c>
      <c r="F131" s="50" t="s">
        <v>674</v>
      </c>
      <c r="G131" s="52">
        <v>0</v>
      </c>
      <c r="H131" s="53" t="s">
        <v>634</v>
      </c>
      <c r="I131" s="69"/>
      <c r="J131" s="56"/>
      <c r="K131" s="35"/>
      <c r="L131" s="35"/>
      <c r="M131" s="35"/>
      <c r="N131" s="35"/>
      <c r="O131" s="35"/>
      <c r="P131" s="35"/>
      <c r="Q131" s="35"/>
    </row>
    <row r="132" spans="1:17" ht="14.25" customHeight="1">
      <c r="A132" s="49">
        <v>49</v>
      </c>
      <c r="B132" s="50"/>
      <c r="C132" s="50" t="s">
        <v>209</v>
      </c>
      <c r="D132" s="51" t="s">
        <v>814</v>
      </c>
      <c r="E132" s="51" t="s">
        <v>669</v>
      </c>
      <c r="F132" s="50" t="s">
        <v>670</v>
      </c>
      <c r="G132" s="52">
        <v>1</v>
      </c>
      <c r="H132" s="50"/>
      <c r="I132" s="69"/>
      <c r="J132" s="236"/>
      <c r="K132" s="35"/>
      <c r="L132" s="35"/>
      <c r="M132" s="35"/>
      <c r="N132" s="35"/>
      <c r="O132" s="35"/>
      <c r="P132" s="35"/>
      <c r="Q132" s="35"/>
    </row>
    <row r="133" spans="1:17" ht="14.25" customHeight="1">
      <c r="A133" s="49">
        <v>23</v>
      </c>
      <c r="B133" s="50" t="s">
        <v>402</v>
      </c>
      <c r="C133" s="50" t="s">
        <v>210</v>
      </c>
      <c r="D133" s="51" t="s">
        <v>756</v>
      </c>
      <c r="E133" s="51" t="s">
        <v>659</v>
      </c>
      <c r="F133" s="50" t="s">
        <v>660</v>
      </c>
      <c r="G133" s="52">
        <v>1</v>
      </c>
      <c r="H133" s="50"/>
      <c r="I133" s="69"/>
      <c r="J133" s="59"/>
      <c r="K133" s="35"/>
      <c r="L133" s="35"/>
      <c r="M133" s="35"/>
      <c r="N133" s="35"/>
      <c r="O133" s="35"/>
      <c r="P133" s="35"/>
      <c r="Q133" s="35"/>
    </row>
    <row r="134" spans="1:17" ht="14.25" customHeight="1">
      <c r="A134" s="49">
        <v>70</v>
      </c>
      <c r="B134" s="50" t="s">
        <v>403</v>
      </c>
      <c r="C134" s="50" t="s">
        <v>212</v>
      </c>
      <c r="D134" s="51" t="s">
        <v>868</v>
      </c>
      <c r="E134" s="51" t="s">
        <v>680</v>
      </c>
      <c r="F134" s="50" t="s">
        <v>681</v>
      </c>
      <c r="G134" s="52">
        <v>1</v>
      </c>
      <c r="H134" s="50"/>
      <c r="I134" s="69"/>
      <c r="J134" s="53"/>
      <c r="K134" s="35"/>
      <c r="L134" s="35"/>
      <c r="M134" s="35"/>
      <c r="N134" s="35"/>
      <c r="O134" s="35"/>
      <c r="P134" s="35"/>
      <c r="Q134" s="35"/>
    </row>
    <row r="135" spans="1:17" ht="14.25" customHeight="1">
      <c r="A135" s="55">
        <v>60</v>
      </c>
      <c r="B135" s="56" t="s">
        <v>404</v>
      </c>
      <c r="C135" s="56" t="s">
        <v>214</v>
      </c>
      <c r="D135" s="57" t="s">
        <v>843</v>
      </c>
      <c r="E135" s="57" t="s">
        <v>673</v>
      </c>
      <c r="F135" s="56" t="s">
        <v>674</v>
      </c>
      <c r="G135" s="58">
        <v>0</v>
      </c>
      <c r="H135" s="56" t="s">
        <v>639</v>
      </c>
      <c r="I135" s="70"/>
      <c r="J135" s="56"/>
      <c r="K135" s="35"/>
      <c r="L135" s="35"/>
      <c r="M135" s="35"/>
      <c r="N135" s="35"/>
      <c r="O135" s="35"/>
      <c r="P135" s="35"/>
      <c r="Q135" s="35"/>
    </row>
    <row r="136" spans="1:17" ht="14.25" customHeight="1">
      <c r="A136" s="49">
        <v>2</v>
      </c>
      <c r="B136" s="50" t="s">
        <v>405</v>
      </c>
      <c r="C136" s="50" t="s">
        <v>215</v>
      </c>
      <c r="D136" s="51" t="s">
        <v>708</v>
      </c>
      <c r="E136" s="51" t="s">
        <v>624</v>
      </c>
      <c r="F136" s="50" t="s">
        <v>625</v>
      </c>
      <c r="G136" s="52">
        <v>0</v>
      </c>
      <c r="H136" s="53" t="s">
        <v>633</v>
      </c>
      <c r="I136" s="69"/>
      <c r="J136" s="50"/>
      <c r="K136" s="35"/>
      <c r="L136" s="35"/>
      <c r="M136" s="35"/>
      <c r="N136" s="35"/>
      <c r="O136" s="35"/>
      <c r="P136" s="35"/>
      <c r="Q136" s="35"/>
    </row>
    <row r="137" spans="1:17" ht="14.25" customHeight="1">
      <c r="A137" s="49">
        <v>64</v>
      </c>
      <c r="B137" s="50" t="s">
        <v>406</v>
      </c>
      <c r="C137" s="50" t="s">
        <v>217</v>
      </c>
      <c r="D137" s="51" t="s">
        <v>854</v>
      </c>
      <c r="E137" s="51" t="s">
        <v>673</v>
      </c>
      <c r="F137" s="50" t="s">
        <v>674</v>
      </c>
      <c r="G137" s="52">
        <v>1</v>
      </c>
      <c r="H137" s="50"/>
      <c r="I137" s="69"/>
      <c r="J137" s="56"/>
      <c r="K137" s="35"/>
      <c r="L137" s="35"/>
      <c r="M137" s="35"/>
      <c r="N137" s="35"/>
      <c r="O137" s="35"/>
      <c r="P137" s="35"/>
      <c r="Q137" s="35"/>
    </row>
    <row r="138" spans="1:17" ht="14.25" customHeight="1">
      <c r="A138" s="49">
        <v>67</v>
      </c>
      <c r="B138" s="50" t="s">
        <v>407</v>
      </c>
      <c r="C138" s="50" t="s">
        <v>218</v>
      </c>
      <c r="D138" s="51" t="s">
        <v>860</v>
      </c>
      <c r="E138" s="51" t="s">
        <v>680</v>
      </c>
      <c r="F138" s="50" t="s">
        <v>681</v>
      </c>
      <c r="G138" s="52">
        <v>0</v>
      </c>
      <c r="H138" s="53" t="s">
        <v>642</v>
      </c>
      <c r="I138" s="53" t="s">
        <v>684</v>
      </c>
      <c r="J138" s="50"/>
      <c r="K138" s="35"/>
      <c r="L138" s="35"/>
      <c r="M138" s="35"/>
      <c r="N138" s="35"/>
      <c r="O138" s="35"/>
      <c r="P138" s="35"/>
      <c r="Q138" s="35"/>
    </row>
    <row r="139" spans="1:17" ht="14.25" customHeight="1">
      <c r="A139" s="49">
        <v>5</v>
      </c>
      <c r="B139" s="50" t="s">
        <v>408</v>
      </c>
      <c r="C139" s="50" t="s">
        <v>220</v>
      </c>
      <c r="D139" s="51" t="s">
        <v>714</v>
      </c>
      <c r="E139" s="51" t="s">
        <v>624</v>
      </c>
      <c r="F139" s="50" t="s">
        <v>625</v>
      </c>
      <c r="G139" s="52">
        <v>0</v>
      </c>
      <c r="H139" s="53" t="s">
        <v>637</v>
      </c>
      <c r="I139" s="70" t="s">
        <v>638</v>
      </c>
      <c r="J139" s="236"/>
      <c r="K139" s="35"/>
      <c r="L139" s="35"/>
      <c r="M139" s="35"/>
      <c r="N139" s="35"/>
      <c r="O139" s="35"/>
      <c r="P139" s="35"/>
      <c r="Q139" s="35"/>
    </row>
    <row r="140" spans="1:17" ht="14.25" customHeight="1">
      <c r="A140" s="49">
        <v>84</v>
      </c>
      <c r="B140" s="50" t="s">
        <v>409</v>
      </c>
      <c r="C140" s="50" t="s">
        <v>221</v>
      </c>
      <c r="D140" s="51" t="s">
        <v>895</v>
      </c>
      <c r="E140" s="51" t="s">
        <v>686</v>
      </c>
      <c r="F140" s="50" t="s">
        <v>687</v>
      </c>
      <c r="G140" s="52">
        <v>0</v>
      </c>
      <c r="H140" s="53" t="s">
        <v>626</v>
      </c>
      <c r="I140" s="69" t="s">
        <v>691</v>
      </c>
      <c r="J140" s="50"/>
      <c r="K140" s="35"/>
      <c r="L140" s="35"/>
      <c r="M140" s="35"/>
      <c r="N140" s="35"/>
      <c r="O140" s="35"/>
      <c r="P140" s="35"/>
      <c r="Q140" s="35"/>
    </row>
    <row r="141" spans="1:17" ht="14.25" customHeight="1">
      <c r="A141" s="49">
        <v>42</v>
      </c>
      <c r="B141" s="50" t="s">
        <v>410</v>
      </c>
      <c r="C141" s="50" t="s">
        <v>223</v>
      </c>
      <c r="D141" s="51" t="s">
        <v>799</v>
      </c>
      <c r="E141" s="51" t="s">
        <v>663</v>
      </c>
      <c r="F141" s="50" t="s">
        <v>664</v>
      </c>
      <c r="G141" s="52">
        <v>0</v>
      </c>
      <c r="H141" s="53" t="s">
        <v>634</v>
      </c>
      <c r="I141" s="69"/>
      <c r="J141" s="56"/>
      <c r="K141" s="35"/>
      <c r="L141" s="35"/>
      <c r="M141" s="35"/>
      <c r="N141" s="35"/>
      <c r="O141" s="35"/>
      <c r="P141" s="35"/>
      <c r="Q141" s="35"/>
    </row>
    <row r="142" spans="1:17" ht="14.25" customHeight="1">
      <c r="A142" s="49">
        <v>60</v>
      </c>
      <c r="B142" s="50" t="s">
        <v>411</v>
      </c>
      <c r="C142" s="50" t="s">
        <v>224</v>
      </c>
      <c r="D142" s="51" t="s">
        <v>844</v>
      </c>
      <c r="E142" s="51" t="s">
        <v>673</v>
      </c>
      <c r="F142" s="50" t="s">
        <v>674</v>
      </c>
      <c r="G142" s="52">
        <v>0</v>
      </c>
      <c r="H142" s="53" t="s">
        <v>626</v>
      </c>
      <c r="I142" s="69" t="s">
        <v>698</v>
      </c>
      <c r="J142" s="50"/>
      <c r="K142" s="35"/>
      <c r="L142" s="35"/>
      <c r="M142" s="35"/>
      <c r="N142" s="35"/>
      <c r="O142" s="35"/>
      <c r="P142" s="35"/>
      <c r="Q142" s="35"/>
    </row>
    <row r="143" spans="1:17" ht="14.25" customHeight="1">
      <c r="A143" s="49">
        <v>12</v>
      </c>
      <c r="B143" s="50" t="s">
        <v>412</v>
      </c>
      <c r="C143" s="50" t="s">
        <v>226</v>
      </c>
      <c r="D143" s="51" t="s">
        <v>729</v>
      </c>
      <c r="E143" s="51" t="s">
        <v>650</v>
      </c>
      <c r="F143" s="50" t="s">
        <v>651</v>
      </c>
      <c r="G143" s="52">
        <v>1</v>
      </c>
      <c r="H143" s="50"/>
      <c r="I143" s="69"/>
      <c r="J143" s="56"/>
      <c r="K143" s="35"/>
      <c r="L143" s="35"/>
      <c r="M143" s="35"/>
      <c r="N143" s="35"/>
      <c r="O143" s="35"/>
      <c r="P143" s="35"/>
      <c r="Q143" s="35"/>
    </row>
    <row r="144" spans="1:17" ht="14.25" customHeight="1">
      <c r="A144" s="49">
        <v>69</v>
      </c>
      <c r="B144" s="50" t="s">
        <v>413</v>
      </c>
      <c r="C144" s="50" t="s">
        <v>227</v>
      </c>
      <c r="D144" s="51" t="s">
        <v>865</v>
      </c>
      <c r="E144" s="51" t="s">
        <v>680</v>
      </c>
      <c r="F144" s="50" t="s">
        <v>681</v>
      </c>
      <c r="G144" s="52">
        <v>1</v>
      </c>
      <c r="H144" s="50"/>
      <c r="I144" s="69"/>
      <c r="J144" s="50"/>
      <c r="K144" s="35"/>
      <c r="L144" s="35"/>
      <c r="M144" s="35"/>
      <c r="N144" s="35"/>
      <c r="O144" s="35"/>
      <c r="P144" s="35"/>
      <c r="Q144" s="35"/>
    </row>
    <row r="145" spans="1:17" ht="14.25" customHeight="1">
      <c r="A145" s="55">
        <v>82</v>
      </c>
      <c r="B145" s="56" t="s">
        <v>414</v>
      </c>
      <c r="C145" s="56" t="s">
        <v>228</v>
      </c>
      <c r="D145" s="57" t="s">
        <v>891</v>
      </c>
      <c r="E145" s="57" t="s">
        <v>686</v>
      </c>
      <c r="F145" s="56" t="s">
        <v>687</v>
      </c>
      <c r="G145" s="58">
        <v>1</v>
      </c>
      <c r="H145" s="56"/>
      <c r="I145" s="70"/>
      <c r="J145" s="56"/>
      <c r="K145" s="35"/>
      <c r="L145" s="35"/>
      <c r="M145" s="35"/>
      <c r="N145" s="35"/>
      <c r="O145" s="35"/>
      <c r="P145" s="35"/>
      <c r="Q145" s="35"/>
    </row>
    <row r="146" spans="1:17" ht="14.25" customHeight="1">
      <c r="A146" s="49">
        <v>6</v>
      </c>
      <c r="B146" s="50" t="s">
        <v>415</v>
      </c>
      <c r="C146" s="50" t="s">
        <v>229</v>
      </c>
      <c r="D146" s="51" t="s">
        <v>716</v>
      </c>
      <c r="E146" s="51" t="s">
        <v>624</v>
      </c>
      <c r="F146" s="50" t="s">
        <v>625</v>
      </c>
      <c r="G146" s="52">
        <v>1</v>
      </c>
      <c r="H146" s="50"/>
      <c r="I146" s="69"/>
      <c r="J146" s="50"/>
      <c r="K146" s="35"/>
      <c r="L146" s="35"/>
      <c r="M146" s="35"/>
      <c r="N146" s="35"/>
      <c r="O146" s="35"/>
      <c r="P146" s="35"/>
      <c r="Q146" s="35"/>
    </row>
    <row r="147" spans="1:17" ht="14.25" customHeight="1">
      <c r="A147" s="49">
        <v>68</v>
      </c>
      <c r="B147" s="50" t="s">
        <v>416</v>
      </c>
      <c r="C147" s="50" t="s">
        <v>230</v>
      </c>
      <c r="D147" s="51" t="s">
        <v>862</v>
      </c>
      <c r="E147" s="51" t="s">
        <v>680</v>
      </c>
      <c r="F147" s="50" t="s">
        <v>681</v>
      </c>
      <c r="G147" s="52">
        <v>1</v>
      </c>
      <c r="H147" s="50"/>
      <c r="I147" s="69"/>
      <c r="J147" s="56"/>
      <c r="K147" s="35"/>
      <c r="L147" s="35"/>
      <c r="M147" s="35"/>
      <c r="N147" s="35"/>
      <c r="O147" s="35"/>
      <c r="P147" s="35"/>
      <c r="Q147" s="35"/>
    </row>
    <row r="148" spans="1:17" ht="14.25" customHeight="1">
      <c r="A148" s="55">
        <v>36</v>
      </c>
      <c r="B148" s="56" t="s">
        <v>417</v>
      </c>
      <c r="C148" s="56" t="s">
        <v>23</v>
      </c>
      <c r="D148" s="57" t="s">
        <v>785</v>
      </c>
      <c r="E148" s="57" t="s">
        <v>663</v>
      </c>
      <c r="F148" s="56" t="s">
        <v>664</v>
      </c>
      <c r="G148" s="58">
        <v>0</v>
      </c>
      <c r="H148" s="59" t="s">
        <v>626</v>
      </c>
      <c r="I148" s="70" t="s">
        <v>665</v>
      </c>
      <c r="J148" s="50"/>
      <c r="K148" s="35"/>
      <c r="L148" s="35"/>
      <c r="M148" s="35"/>
      <c r="N148" s="35"/>
      <c r="O148" s="35"/>
      <c r="P148" s="35"/>
      <c r="Q148" s="35"/>
    </row>
    <row r="149" spans="1:17" ht="14.25" customHeight="1">
      <c r="A149" s="55">
        <v>88</v>
      </c>
      <c r="B149" s="56" t="s">
        <v>418</v>
      </c>
      <c r="C149" s="56" t="s">
        <v>232</v>
      </c>
      <c r="D149" s="57" t="s">
        <v>905</v>
      </c>
      <c r="E149" s="57" t="s">
        <v>673</v>
      </c>
      <c r="F149" s="56" t="s">
        <v>674</v>
      </c>
      <c r="G149" s="58">
        <v>0</v>
      </c>
      <c r="H149" s="59" t="s">
        <v>634</v>
      </c>
      <c r="I149" s="70"/>
      <c r="J149" s="56"/>
      <c r="K149" s="35"/>
      <c r="L149" s="35"/>
      <c r="M149" s="35"/>
      <c r="N149" s="35"/>
      <c r="O149" s="35"/>
      <c r="P149" s="35"/>
      <c r="Q149" s="35"/>
    </row>
    <row r="150" spans="1:17" ht="14.25" customHeight="1">
      <c r="A150" s="49">
        <v>31</v>
      </c>
      <c r="B150" s="50" t="s">
        <v>419</v>
      </c>
      <c r="C150" s="50" t="s">
        <v>233</v>
      </c>
      <c r="D150" s="51" t="s">
        <v>234</v>
      </c>
      <c r="E150" s="51" t="s">
        <v>659</v>
      </c>
      <c r="F150" s="50" t="s">
        <v>660</v>
      </c>
      <c r="G150" s="52">
        <v>1</v>
      </c>
      <c r="H150" s="50"/>
      <c r="I150" s="69"/>
      <c r="J150" s="50"/>
      <c r="K150" s="35"/>
      <c r="L150" s="35"/>
      <c r="M150" s="35"/>
      <c r="N150" s="35"/>
      <c r="O150" s="35"/>
      <c r="P150" s="35"/>
      <c r="Q150" s="35"/>
    </row>
    <row r="151" spans="1:17" ht="14.25" customHeight="1">
      <c r="A151" s="55">
        <v>17</v>
      </c>
      <c r="B151" s="56" t="s">
        <v>420</v>
      </c>
      <c r="C151" s="56" t="s">
        <v>236</v>
      </c>
      <c r="D151" s="57" t="s">
        <v>741</v>
      </c>
      <c r="E151" s="57" t="s">
        <v>650</v>
      </c>
      <c r="F151" s="56" t="s">
        <v>651</v>
      </c>
      <c r="G151" s="58">
        <v>1</v>
      </c>
      <c r="H151" s="56"/>
      <c r="I151" s="70"/>
      <c r="J151" s="56"/>
      <c r="K151" s="35"/>
      <c r="L151" s="35"/>
      <c r="M151" s="35"/>
      <c r="N151" s="35"/>
      <c r="O151" s="35"/>
      <c r="P151" s="35"/>
      <c r="Q151" s="35"/>
    </row>
    <row r="152" spans="1:17" ht="14.25" customHeight="1">
      <c r="A152" s="49">
        <v>22</v>
      </c>
      <c r="B152" s="50" t="s">
        <v>421</v>
      </c>
      <c r="C152" s="50" t="s">
        <v>237</v>
      </c>
      <c r="D152" s="51" t="s">
        <v>753</v>
      </c>
      <c r="E152" s="51" t="s">
        <v>650</v>
      </c>
      <c r="F152" s="50" t="s">
        <v>651</v>
      </c>
      <c r="G152" s="52">
        <v>1</v>
      </c>
      <c r="H152" s="50"/>
      <c r="I152" s="69"/>
      <c r="J152" s="50"/>
      <c r="K152" s="35"/>
      <c r="L152" s="35"/>
      <c r="M152" s="35"/>
      <c r="N152" s="35"/>
      <c r="O152" s="35"/>
      <c r="P152" s="35"/>
      <c r="Q152" s="35"/>
    </row>
    <row r="153" spans="1:17" ht="14.25" customHeight="1">
      <c r="A153" s="49">
        <v>36</v>
      </c>
      <c r="B153" s="50" t="s">
        <v>422</v>
      </c>
      <c r="C153" s="50" t="s">
        <v>239</v>
      </c>
      <c r="D153" s="51" t="s">
        <v>786</v>
      </c>
      <c r="E153" s="51" t="s">
        <v>663</v>
      </c>
      <c r="F153" s="50" t="s">
        <v>664</v>
      </c>
      <c r="G153" s="52">
        <v>0</v>
      </c>
      <c r="H153" s="53" t="s">
        <v>626</v>
      </c>
      <c r="I153" s="69" t="s">
        <v>666</v>
      </c>
      <c r="J153" s="56"/>
      <c r="K153" s="35"/>
      <c r="L153" s="35"/>
      <c r="M153" s="35"/>
      <c r="N153" s="35"/>
      <c r="O153" s="35"/>
      <c r="P153" s="35"/>
      <c r="Q153" s="35"/>
    </row>
    <row r="154" spans="1:17" ht="14.25" customHeight="1">
      <c r="A154" s="49">
        <v>62</v>
      </c>
      <c r="B154" s="50" t="s">
        <v>423</v>
      </c>
      <c r="C154" s="50" t="s">
        <v>240</v>
      </c>
      <c r="D154" s="51" t="s">
        <v>850</v>
      </c>
      <c r="E154" s="51" t="s">
        <v>673</v>
      </c>
      <c r="F154" s="50" t="s">
        <v>674</v>
      </c>
      <c r="G154" s="52">
        <v>0</v>
      </c>
      <c r="H154" s="53" t="s">
        <v>642</v>
      </c>
      <c r="I154" s="69" t="s">
        <v>677</v>
      </c>
      <c r="J154" s="50"/>
      <c r="K154" s="35"/>
      <c r="L154" s="35"/>
      <c r="M154" s="35"/>
      <c r="N154" s="35"/>
      <c r="O154" s="35"/>
      <c r="P154" s="35"/>
      <c r="Q154" s="35"/>
    </row>
    <row r="155" spans="1:17" ht="14.25" customHeight="1">
      <c r="A155" s="55">
        <v>78</v>
      </c>
      <c r="B155" s="56" t="s">
        <v>424</v>
      </c>
      <c r="C155" s="56" t="s">
        <v>241</v>
      </c>
      <c r="D155" s="57" t="s">
        <v>883</v>
      </c>
      <c r="E155" s="57" t="s">
        <v>686</v>
      </c>
      <c r="F155" s="56" t="s">
        <v>687</v>
      </c>
      <c r="G155" s="58">
        <v>0</v>
      </c>
      <c r="H155" s="59" t="s">
        <v>637</v>
      </c>
      <c r="I155" s="70" t="s">
        <v>688</v>
      </c>
      <c r="J155" s="56"/>
      <c r="K155" s="35"/>
      <c r="L155" s="35"/>
      <c r="M155" s="35"/>
      <c r="N155" s="35"/>
      <c r="O155" s="35"/>
      <c r="P155" s="35"/>
      <c r="Q155" s="35"/>
    </row>
    <row r="156" spans="1:17" ht="14.25" customHeight="1">
      <c r="A156" s="49">
        <v>20</v>
      </c>
      <c r="B156" s="50" t="s">
        <v>425</v>
      </c>
      <c r="C156" s="50" t="s">
        <v>242</v>
      </c>
      <c r="D156" s="51" t="s">
        <v>749</v>
      </c>
      <c r="E156" s="51" t="s">
        <v>650</v>
      </c>
      <c r="F156" s="50" t="s">
        <v>651</v>
      </c>
      <c r="G156" s="52">
        <v>0</v>
      </c>
      <c r="H156" s="53" t="s">
        <v>626</v>
      </c>
      <c r="I156" s="69" t="s">
        <v>658</v>
      </c>
      <c r="J156" s="50"/>
      <c r="K156" s="35"/>
      <c r="L156" s="35"/>
      <c r="M156" s="35"/>
      <c r="N156" s="35"/>
      <c r="O156" s="35"/>
      <c r="P156" s="35"/>
      <c r="Q156" s="35"/>
    </row>
    <row r="157" spans="1:17" ht="14.25" customHeight="1">
      <c r="A157" s="49">
        <v>55</v>
      </c>
      <c r="B157" s="50"/>
      <c r="C157" s="50" t="s">
        <v>242</v>
      </c>
      <c r="D157" s="51" t="s">
        <v>832</v>
      </c>
      <c r="E157" s="51" t="s">
        <v>669</v>
      </c>
      <c r="F157" s="50" t="s">
        <v>670</v>
      </c>
      <c r="G157" s="52">
        <v>0</v>
      </c>
      <c r="H157" s="53" t="s">
        <v>634</v>
      </c>
      <c r="I157" s="69"/>
      <c r="J157" s="56"/>
      <c r="K157" s="35"/>
      <c r="L157" s="35"/>
      <c r="M157" s="35"/>
      <c r="N157" s="35"/>
      <c r="O157" s="35"/>
      <c r="P157" s="35"/>
      <c r="Q157" s="35"/>
    </row>
    <row r="158" spans="1:17" ht="14.25" customHeight="1">
      <c r="A158" s="55">
        <v>65</v>
      </c>
      <c r="B158" s="56" t="s">
        <v>427</v>
      </c>
      <c r="C158" s="56" t="s">
        <v>244</v>
      </c>
      <c r="D158" s="57" t="s">
        <v>855</v>
      </c>
      <c r="E158" s="57" t="s">
        <v>673</v>
      </c>
      <c r="F158" s="56" t="s">
        <v>674</v>
      </c>
      <c r="G158" s="58">
        <v>0</v>
      </c>
      <c r="H158" s="59" t="s">
        <v>626</v>
      </c>
      <c r="I158" s="70" t="s">
        <v>678</v>
      </c>
      <c r="J158" s="50"/>
      <c r="K158" s="35"/>
      <c r="L158" s="35"/>
      <c r="M158" s="35"/>
      <c r="N158" s="35"/>
      <c r="O158" s="35"/>
      <c r="P158" s="35"/>
      <c r="Q158" s="35"/>
    </row>
    <row r="159" spans="1:17" ht="14.25" customHeight="1">
      <c r="A159" s="49">
        <v>59</v>
      </c>
      <c r="B159" s="50" t="s">
        <v>428</v>
      </c>
      <c r="C159" s="50" t="s">
        <v>246</v>
      </c>
      <c r="D159" s="51" t="s">
        <v>842</v>
      </c>
      <c r="E159" s="51" t="s">
        <v>673</v>
      </c>
      <c r="F159" s="50" t="s">
        <v>674</v>
      </c>
      <c r="G159" s="52">
        <v>1</v>
      </c>
      <c r="H159" s="50"/>
      <c r="I159" s="69"/>
      <c r="J159" s="56"/>
      <c r="K159" s="35"/>
      <c r="L159" s="35"/>
      <c r="M159" s="35"/>
      <c r="N159" s="35"/>
      <c r="O159" s="35"/>
      <c r="P159" s="35"/>
      <c r="Q159" s="35"/>
    </row>
    <row r="160" spans="1:17" ht="14.25" customHeight="1">
      <c r="A160" s="49">
        <v>18</v>
      </c>
      <c r="B160" s="50" t="s">
        <v>429</v>
      </c>
      <c r="C160" s="50" t="s">
        <v>247</v>
      </c>
      <c r="D160" s="51" t="s">
        <v>744</v>
      </c>
      <c r="E160" s="51" t="s">
        <v>650</v>
      </c>
      <c r="F160" s="50" t="s">
        <v>651</v>
      </c>
      <c r="G160" s="52">
        <v>1</v>
      </c>
      <c r="H160" s="50"/>
      <c r="I160" s="69"/>
      <c r="J160" s="50"/>
      <c r="K160" s="35"/>
      <c r="L160" s="35"/>
      <c r="M160" s="35"/>
      <c r="N160" s="35"/>
      <c r="O160" s="35"/>
      <c r="P160" s="35"/>
      <c r="Q160" s="35"/>
    </row>
    <row r="161" spans="1:17" ht="14.25" customHeight="1">
      <c r="A161" s="49">
        <v>33</v>
      </c>
      <c r="B161" s="50" t="s">
        <v>430</v>
      </c>
      <c r="C161" s="50" t="s">
        <v>248</v>
      </c>
      <c r="D161" s="51" t="s">
        <v>780</v>
      </c>
      <c r="E161" s="51" t="s">
        <v>659</v>
      </c>
      <c r="F161" s="50" t="s">
        <v>660</v>
      </c>
      <c r="G161" s="52">
        <v>0</v>
      </c>
      <c r="H161" s="53" t="s">
        <v>626</v>
      </c>
      <c r="I161" s="69" t="s">
        <v>662</v>
      </c>
      <c r="J161" s="56"/>
      <c r="K161" s="35"/>
      <c r="L161" s="35"/>
      <c r="M161" s="35"/>
      <c r="N161" s="35"/>
      <c r="O161" s="35"/>
      <c r="P161" s="35"/>
      <c r="Q161" s="35"/>
    </row>
    <row r="162" spans="1:17" ht="14.25" customHeight="1">
      <c r="A162" s="49">
        <v>73</v>
      </c>
      <c r="B162" s="50" t="s">
        <v>431</v>
      </c>
      <c r="C162" s="50" t="s">
        <v>249</v>
      </c>
      <c r="D162" s="51" t="s">
        <v>874</v>
      </c>
      <c r="E162" s="51" t="s">
        <v>680</v>
      </c>
      <c r="F162" s="50" t="s">
        <v>681</v>
      </c>
      <c r="G162" s="52">
        <v>0</v>
      </c>
      <c r="H162" s="53" t="s">
        <v>634</v>
      </c>
      <c r="I162" s="69"/>
      <c r="J162" s="50"/>
      <c r="K162" s="35"/>
      <c r="L162" s="35"/>
      <c r="M162" s="35"/>
      <c r="N162" s="35"/>
      <c r="O162" s="35"/>
      <c r="P162" s="35"/>
      <c r="Q162" s="35"/>
    </row>
    <row r="163" spans="1:17" ht="14.25" customHeight="1">
      <c r="A163" s="55">
        <v>84</v>
      </c>
      <c r="B163" s="56" t="s">
        <v>432</v>
      </c>
      <c r="C163" s="56" t="s">
        <v>250</v>
      </c>
      <c r="D163" s="57" t="s">
        <v>906</v>
      </c>
      <c r="E163" s="57" t="s">
        <v>686</v>
      </c>
      <c r="F163" s="56" t="s">
        <v>687</v>
      </c>
      <c r="G163" s="58">
        <v>0</v>
      </c>
      <c r="H163" s="59" t="s">
        <v>633</v>
      </c>
      <c r="I163" s="70" t="s">
        <v>690</v>
      </c>
      <c r="J163" s="56"/>
      <c r="K163" s="35"/>
      <c r="L163" s="35"/>
      <c r="M163" s="35"/>
      <c r="N163" s="35"/>
      <c r="O163" s="35"/>
      <c r="P163" s="35"/>
      <c r="Q163" s="35"/>
    </row>
    <row r="164" spans="1:17" ht="14.25" customHeight="1">
      <c r="A164" s="49">
        <v>83</v>
      </c>
      <c r="B164" s="50" t="s">
        <v>433</v>
      </c>
      <c r="C164" s="50" t="s">
        <v>251</v>
      </c>
      <c r="D164" s="51" t="s">
        <v>893</v>
      </c>
      <c r="E164" s="51" t="s">
        <v>686</v>
      </c>
      <c r="F164" s="50" t="s">
        <v>687</v>
      </c>
      <c r="G164" s="52">
        <v>0</v>
      </c>
      <c r="H164" s="50" t="s">
        <v>634</v>
      </c>
      <c r="I164" s="69"/>
      <c r="J164" s="50"/>
      <c r="K164" s="35"/>
      <c r="L164" s="35"/>
      <c r="M164" s="35"/>
      <c r="N164" s="35"/>
      <c r="O164" s="35"/>
      <c r="P164" s="35"/>
      <c r="Q164" s="35"/>
    </row>
    <row r="165" spans="1:17" ht="14.25" customHeight="1">
      <c r="A165" s="49">
        <v>35</v>
      </c>
      <c r="B165" s="50" t="s">
        <v>434</v>
      </c>
      <c r="C165" s="50" t="s">
        <v>252</v>
      </c>
      <c r="D165" s="51" t="s">
        <v>784</v>
      </c>
      <c r="E165" s="51" t="s">
        <v>663</v>
      </c>
      <c r="F165" s="50" t="s">
        <v>664</v>
      </c>
      <c r="G165" s="52">
        <v>1</v>
      </c>
      <c r="H165" s="50"/>
      <c r="I165" s="69"/>
      <c r="J165" s="56"/>
      <c r="K165" s="35"/>
      <c r="L165" s="35"/>
      <c r="M165" s="35"/>
      <c r="N165" s="35"/>
      <c r="O165" s="35"/>
      <c r="P165" s="35"/>
      <c r="Q165" s="35"/>
    </row>
    <row r="166" spans="1:17" ht="14.25" customHeight="1">
      <c r="A166" s="49">
        <v>65</v>
      </c>
      <c r="B166" s="50" t="s">
        <v>435</v>
      </c>
      <c r="C166" s="50" t="s">
        <v>253</v>
      </c>
      <c r="D166" s="51" t="s">
        <v>856</v>
      </c>
      <c r="E166" s="51" t="s">
        <v>673</v>
      </c>
      <c r="F166" s="50" t="s">
        <v>674</v>
      </c>
      <c r="G166" s="52">
        <v>0</v>
      </c>
      <c r="H166" s="53" t="s">
        <v>642</v>
      </c>
      <c r="I166" s="69" t="s">
        <v>679</v>
      </c>
      <c r="J166" s="50"/>
      <c r="K166" s="35"/>
      <c r="L166" s="35"/>
      <c r="M166" s="35"/>
      <c r="N166" s="35"/>
      <c r="O166" s="35"/>
      <c r="P166" s="35"/>
      <c r="Q166" s="35"/>
    </row>
    <row r="167" spans="1:17" ht="14.25" customHeight="1">
      <c r="A167" s="49">
        <v>74</v>
      </c>
      <c r="B167" s="50" t="s">
        <v>436</v>
      </c>
      <c r="C167" s="50" t="s">
        <v>255</v>
      </c>
      <c r="D167" s="51" t="s">
        <v>876</v>
      </c>
      <c r="E167" s="51" t="s">
        <v>680</v>
      </c>
      <c r="F167" s="50" t="s">
        <v>681</v>
      </c>
      <c r="G167" s="52">
        <v>0</v>
      </c>
      <c r="H167" s="53" t="s">
        <v>634</v>
      </c>
      <c r="I167" s="69"/>
      <c r="J167" s="56"/>
      <c r="K167" s="35"/>
      <c r="L167" s="35"/>
      <c r="M167" s="35"/>
      <c r="N167" s="35"/>
      <c r="O167" s="35"/>
      <c r="P167" s="35"/>
      <c r="Q167" s="35"/>
    </row>
    <row r="168" spans="1:17" ht="14.25" customHeight="1">
      <c r="A168" s="49">
        <v>8</v>
      </c>
      <c r="B168" s="50" t="s">
        <v>437</v>
      </c>
      <c r="C168" s="50" t="s">
        <v>257</v>
      </c>
      <c r="D168" s="51" t="s">
        <v>721</v>
      </c>
      <c r="E168" s="51" t="s">
        <v>624</v>
      </c>
      <c r="F168" s="50" t="s">
        <v>625</v>
      </c>
      <c r="G168" s="52">
        <v>0</v>
      </c>
      <c r="H168" s="53" t="s">
        <v>642</v>
      </c>
      <c r="I168" s="69" t="s">
        <v>646</v>
      </c>
      <c r="J168" s="50"/>
      <c r="K168" s="35"/>
      <c r="L168" s="35"/>
      <c r="M168" s="35"/>
      <c r="N168" s="35"/>
      <c r="O168" s="35"/>
      <c r="P168" s="35"/>
      <c r="Q168" s="35"/>
    </row>
    <row r="169" spans="1:17" ht="14.25" customHeight="1">
      <c r="A169" s="55">
        <v>83</v>
      </c>
      <c r="B169" s="56" t="s">
        <v>438</v>
      </c>
      <c r="C169" s="56" t="s">
        <v>258</v>
      </c>
      <c r="D169" s="57" t="s">
        <v>894</v>
      </c>
      <c r="E169" s="57" t="s">
        <v>686</v>
      </c>
      <c r="F169" s="56" t="s">
        <v>687</v>
      </c>
      <c r="G169" s="58">
        <v>0</v>
      </c>
      <c r="H169" s="56" t="s">
        <v>634</v>
      </c>
      <c r="I169" s="70"/>
      <c r="J169" s="56"/>
      <c r="K169" s="35"/>
      <c r="L169" s="35"/>
      <c r="M169" s="35"/>
      <c r="N169" s="35"/>
      <c r="O169" s="35"/>
      <c r="P169" s="35"/>
      <c r="Q169" s="35"/>
    </row>
    <row r="170" spans="1:17" ht="14.25" customHeight="1">
      <c r="A170" s="49">
        <v>17</v>
      </c>
      <c r="B170" s="50" t="s">
        <v>439</v>
      </c>
      <c r="C170" s="50" t="s">
        <v>259</v>
      </c>
      <c r="D170" s="51" t="s">
        <v>742</v>
      </c>
      <c r="E170" s="51" t="s">
        <v>650</v>
      </c>
      <c r="F170" s="50" t="s">
        <v>651</v>
      </c>
      <c r="G170" s="52">
        <v>1</v>
      </c>
      <c r="H170" s="50"/>
      <c r="I170" s="69"/>
      <c r="J170" s="50"/>
      <c r="K170" s="35"/>
      <c r="L170" s="35"/>
      <c r="M170" s="35"/>
      <c r="N170" s="35"/>
      <c r="O170" s="35"/>
      <c r="P170" s="35"/>
      <c r="Q170" s="35"/>
    </row>
    <row r="171" spans="1:17" ht="14.25" customHeight="1">
      <c r="A171" s="49">
        <v>46</v>
      </c>
      <c r="B171" s="50"/>
      <c r="C171" s="50" t="s">
        <v>260</v>
      </c>
      <c r="D171" s="51" t="s">
        <v>808</v>
      </c>
      <c r="E171" s="51" t="s">
        <v>669</v>
      </c>
      <c r="F171" s="50" t="s">
        <v>670</v>
      </c>
      <c r="G171" s="52">
        <v>0</v>
      </c>
      <c r="H171" s="53" t="s">
        <v>637</v>
      </c>
      <c r="I171" s="69" t="s">
        <v>671</v>
      </c>
      <c r="J171" s="56"/>
      <c r="K171" s="35"/>
      <c r="L171" s="35"/>
      <c r="M171" s="35"/>
      <c r="N171" s="35"/>
      <c r="O171" s="35"/>
      <c r="P171" s="35"/>
      <c r="Q171" s="35"/>
    </row>
    <row r="172" spans="1:17" ht="14.25" customHeight="1">
      <c r="A172" s="49">
        <v>61</v>
      </c>
      <c r="B172" s="50" t="s">
        <v>441</v>
      </c>
      <c r="C172" s="50" t="s">
        <v>261</v>
      </c>
      <c r="D172" s="51" t="s">
        <v>847</v>
      </c>
      <c r="E172" s="51" t="s">
        <v>673</v>
      </c>
      <c r="F172" s="50" t="s">
        <v>674</v>
      </c>
      <c r="G172" s="52">
        <v>0</v>
      </c>
      <c r="H172" s="53" t="s">
        <v>634</v>
      </c>
      <c r="I172" s="69" t="s">
        <v>676</v>
      </c>
      <c r="J172" s="50"/>
      <c r="K172" s="35"/>
      <c r="L172" s="35"/>
      <c r="M172" s="35"/>
      <c r="N172" s="35"/>
      <c r="O172" s="35"/>
      <c r="P172" s="35"/>
      <c r="Q172" s="35"/>
    </row>
    <row r="173" spans="1:17" ht="14.25" customHeight="1">
      <c r="A173" s="239">
        <v>26</v>
      </c>
      <c r="B173" s="240" t="s">
        <v>447</v>
      </c>
      <c r="C173" s="240" t="s">
        <v>262</v>
      </c>
      <c r="D173" s="241" t="s">
        <v>763</v>
      </c>
      <c r="E173" s="241" t="s">
        <v>659</v>
      </c>
      <c r="F173" s="240" t="s">
        <v>660</v>
      </c>
      <c r="G173" s="242">
        <v>1</v>
      </c>
      <c r="H173" s="243"/>
      <c r="I173" s="244"/>
      <c r="J173" s="67"/>
      <c r="K173" s="35"/>
      <c r="L173" s="35"/>
      <c r="M173" s="35"/>
      <c r="N173" s="35"/>
      <c r="O173" s="35"/>
      <c r="P173" s="35"/>
      <c r="Q173" s="35"/>
    </row>
    <row r="174" spans="1:17" ht="14.25" customHeight="1">
      <c r="A174" s="35"/>
      <c r="B174" s="35"/>
      <c r="C174" s="35"/>
      <c r="D174" s="35"/>
      <c r="E174" s="36"/>
      <c r="F174" s="36"/>
      <c r="G174" s="36">
        <f>SUM(G3:G173)</f>
        <v>70</v>
      </c>
      <c r="H174" s="35"/>
      <c r="I174" s="35"/>
      <c r="J174" s="35"/>
      <c r="K174" s="35"/>
      <c r="L174" s="35"/>
      <c r="M174" s="35"/>
      <c r="N174" s="35"/>
      <c r="O174" s="35"/>
      <c r="P174" s="35"/>
      <c r="Q174" s="35"/>
    </row>
    <row r="175" spans="1:17" ht="14.25" customHeight="1">
      <c r="A175" s="35"/>
      <c r="B175" s="35"/>
      <c r="C175" s="35"/>
      <c r="D175" s="35"/>
      <c r="E175" s="36"/>
      <c r="F175" s="36"/>
      <c r="G175" s="36"/>
      <c r="H175" s="35"/>
      <c r="I175" s="35"/>
      <c r="J175" s="35"/>
      <c r="K175" s="35"/>
      <c r="L175" s="35"/>
      <c r="M175" s="35"/>
      <c r="N175" s="35"/>
      <c r="O175" s="35"/>
      <c r="P175" s="35"/>
      <c r="Q175" s="35"/>
    </row>
    <row r="176" spans="1:17" ht="14.25" customHeight="1">
      <c r="A176" s="35"/>
      <c r="B176" s="35"/>
      <c r="C176" s="35"/>
      <c r="D176" s="35"/>
      <c r="E176" s="36"/>
      <c r="F176" s="36"/>
      <c r="G176" s="36"/>
      <c r="H176" s="35"/>
      <c r="I176" s="35"/>
      <c r="J176" s="35"/>
      <c r="K176" s="35"/>
      <c r="L176" s="35"/>
      <c r="M176" s="35"/>
      <c r="N176" s="35"/>
      <c r="O176" s="35"/>
      <c r="P176" s="35"/>
      <c r="Q176" s="35"/>
    </row>
    <row r="177" spans="1:17" ht="14.25" customHeight="1">
      <c r="A177" s="35"/>
      <c r="B177" s="35"/>
      <c r="C177" s="35"/>
      <c r="D177" s="35"/>
      <c r="E177" s="36"/>
      <c r="F177" s="35"/>
      <c r="G177" s="35"/>
      <c r="H177" s="35"/>
      <c r="I177" s="35"/>
      <c r="J177" s="35"/>
      <c r="K177" s="35"/>
      <c r="L177" s="35"/>
      <c r="M177" s="35"/>
      <c r="N177" s="35"/>
      <c r="O177" s="35"/>
      <c r="P177" s="35"/>
      <c r="Q177" s="35"/>
    </row>
    <row r="178" spans="1:17" ht="14.25" customHeight="1">
      <c r="A178" s="35"/>
      <c r="B178" s="35"/>
      <c r="C178" s="35"/>
      <c r="D178" s="35"/>
      <c r="E178" s="36"/>
      <c r="F178" s="35"/>
      <c r="G178" s="35"/>
      <c r="H178" s="35"/>
      <c r="I178" s="35"/>
      <c r="J178" s="35"/>
      <c r="K178" s="35"/>
      <c r="L178" s="35"/>
      <c r="M178" s="35"/>
      <c r="N178" s="35"/>
      <c r="O178" s="35"/>
      <c r="P178" s="35"/>
      <c r="Q178" s="35"/>
    </row>
    <row r="179" spans="1:17" ht="14.25" customHeight="1">
      <c r="A179" s="35"/>
      <c r="B179" s="35"/>
      <c r="C179" s="35"/>
      <c r="D179" s="35"/>
      <c r="E179" s="36"/>
      <c r="F179" s="36"/>
      <c r="G179" s="36"/>
      <c r="H179" s="35"/>
      <c r="I179" s="35"/>
      <c r="J179" s="35"/>
      <c r="K179" s="35"/>
      <c r="L179" s="35"/>
      <c r="M179" s="35"/>
      <c r="N179" s="35"/>
      <c r="O179" s="35"/>
      <c r="P179" s="35"/>
      <c r="Q179" s="35"/>
    </row>
    <row r="180" spans="1:17" ht="14.25" customHeight="1">
      <c r="A180" s="35"/>
      <c r="B180" s="35"/>
      <c r="C180" s="35"/>
      <c r="D180" s="35"/>
      <c r="E180" s="36"/>
      <c r="F180" s="36"/>
      <c r="G180" s="36"/>
      <c r="H180" s="35"/>
      <c r="I180" s="35"/>
      <c r="J180" s="35"/>
      <c r="K180" s="35"/>
      <c r="L180" s="35"/>
      <c r="M180" s="35"/>
      <c r="N180" s="35"/>
      <c r="O180" s="35"/>
      <c r="P180" s="35"/>
      <c r="Q180" s="35"/>
    </row>
    <row r="181" spans="1:17" ht="14.25" customHeight="1">
      <c r="A181" s="35"/>
      <c r="B181" s="35"/>
      <c r="C181" s="35"/>
      <c r="D181" s="35"/>
      <c r="E181" s="36"/>
      <c r="F181" s="36"/>
      <c r="G181" s="36"/>
      <c r="H181" s="35"/>
      <c r="I181" s="35"/>
      <c r="J181" s="35"/>
      <c r="K181" s="35"/>
      <c r="L181" s="35"/>
      <c r="M181" s="35"/>
      <c r="N181" s="35"/>
      <c r="O181" s="35"/>
      <c r="P181" s="35"/>
      <c r="Q181" s="35"/>
    </row>
    <row r="182" spans="1:17" ht="14.25" customHeight="1">
      <c r="A182" s="35"/>
      <c r="B182" s="35"/>
      <c r="C182" s="35"/>
      <c r="D182" s="35"/>
      <c r="E182" s="36"/>
      <c r="F182" s="36"/>
      <c r="G182" s="36"/>
      <c r="H182" s="35"/>
      <c r="I182" s="35"/>
      <c r="J182" s="35"/>
      <c r="K182" s="35"/>
      <c r="L182" s="35"/>
      <c r="M182" s="35"/>
      <c r="N182" s="35"/>
      <c r="O182" s="35"/>
      <c r="P182" s="35"/>
      <c r="Q182" s="35"/>
    </row>
    <row r="183" spans="1:17" ht="14.25" customHeight="1">
      <c r="A183" s="35"/>
      <c r="B183" s="35"/>
      <c r="C183" s="35"/>
      <c r="D183" s="35"/>
      <c r="E183" s="36"/>
      <c r="F183" s="36"/>
      <c r="G183" s="36"/>
      <c r="H183" s="35"/>
      <c r="I183" s="35"/>
      <c r="J183" s="35"/>
      <c r="K183" s="35"/>
      <c r="L183" s="35"/>
      <c r="M183" s="35"/>
      <c r="N183" s="35"/>
      <c r="O183" s="35"/>
      <c r="P183" s="35"/>
      <c r="Q183" s="35"/>
    </row>
    <row r="184" spans="1:17" ht="14.25" customHeight="1">
      <c r="A184" s="35"/>
      <c r="B184" s="35"/>
      <c r="C184" s="35"/>
      <c r="D184" s="35"/>
      <c r="E184" s="36"/>
      <c r="F184" s="36"/>
      <c r="G184" s="36"/>
      <c r="H184" s="35"/>
      <c r="I184" s="35"/>
      <c r="J184" s="35"/>
      <c r="K184" s="35"/>
      <c r="L184" s="35"/>
      <c r="M184" s="35"/>
      <c r="N184" s="35"/>
      <c r="O184" s="35"/>
      <c r="P184" s="35"/>
      <c r="Q184" s="35"/>
    </row>
    <row r="185" spans="1:17" ht="14.25" customHeight="1">
      <c r="A185" s="35"/>
      <c r="B185" s="35"/>
      <c r="C185" s="35"/>
      <c r="D185" s="35"/>
      <c r="E185" s="36"/>
      <c r="F185" s="36"/>
      <c r="G185" s="36"/>
      <c r="H185" s="35"/>
      <c r="I185" s="35"/>
      <c r="J185" s="35"/>
      <c r="K185" s="35"/>
      <c r="L185" s="35"/>
      <c r="M185" s="35"/>
      <c r="N185" s="35"/>
      <c r="O185" s="35"/>
      <c r="P185" s="35"/>
      <c r="Q185" s="35"/>
    </row>
    <row r="186" spans="1:17" ht="14.25" customHeight="1">
      <c r="A186" s="35"/>
      <c r="B186" s="35"/>
      <c r="C186" s="35"/>
      <c r="D186" s="35"/>
      <c r="E186" s="36"/>
      <c r="F186" s="36"/>
      <c r="G186" s="36"/>
      <c r="H186" s="35"/>
      <c r="I186" s="35"/>
      <c r="J186" s="35"/>
      <c r="K186" s="35"/>
      <c r="L186" s="35"/>
      <c r="M186" s="35"/>
      <c r="N186" s="35"/>
      <c r="O186" s="35"/>
      <c r="P186" s="35"/>
      <c r="Q186" s="35"/>
    </row>
    <row r="187" spans="1:17" ht="14.25" customHeight="1">
      <c r="A187" s="35"/>
      <c r="B187" s="35"/>
      <c r="C187" s="35"/>
      <c r="D187" s="35"/>
      <c r="E187" s="36"/>
      <c r="F187" s="36"/>
      <c r="G187" s="36"/>
      <c r="H187" s="35"/>
      <c r="I187" s="35"/>
      <c r="J187" s="35"/>
      <c r="K187" s="35"/>
      <c r="L187" s="35"/>
      <c r="M187" s="35"/>
      <c r="N187" s="35"/>
      <c r="O187" s="35"/>
      <c r="P187" s="35"/>
      <c r="Q187" s="35"/>
    </row>
    <row r="188" spans="1:17" ht="14.25" customHeight="1">
      <c r="A188" s="35"/>
      <c r="B188" s="35"/>
      <c r="C188" s="35"/>
      <c r="D188" s="35"/>
      <c r="E188" s="36"/>
      <c r="F188" s="36"/>
      <c r="G188" s="36"/>
      <c r="H188" s="35"/>
      <c r="I188" s="35"/>
      <c r="J188" s="35"/>
      <c r="K188" s="35"/>
      <c r="L188" s="35"/>
      <c r="M188" s="35"/>
      <c r="N188" s="35"/>
      <c r="O188" s="35"/>
      <c r="P188" s="35"/>
      <c r="Q188" s="35"/>
    </row>
    <row r="189" spans="1:17" ht="14.25" customHeight="1">
      <c r="A189" s="35"/>
      <c r="B189" s="35"/>
      <c r="C189" s="35"/>
      <c r="D189" s="35"/>
      <c r="E189" s="36"/>
      <c r="F189" s="36"/>
      <c r="G189" s="36"/>
      <c r="H189" s="35"/>
      <c r="I189" s="35"/>
      <c r="J189" s="35"/>
      <c r="K189" s="35"/>
      <c r="L189" s="35"/>
      <c r="M189" s="35"/>
      <c r="N189" s="35"/>
      <c r="O189" s="35"/>
      <c r="P189" s="35"/>
      <c r="Q189" s="35"/>
    </row>
    <row r="190" spans="1:17" ht="14.25" customHeight="1">
      <c r="A190" s="35"/>
      <c r="B190" s="35"/>
      <c r="C190" s="35"/>
      <c r="D190" s="35"/>
      <c r="E190" s="36"/>
      <c r="F190" s="36"/>
      <c r="G190" s="36"/>
      <c r="H190" s="35"/>
      <c r="I190" s="35"/>
      <c r="J190" s="35"/>
      <c r="K190" s="35"/>
      <c r="L190" s="35"/>
      <c r="M190" s="35"/>
      <c r="N190" s="35"/>
      <c r="O190" s="35"/>
      <c r="P190" s="35"/>
      <c r="Q190" s="35"/>
    </row>
    <row r="191" spans="1:17" ht="14.25" customHeight="1">
      <c r="A191" s="35"/>
      <c r="B191" s="35"/>
      <c r="C191" s="35"/>
      <c r="D191" s="35"/>
      <c r="E191" s="36"/>
      <c r="F191" s="36"/>
      <c r="G191" s="36"/>
      <c r="H191" s="35"/>
      <c r="I191" s="35"/>
      <c r="J191" s="35"/>
      <c r="K191" s="35"/>
      <c r="L191" s="35"/>
      <c r="M191" s="35"/>
      <c r="N191" s="35"/>
      <c r="O191" s="35"/>
      <c r="P191" s="35"/>
      <c r="Q191" s="35"/>
    </row>
    <row r="192" spans="1:17" ht="14.25" customHeight="1">
      <c r="A192" s="35"/>
      <c r="B192" s="35"/>
      <c r="C192" s="35"/>
      <c r="D192" s="35"/>
      <c r="E192" s="36"/>
      <c r="F192" s="36"/>
      <c r="G192" s="36"/>
      <c r="H192" s="35"/>
      <c r="I192" s="35"/>
      <c r="J192" s="35"/>
      <c r="K192" s="35"/>
      <c r="L192" s="35"/>
      <c r="M192" s="35"/>
      <c r="N192" s="35"/>
      <c r="O192" s="35"/>
      <c r="P192" s="35"/>
      <c r="Q192" s="35"/>
    </row>
    <row r="193" spans="1:17" ht="14.25" customHeight="1">
      <c r="A193" s="35"/>
      <c r="B193" s="35"/>
      <c r="C193" s="35"/>
      <c r="D193" s="35"/>
      <c r="E193" s="36"/>
      <c r="F193" s="36"/>
      <c r="G193" s="36"/>
      <c r="H193" s="35"/>
      <c r="I193" s="35"/>
      <c r="J193" s="35"/>
      <c r="K193" s="35"/>
      <c r="L193" s="35"/>
      <c r="M193" s="35"/>
      <c r="N193" s="35"/>
      <c r="O193" s="35"/>
      <c r="P193" s="35"/>
      <c r="Q193" s="35"/>
    </row>
    <row r="194" spans="1:17" ht="14.25" customHeight="1">
      <c r="A194" s="35"/>
      <c r="B194" s="35"/>
      <c r="C194" s="35"/>
      <c r="D194" s="35"/>
      <c r="E194" s="36"/>
      <c r="F194" s="36"/>
      <c r="G194" s="36"/>
      <c r="H194" s="35"/>
      <c r="I194" s="35"/>
      <c r="J194" s="35"/>
      <c r="K194" s="35"/>
      <c r="L194" s="35"/>
      <c r="M194" s="35"/>
      <c r="N194" s="35"/>
      <c r="O194" s="35"/>
      <c r="P194" s="35"/>
      <c r="Q194" s="35"/>
    </row>
    <row r="195" spans="1:17" ht="14.25" customHeight="1">
      <c r="A195" s="35"/>
      <c r="B195" s="35"/>
      <c r="C195" s="35"/>
      <c r="D195" s="35"/>
      <c r="E195" s="36"/>
      <c r="F195" s="36"/>
      <c r="G195" s="36"/>
      <c r="H195" s="35"/>
      <c r="I195" s="35"/>
      <c r="J195" s="35"/>
      <c r="K195" s="35"/>
      <c r="L195" s="35"/>
      <c r="M195" s="35"/>
      <c r="N195" s="35"/>
      <c r="O195" s="35"/>
      <c r="P195" s="35"/>
      <c r="Q195" s="35"/>
    </row>
    <row r="196" spans="1:17" ht="14.25" customHeight="1">
      <c r="A196" s="35"/>
      <c r="B196" s="35"/>
      <c r="C196" s="35"/>
      <c r="D196" s="35"/>
      <c r="E196" s="36"/>
      <c r="F196" s="36"/>
      <c r="G196" s="36"/>
      <c r="H196" s="35"/>
      <c r="I196" s="35"/>
      <c r="J196" s="35"/>
      <c r="K196" s="35"/>
      <c r="L196" s="35"/>
      <c r="M196" s="35"/>
      <c r="N196" s="35"/>
      <c r="O196" s="35"/>
      <c r="P196" s="35"/>
      <c r="Q196" s="35"/>
    </row>
    <row r="197" spans="1:17" ht="14.25" customHeight="1">
      <c r="A197" s="35"/>
      <c r="B197" s="35"/>
      <c r="C197" s="35"/>
      <c r="D197" s="35"/>
      <c r="E197" s="36"/>
      <c r="F197" s="36"/>
      <c r="G197" s="36"/>
      <c r="H197" s="35"/>
      <c r="I197" s="35"/>
      <c r="J197" s="35"/>
      <c r="K197" s="35"/>
      <c r="L197" s="35"/>
      <c r="M197" s="35"/>
      <c r="N197" s="35"/>
      <c r="O197" s="35"/>
      <c r="P197" s="35"/>
      <c r="Q197" s="35"/>
    </row>
    <row r="198" spans="1:17" ht="14.25" customHeight="1">
      <c r="A198" s="35"/>
      <c r="B198" s="35"/>
      <c r="C198" s="35"/>
      <c r="D198" s="35"/>
      <c r="E198" s="36"/>
      <c r="F198" s="36"/>
      <c r="G198" s="36"/>
      <c r="H198" s="35"/>
      <c r="I198" s="35"/>
      <c r="J198" s="35"/>
      <c r="K198" s="35"/>
      <c r="L198" s="35"/>
      <c r="M198" s="35"/>
      <c r="N198" s="35"/>
      <c r="O198" s="35"/>
      <c r="P198" s="35"/>
      <c r="Q198" s="35"/>
    </row>
    <row r="199" spans="1:17" ht="14.25" customHeight="1">
      <c r="A199" s="35"/>
      <c r="B199" s="35"/>
      <c r="C199" s="35"/>
      <c r="D199" s="35"/>
      <c r="E199" s="36"/>
      <c r="F199" s="36"/>
      <c r="G199" s="36"/>
      <c r="H199" s="35"/>
      <c r="I199" s="35"/>
      <c r="J199" s="35"/>
      <c r="K199" s="35"/>
      <c r="L199" s="35"/>
      <c r="M199" s="35"/>
      <c r="N199" s="35"/>
      <c r="O199" s="35"/>
      <c r="P199" s="35"/>
      <c r="Q199" s="35"/>
    </row>
    <row r="200" spans="1:17" ht="14.25" customHeight="1">
      <c r="A200" s="35"/>
      <c r="B200" s="35"/>
      <c r="C200" s="35"/>
      <c r="D200" s="35"/>
      <c r="E200" s="36"/>
      <c r="F200" s="36"/>
      <c r="G200" s="36"/>
      <c r="H200" s="35"/>
      <c r="I200" s="35"/>
      <c r="J200" s="35"/>
      <c r="K200" s="35"/>
      <c r="L200" s="35"/>
      <c r="M200" s="35"/>
      <c r="N200" s="35"/>
      <c r="O200" s="35"/>
      <c r="P200" s="35"/>
      <c r="Q200" s="35"/>
    </row>
    <row r="201" spans="1:17" ht="14.25" customHeight="1">
      <c r="A201" s="35"/>
      <c r="B201" s="35"/>
      <c r="C201" s="35"/>
      <c r="D201" s="35"/>
      <c r="E201" s="36"/>
      <c r="F201" s="36"/>
      <c r="G201" s="36"/>
      <c r="H201" s="35"/>
      <c r="I201" s="35"/>
      <c r="J201" s="35"/>
      <c r="K201" s="35"/>
      <c r="L201" s="35"/>
      <c r="M201" s="35"/>
      <c r="N201" s="35"/>
      <c r="O201" s="35"/>
      <c r="P201" s="35"/>
      <c r="Q201" s="35"/>
    </row>
    <row r="202" spans="1:17" ht="14.25" customHeight="1">
      <c r="A202" s="35"/>
      <c r="B202" s="35"/>
      <c r="C202" s="35"/>
      <c r="D202" s="35"/>
      <c r="E202" s="36"/>
      <c r="F202" s="36"/>
      <c r="G202" s="36"/>
      <c r="H202" s="35"/>
      <c r="I202" s="35"/>
      <c r="J202" s="35"/>
      <c r="K202" s="35"/>
      <c r="L202" s="35"/>
      <c r="M202" s="35"/>
      <c r="N202" s="35"/>
      <c r="O202" s="35"/>
      <c r="P202" s="35"/>
      <c r="Q202" s="35"/>
    </row>
    <row r="203" spans="1:17" ht="14.25" customHeight="1">
      <c r="A203" s="35"/>
      <c r="B203" s="35"/>
      <c r="C203" s="35"/>
      <c r="D203" s="35"/>
      <c r="E203" s="36"/>
      <c r="F203" s="36"/>
      <c r="G203" s="36"/>
      <c r="H203" s="35"/>
      <c r="I203" s="35"/>
      <c r="J203" s="35"/>
      <c r="K203" s="35"/>
      <c r="L203" s="35"/>
      <c r="M203" s="35"/>
      <c r="N203" s="35"/>
      <c r="O203" s="35"/>
      <c r="P203" s="35"/>
      <c r="Q203" s="35"/>
    </row>
    <row r="204" spans="1:17" ht="14.25" customHeight="1">
      <c r="A204" s="35"/>
      <c r="B204" s="35"/>
      <c r="C204" s="35"/>
      <c r="D204" s="35"/>
      <c r="E204" s="36"/>
      <c r="F204" s="36"/>
      <c r="G204" s="36"/>
      <c r="H204" s="35"/>
      <c r="I204" s="35"/>
      <c r="J204" s="35"/>
      <c r="K204" s="35"/>
      <c r="L204" s="35"/>
      <c r="M204" s="35"/>
      <c r="N204" s="35"/>
      <c r="O204" s="35"/>
      <c r="P204" s="35"/>
      <c r="Q204" s="35"/>
    </row>
    <row r="205" spans="1:17" ht="14.25" customHeight="1">
      <c r="A205" s="35"/>
      <c r="B205" s="35"/>
      <c r="C205" s="35"/>
      <c r="D205" s="35"/>
      <c r="E205" s="36"/>
      <c r="F205" s="36"/>
      <c r="G205" s="36"/>
      <c r="H205" s="35"/>
      <c r="I205" s="35"/>
      <c r="J205" s="35"/>
      <c r="K205" s="35"/>
      <c r="L205" s="35"/>
      <c r="M205" s="35"/>
      <c r="N205" s="35"/>
      <c r="O205" s="35"/>
      <c r="P205" s="35"/>
      <c r="Q205" s="35"/>
    </row>
    <row r="206" spans="1:17" ht="14.25" customHeight="1">
      <c r="A206" s="35"/>
      <c r="B206" s="35"/>
      <c r="C206" s="35"/>
      <c r="D206" s="35"/>
      <c r="E206" s="36"/>
      <c r="F206" s="36"/>
      <c r="G206" s="36"/>
      <c r="H206" s="35"/>
      <c r="I206" s="35"/>
      <c r="J206" s="35"/>
      <c r="K206" s="35"/>
      <c r="L206" s="35"/>
      <c r="M206" s="35"/>
      <c r="N206" s="35"/>
      <c r="O206" s="35"/>
      <c r="P206" s="35"/>
      <c r="Q206" s="35"/>
    </row>
    <row r="207" spans="1:17" ht="14.25" customHeight="1">
      <c r="A207" s="35"/>
      <c r="B207" s="35"/>
      <c r="C207" s="35"/>
      <c r="D207" s="35"/>
      <c r="E207" s="36"/>
      <c r="F207" s="36"/>
      <c r="G207" s="36"/>
      <c r="H207" s="35"/>
      <c r="I207" s="35"/>
      <c r="J207" s="35"/>
      <c r="K207" s="35"/>
      <c r="L207" s="35"/>
      <c r="M207" s="35"/>
      <c r="N207" s="35"/>
      <c r="O207" s="35"/>
      <c r="P207" s="35"/>
      <c r="Q207" s="35"/>
    </row>
    <row r="208" spans="1:17" ht="14.25" customHeight="1">
      <c r="A208" s="35"/>
      <c r="B208" s="35"/>
      <c r="C208" s="35"/>
      <c r="D208" s="35"/>
      <c r="E208" s="36"/>
      <c r="F208" s="36"/>
      <c r="G208" s="36"/>
      <c r="H208" s="35"/>
      <c r="I208" s="35"/>
      <c r="J208" s="35"/>
      <c r="K208" s="35"/>
      <c r="L208" s="35"/>
      <c r="M208" s="35"/>
      <c r="N208" s="35"/>
      <c r="O208" s="35"/>
      <c r="P208" s="35"/>
      <c r="Q208" s="35"/>
    </row>
    <row r="209" spans="1:17" ht="14.25" customHeight="1">
      <c r="A209" s="35"/>
      <c r="B209" s="35"/>
      <c r="C209" s="35"/>
      <c r="D209" s="35"/>
      <c r="E209" s="36"/>
      <c r="F209" s="36"/>
      <c r="G209" s="36"/>
      <c r="H209" s="35"/>
      <c r="I209" s="35"/>
      <c r="J209" s="35"/>
      <c r="K209" s="35"/>
      <c r="L209" s="35"/>
      <c r="M209" s="35"/>
      <c r="N209" s="35"/>
      <c r="O209" s="35"/>
      <c r="P209" s="35"/>
      <c r="Q209" s="35"/>
    </row>
    <row r="210" spans="1:17" ht="14.25" customHeight="1">
      <c r="A210" s="35"/>
      <c r="B210" s="35"/>
      <c r="C210" s="35"/>
      <c r="D210" s="35"/>
      <c r="E210" s="36"/>
      <c r="F210" s="36"/>
      <c r="G210" s="36"/>
      <c r="H210" s="35"/>
      <c r="I210" s="35"/>
      <c r="J210" s="35"/>
      <c r="K210" s="35"/>
      <c r="L210" s="35"/>
      <c r="M210" s="35"/>
      <c r="N210" s="35"/>
      <c r="O210" s="35"/>
      <c r="P210" s="35"/>
      <c r="Q210" s="35"/>
    </row>
    <row r="211" spans="1:17" ht="14.25" customHeight="1">
      <c r="A211" s="35"/>
      <c r="B211" s="35"/>
      <c r="C211" s="35"/>
      <c r="D211" s="35"/>
      <c r="E211" s="36"/>
      <c r="F211" s="36"/>
      <c r="G211" s="36"/>
      <c r="H211" s="35"/>
      <c r="I211" s="35"/>
      <c r="J211" s="35"/>
      <c r="K211" s="35"/>
      <c r="L211" s="35"/>
      <c r="M211" s="35"/>
      <c r="N211" s="35"/>
      <c r="O211" s="35"/>
      <c r="P211" s="35"/>
      <c r="Q211" s="35"/>
    </row>
    <row r="212" spans="1:17" ht="14.25" customHeight="1">
      <c r="A212" s="35"/>
      <c r="B212" s="35"/>
      <c r="C212" s="35"/>
      <c r="D212" s="35"/>
      <c r="E212" s="36"/>
      <c r="F212" s="36"/>
      <c r="G212" s="36"/>
      <c r="H212" s="35"/>
      <c r="I212" s="35"/>
      <c r="J212" s="35"/>
      <c r="K212" s="35"/>
      <c r="L212" s="35"/>
      <c r="M212" s="35"/>
      <c r="N212" s="35"/>
      <c r="O212" s="35"/>
      <c r="P212" s="35"/>
      <c r="Q212" s="35"/>
    </row>
    <row r="213" spans="1:17" ht="14.25" customHeight="1">
      <c r="A213" s="35"/>
      <c r="B213" s="35"/>
      <c r="C213" s="35"/>
      <c r="D213" s="35"/>
      <c r="E213" s="36"/>
      <c r="F213" s="36"/>
      <c r="G213" s="36"/>
      <c r="H213" s="35"/>
      <c r="I213" s="35"/>
      <c r="J213" s="35"/>
      <c r="K213" s="35"/>
      <c r="L213" s="35"/>
      <c r="M213" s="35"/>
      <c r="N213" s="35"/>
      <c r="O213" s="35"/>
      <c r="P213" s="35"/>
      <c r="Q213" s="35"/>
    </row>
    <row r="214" spans="1:17" ht="14.25" customHeight="1">
      <c r="A214" s="35"/>
      <c r="B214" s="35"/>
      <c r="C214" s="35"/>
      <c r="D214" s="35"/>
      <c r="E214" s="36"/>
      <c r="F214" s="36"/>
      <c r="G214" s="36"/>
      <c r="H214" s="35"/>
      <c r="I214" s="35"/>
      <c r="J214" s="35"/>
      <c r="K214" s="35"/>
      <c r="L214" s="35"/>
      <c r="M214" s="35"/>
      <c r="N214" s="35"/>
      <c r="O214" s="35"/>
      <c r="P214" s="35"/>
      <c r="Q214" s="35"/>
    </row>
    <row r="215" spans="1:17" ht="14.25" customHeight="1">
      <c r="A215" s="35"/>
      <c r="B215" s="35"/>
      <c r="C215" s="35"/>
      <c r="D215" s="35"/>
      <c r="E215" s="36"/>
      <c r="F215" s="36"/>
      <c r="G215" s="36"/>
      <c r="H215" s="35"/>
      <c r="I215" s="35"/>
      <c r="J215" s="35"/>
      <c r="K215" s="35"/>
      <c r="L215" s="35"/>
      <c r="M215" s="35"/>
      <c r="N215" s="35"/>
      <c r="O215" s="35"/>
      <c r="P215" s="35"/>
      <c r="Q215" s="35"/>
    </row>
    <row r="216" spans="1:17" ht="14.25" customHeight="1">
      <c r="A216" s="35"/>
      <c r="B216" s="35"/>
      <c r="C216" s="35"/>
      <c r="D216" s="35"/>
      <c r="E216" s="36"/>
      <c r="F216" s="36"/>
      <c r="G216" s="36"/>
      <c r="H216" s="35"/>
      <c r="I216" s="35"/>
      <c r="J216" s="35"/>
      <c r="K216" s="35"/>
      <c r="L216" s="35"/>
      <c r="M216" s="35"/>
      <c r="N216" s="35"/>
      <c r="O216" s="35"/>
      <c r="P216" s="35"/>
      <c r="Q216" s="35"/>
    </row>
    <row r="217" spans="1:17" ht="14.25" customHeight="1">
      <c r="A217" s="35"/>
      <c r="B217" s="35"/>
      <c r="C217" s="35"/>
      <c r="D217" s="35"/>
      <c r="E217" s="36"/>
      <c r="F217" s="36"/>
      <c r="G217" s="36"/>
      <c r="H217" s="35"/>
      <c r="I217" s="35"/>
      <c r="J217" s="35"/>
      <c r="K217" s="35"/>
      <c r="L217" s="35"/>
      <c r="M217" s="35"/>
      <c r="N217" s="35"/>
      <c r="O217" s="35"/>
      <c r="P217" s="35"/>
      <c r="Q217" s="35"/>
    </row>
    <row r="218" spans="1:17" ht="14.25" customHeight="1">
      <c r="A218" s="35"/>
      <c r="B218" s="35"/>
      <c r="C218" s="35"/>
      <c r="D218" s="35"/>
      <c r="E218" s="36"/>
      <c r="F218" s="36"/>
      <c r="G218" s="36"/>
      <c r="H218" s="35"/>
      <c r="I218" s="35"/>
      <c r="J218" s="35"/>
      <c r="K218" s="35"/>
      <c r="L218" s="35"/>
      <c r="M218" s="35"/>
      <c r="N218" s="35"/>
      <c r="O218" s="35"/>
      <c r="P218" s="35"/>
      <c r="Q218" s="35"/>
    </row>
    <row r="219" spans="1:17" ht="14.25" customHeight="1">
      <c r="A219" s="35"/>
      <c r="B219" s="35"/>
      <c r="C219" s="35"/>
      <c r="D219" s="35"/>
      <c r="E219" s="36"/>
      <c r="F219" s="36"/>
      <c r="G219" s="36"/>
      <c r="H219" s="35"/>
      <c r="I219" s="35"/>
      <c r="J219" s="35"/>
      <c r="K219" s="35"/>
      <c r="L219" s="35"/>
      <c r="M219" s="35"/>
      <c r="N219" s="35"/>
      <c r="O219" s="35"/>
      <c r="P219" s="35"/>
      <c r="Q219" s="35"/>
    </row>
    <row r="220" spans="1:17" ht="14.25" customHeight="1">
      <c r="A220" s="35"/>
      <c r="B220" s="35"/>
      <c r="C220" s="35"/>
      <c r="D220" s="35"/>
      <c r="E220" s="36"/>
      <c r="F220" s="36"/>
      <c r="G220" s="36"/>
      <c r="H220" s="35"/>
      <c r="I220" s="35"/>
      <c r="J220" s="35"/>
      <c r="K220" s="35"/>
      <c r="L220" s="35"/>
      <c r="M220" s="35"/>
      <c r="N220" s="35"/>
      <c r="O220" s="35"/>
      <c r="P220" s="35"/>
      <c r="Q220" s="35"/>
    </row>
    <row r="221" spans="1:17" ht="14.25" customHeight="1">
      <c r="A221" s="35"/>
      <c r="B221" s="35"/>
      <c r="C221" s="35"/>
      <c r="D221" s="35"/>
      <c r="E221" s="36"/>
      <c r="F221" s="36"/>
      <c r="G221" s="36"/>
      <c r="H221" s="35"/>
      <c r="I221" s="35"/>
      <c r="J221" s="35"/>
      <c r="K221" s="35"/>
      <c r="L221" s="35"/>
      <c r="M221" s="35"/>
      <c r="N221" s="35"/>
      <c r="O221" s="35"/>
      <c r="P221" s="35"/>
      <c r="Q221" s="35"/>
    </row>
    <row r="222" spans="1:17" ht="14.25" customHeight="1">
      <c r="A222" s="35"/>
      <c r="B222" s="35"/>
      <c r="C222" s="35"/>
      <c r="D222" s="35"/>
      <c r="E222" s="36"/>
      <c r="F222" s="36"/>
      <c r="G222" s="36"/>
      <c r="H222" s="35"/>
      <c r="I222" s="35"/>
      <c r="J222" s="35"/>
      <c r="K222" s="35"/>
      <c r="L222" s="35"/>
      <c r="M222" s="35"/>
      <c r="N222" s="35"/>
      <c r="O222" s="35"/>
      <c r="P222" s="35"/>
      <c r="Q222" s="35"/>
    </row>
    <row r="223" spans="1:17" ht="14.25" customHeight="1">
      <c r="A223" s="35"/>
      <c r="B223" s="35"/>
      <c r="C223" s="35"/>
      <c r="D223" s="35"/>
      <c r="E223" s="36"/>
      <c r="F223" s="36"/>
      <c r="G223" s="36"/>
      <c r="H223" s="35"/>
      <c r="I223" s="35"/>
      <c r="J223" s="35"/>
      <c r="K223" s="35"/>
      <c r="L223" s="35"/>
      <c r="M223" s="35"/>
      <c r="N223" s="35"/>
      <c r="O223" s="35"/>
      <c r="P223" s="35"/>
      <c r="Q223" s="35"/>
    </row>
    <row r="224" spans="1:17" ht="14.25" customHeight="1">
      <c r="A224" s="35"/>
      <c r="B224" s="35"/>
      <c r="C224" s="35"/>
      <c r="D224" s="35"/>
      <c r="E224" s="36"/>
      <c r="F224" s="36"/>
      <c r="G224" s="36"/>
      <c r="H224" s="35"/>
      <c r="I224" s="35"/>
      <c r="J224" s="35"/>
      <c r="K224" s="35"/>
      <c r="L224" s="35"/>
      <c r="M224" s="35"/>
      <c r="N224" s="35"/>
      <c r="O224" s="35"/>
      <c r="P224" s="35"/>
      <c r="Q224" s="35"/>
    </row>
    <row r="225" spans="1:17" ht="14.25" customHeight="1">
      <c r="A225" s="35"/>
      <c r="B225" s="35"/>
      <c r="C225" s="35"/>
      <c r="D225" s="35"/>
      <c r="E225" s="36"/>
      <c r="F225" s="36"/>
      <c r="G225" s="36"/>
      <c r="H225" s="35"/>
      <c r="I225" s="35"/>
      <c r="J225" s="35"/>
      <c r="K225" s="35"/>
      <c r="L225" s="35"/>
      <c r="M225" s="35"/>
      <c r="N225" s="35"/>
      <c r="O225" s="35"/>
      <c r="P225" s="35"/>
      <c r="Q225" s="35"/>
    </row>
    <row r="226" spans="1:17" ht="14.25" customHeight="1">
      <c r="A226" s="35"/>
      <c r="B226" s="35"/>
      <c r="C226" s="35"/>
      <c r="D226" s="35"/>
      <c r="E226" s="36"/>
      <c r="F226" s="36"/>
      <c r="G226" s="36"/>
      <c r="H226" s="35"/>
      <c r="I226" s="35"/>
      <c r="J226" s="35"/>
      <c r="K226" s="35"/>
      <c r="L226" s="35"/>
      <c r="M226" s="35"/>
      <c r="N226" s="35"/>
      <c r="O226" s="35"/>
      <c r="P226" s="35"/>
      <c r="Q226" s="35"/>
    </row>
    <row r="227" spans="1:17" ht="14.25" customHeight="1">
      <c r="A227" s="35"/>
      <c r="B227" s="35"/>
      <c r="C227" s="35"/>
      <c r="D227" s="35"/>
      <c r="E227" s="36"/>
      <c r="F227" s="36"/>
      <c r="G227" s="36"/>
      <c r="H227" s="35"/>
      <c r="I227" s="35"/>
      <c r="J227" s="35"/>
      <c r="K227" s="35"/>
      <c r="L227" s="35"/>
      <c r="M227" s="35"/>
      <c r="N227" s="35"/>
      <c r="O227" s="35"/>
      <c r="P227" s="35"/>
      <c r="Q227" s="35"/>
    </row>
    <row r="228" spans="1:17" ht="14.25" customHeight="1">
      <c r="A228" s="35"/>
      <c r="B228" s="35"/>
      <c r="C228" s="35"/>
      <c r="D228" s="35"/>
      <c r="E228" s="36"/>
      <c r="F228" s="36"/>
      <c r="G228" s="36"/>
      <c r="H228" s="35"/>
      <c r="I228" s="35"/>
      <c r="J228" s="35"/>
      <c r="K228" s="35"/>
      <c r="L228" s="35"/>
      <c r="M228" s="35"/>
      <c r="N228" s="35"/>
      <c r="O228" s="35"/>
      <c r="P228" s="35"/>
      <c r="Q228" s="35"/>
    </row>
    <row r="229" spans="1:17" ht="14.25" customHeight="1">
      <c r="A229" s="35"/>
      <c r="B229" s="35"/>
      <c r="C229" s="35"/>
      <c r="D229" s="35"/>
      <c r="E229" s="36"/>
      <c r="F229" s="36"/>
      <c r="G229" s="36"/>
      <c r="H229" s="35"/>
      <c r="I229" s="35"/>
      <c r="J229" s="35"/>
      <c r="K229" s="35"/>
      <c r="L229" s="35"/>
      <c r="M229" s="35"/>
      <c r="N229" s="35"/>
      <c r="O229" s="35"/>
      <c r="P229" s="35"/>
      <c r="Q229" s="35"/>
    </row>
    <row r="230" spans="1:17" ht="14.25" customHeight="1">
      <c r="A230" s="35"/>
      <c r="B230" s="35"/>
      <c r="C230" s="35"/>
      <c r="D230" s="35"/>
      <c r="E230" s="36"/>
      <c r="F230" s="36"/>
      <c r="G230" s="36"/>
      <c r="H230" s="35"/>
      <c r="I230" s="35"/>
      <c r="J230" s="35"/>
      <c r="K230" s="35"/>
      <c r="L230" s="35"/>
      <c r="M230" s="35"/>
      <c r="N230" s="35"/>
      <c r="O230" s="35"/>
      <c r="P230" s="35"/>
      <c r="Q230" s="35"/>
    </row>
    <row r="231" spans="1:17" ht="14.25" customHeight="1">
      <c r="A231" s="35"/>
      <c r="B231" s="35"/>
      <c r="C231" s="35"/>
      <c r="D231" s="35"/>
      <c r="E231" s="36"/>
      <c r="F231" s="36"/>
      <c r="G231" s="36"/>
      <c r="H231" s="35"/>
      <c r="I231" s="35"/>
      <c r="J231" s="35"/>
      <c r="K231" s="35"/>
      <c r="L231" s="35"/>
      <c r="M231" s="35"/>
      <c r="N231" s="35"/>
      <c r="O231" s="35"/>
      <c r="P231" s="35"/>
      <c r="Q231" s="35"/>
    </row>
    <row r="232" spans="1:17" ht="14.25" customHeight="1">
      <c r="A232" s="35"/>
      <c r="B232" s="35"/>
      <c r="C232" s="35"/>
      <c r="D232" s="35"/>
      <c r="E232" s="36"/>
      <c r="F232" s="36"/>
      <c r="G232" s="36"/>
      <c r="H232" s="35"/>
      <c r="I232" s="35"/>
      <c r="J232" s="35"/>
      <c r="K232" s="35"/>
      <c r="L232" s="35"/>
      <c r="M232" s="35"/>
      <c r="N232" s="35"/>
      <c r="O232" s="35"/>
      <c r="P232" s="35"/>
      <c r="Q232" s="35"/>
    </row>
    <row r="233" spans="1:17" ht="14.25" customHeight="1">
      <c r="A233" s="35"/>
      <c r="B233" s="35"/>
      <c r="C233" s="35"/>
      <c r="D233" s="35"/>
      <c r="E233" s="36"/>
      <c r="F233" s="36"/>
      <c r="G233" s="36"/>
      <c r="H233" s="35"/>
      <c r="I233" s="35"/>
      <c r="J233" s="35"/>
      <c r="K233" s="35"/>
      <c r="L233" s="35"/>
      <c r="M233" s="35"/>
      <c r="N233" s="35"/>
      <c r="O233" s="35"/>
      <c r="P233" s="35"/>
      <c r="Q233" s="35"/>
    </row>
    <row r="234" spans="1:17" ht="14.25" customHeight="1">
      <c r="A234" s="35"/>
      <c r="B234" s="35"/>
      <c r="C234" s="35"/>
      <c r="D234" s="35"/>
      <c r="E234" s="36"/>
      <c r="F234" s="36"/>
      <c r="G234" s="36"/>
      <c r="H234" s="35"/>
      <c r="I234" s="35"/>
      <c r="J234" s="35"/>
      <c r="K234" s="35"/>
      <c r="L234" s="35"/>
      <c r="M234" s="35"/>
      <c r="N234" s="35"/>
      <c r="O234" s="35"/>
      <c r="P234" s="35"/>
      <c r="Q234" s="35"/>
    </row>
    <row r="235" spans="1:17" ht="14.25" customHeight="1">
      <c r="A235" s="35"/>
      <c r="B235" s="35"/>
      <c r="C235" s="35"/>
      <c r="D235" s="35"/>
      <c r="E235" s="36"/>
      <c r="F235" s="36"/>
      <c r="G235" s="36"/>
      <c r="H235" s="35"/>
      <c r="I235" s="35"/>
      <c r="J235" s="35"/>
      <c r="K235" s="35"/>
      <c r="L235" s="35"/>
      <c r="M235" s="35"/>
      <c r="N235" s="35"/>
      <c r="O235" s="35"/>
      <c r="P235" s="35"/>
      <c r="Q235" s="35"/>
    </row>
    <row r="236" spans="1:17" ht="14.25" customHeight="1">
      <c r="A236" s="35"/>
      <c r="B236" s="35"/>
      <c r="C236" s="35"/>
      <c r="D236" s="35"/>
      <c r="E236" s="36"/>
      <c r="F236" s="36"/>
      <c r="G236" s="36"/>
      <c r="H236" s="35"/>
      <c r="I236" s="35"/>
      <c r="J236" s="35"/>
      <c r="K236" s="35"/>
      <c r="L236" s="35"/>
      <c r="M236" s="35"/>
      <c r="N236" s="35"/>
      <c r="O236" s="35"/>
      <c r="P236" s="35"/>
      <c r="Q236" s="35"/>
    </row>
    <row r="237" spans="1:17" ht="14.25" customHeight="1">
      <c r="A237" s="35"/>
      <c r="B237" s="35"/>
      <c r="C237" s="35"/>
      <c r="D237" s="35"/>
      <c r="E237" s="36"/>
      <c r="F237" s="36"/>
      <c r="G237" s="36"/>
      <c r="H237" s="35"/>
      <c r="I237" s="35"/>
      <c r="J237" s="35"/>
      <c r="K237" s="35"/>
      <c r="L237" s="35"/>
      <c r="M237" s="35"/>
      <c r="N237" s="35"/>
      <c r="O237" s="35"/>
      <c r="P237" s="35"/>
      <c r="Q237" s="35"/>
    </row>
    <row r="238" spans="1:17" ht="14.25" customHeight="1">
      <c r="A238" s="35"/>
      <c r="B238" s="35"/>
      <c r="C238" s="35"/>
      <c r="D238" s="35"/>
      <c r="E238" s="36"/>
      <c r="F238" s="36"/>
      <c r="G238" s="36"/>
      <c r="H238" s="35"/>
      <c r="I238" s="35"/>
      <c r="J238" s="35"/>
      <c r="K238" s="35"/>
      <c r="L238" s="35"/>
      <c r="M238" s="35"/>
      <c r="N238" s="35"/>
      <c r="O238" s="35"/>
      <c r="P238" s="35"/>
      <c r="Q238" s="35"/>
    </row>
    <row r="239" spans="1:17" ht="14.25" customHeight="1">
      <c r="A239" s="35"/>
      <c r="B239" s="35"/>
      <c r="C239" s="35"/>
      <c r="D239" s="35"/>
      <c r="E239" s="36"/>
      <c r="F239" s="36"/>
      <c r="G239" s="36"/>
      <c r="H239" s="35"/>
      <c r="I239" s="35"/>
      <c r="J239" s="35"/>
      <c r="K239" s="35"/>
      <c r="L239" s="35"/>
      <c r="M239" s="35"/>
      <c r="N239" s="35"/>
      <c r="O239" s="35"/>
      <c r="P239" s="35"/>
      <c r="Q239" s="35"/>
    </row>
    <row r="240" spans="1:17" ht="14.25" customHeight="1">
      <c r="A240" s="35"/>
      <c r="B240" s="35"/>
      <c r="C240" s="35"/>
      <c r="D240" s="35"/>
      <c r="E240" s="36"/>
      <c r="F240" s="36"/>
      <c r="G240" s="36"/>
      <c r="H240" s="35"/>
      <c r="I240" s="35"/>
      <c r="J240" s="35"/>
      <c r="K240" s="35"/>
      <c r="L240" s="35"/>
      <c r="M240" s="35"/>
      <c r="N240" s="35"/>
      <c r="O240" s="35"/>
      <c r="P240" s="35"/>
      <c r="Q240" s="35"/>
    </row>
    <row r="241" spans="1:17" ht="14.25" customHeight="1">
      <c r="A241" s="35"/>
      <c r="B241" s="35"/>
      <c r="C241" s="35"/>
      <c r="D241" s="35"/>
      <c r="E241" s="36"/>
      <c r="F241" s="36"/>
      <c r="G241" s="36"/>
      <c r="H241" s="35"/>
      <c r="I241" s="35"/>
      <c r="J241" s="35"/>
      <c r="K241" s="35"/>
      <c r="L241" s="35"/>
      <c r="M241" s="35"/>
      <c r="N241" s="35"/>
      <c r="O241" s="35"/>
      <c r="P241" s="35"/>
      <c r="Q241" s="35"/>
    </row>
    <row r="242" spans="1:17" ht="14.25" customHeight="1">
      <c r="A242" s="35"/>
      <c r="B242" s="35"/>
      <c r="C242" s="35"/>
      <c r="D242" s="35"/>
      <c r="E242" s="36"/>
      <c r="F242" s="36"/>
      <c r="G242" s="36"/>
      <c r="H242" s="35"/>
      <c r="I242" s="35"/>
      <c r="J242" s="35"/>
      <c r="K242" s="35"/>
      <c r="L242" s="35"/>
      <c r="M242" s="35"/>
      <c r="N242" s="35"/>
      <c r="O242" s="35"/>
      <c r="P242" s="35"/>
      <c r="Q242" s="35"/>
    </row>
    <row r="243" spans="1:17" ht="14.25" customHeight="1">
      <c r="A243" s="35"/>
      <c r="B243" s="35"/>
      <c r="C243" s="35"/>
      <c r="D243" s="35"/>
      <c r="E243" s="36"/>
      <c r="F243" s="36"/>
      <c r="G243" s="36"/>
      <c r="H243" s="35"/>
      <c r="I243" s="35"/>
      <c r="J243" s="35"/>
      <c r="K243" s="35"/>
      <c r="L243" s="35"/>
      <c r="M243" s="35"/>
      <c r="N243" s="35"/>
      <c r="O243" s="35"/>
      <c r="P243" s="35"/>
      <c r="Q243" s="35"/>
    </row>
    <row r="244" spans="1:17" ht="14.25" customHeight="1">
      <c r="A244" s="35"/>
      <c r="B244" s="35"/>
      <c r="C244" s="35"/>
      <c r="D244" s="35"/>
      <c r="E244" s="36"/>
      <c r="F244" s="36"/>
      <c r="G244" s="36"/>
      <c r="H244" s="35"/>
      <c r="I244" s="35"/>
      <c r="J244" s="35"/>
      <c r="K244" s="35"/>
      <c r="L244" s="35"/>
      <c r="M244" s="35"/>
      <c r="N244" s="35"/>
      <c r="O244" s="35"/>
      <c r="P244" s="35"/>
      <c r="Q244" s="35"/>
    </row>
    <row r="245" spans="1:17" ht="14.25" customHeight="1">
      <c r="A245" s="35"/>
      <c r="B245" s="35"/>
      <c r="C245" s="35"/>
      <c r="D245" s="35"/>
      <c r="E245" s="36"/>
      <c r="F245" s="36"/>
      <c r="G245" s="36"/>
      <c r="H245" s="35"/>
      <c r="I245" s="35"/>
      <c r="J245" s="35"/>
      <c r="K245" s="35"/>
      <c r="L245" s="35"/>
      <c r="M245" s="35"/>
      <c r="N245" s="35"/>
      <c r="O245" s="35"/>
      <c r="P245" s="35"/>
      <c r="Q245" s="35"/>
    </row>
    <row r="246" spans="1:17" ht="14.25" customHeight="1">
      <c r="A246" s="35"/>
      <c r="B246" s="35"/>
      <c r="C246" s="35"/>
      <c r="D246" s="35"/>
      <c r="E246" s="36"/>
      <c r="F246" s="36"/>
      <c r="G246" s="36"/>
      <c r="H246" s="35"/>
      <c r="I246" s="35"/>
      <c r="J246" s="35"/>
      <c r="K246" s="35"/>
      <c r="L246" s="35"/>
      <c r="M246" s="35"/>
      <c r="N246" s="35"/>
      <c r="O246" s="35"/>
      <c r="P246" s="35"/>
      <c r="Q246" s="35"/>
    </row>
    <row r="247" spans="1:17" ht="14.25" customHeight="1">
      <c r="A247" s="35"/>
      <c r="B247" s="35"/>
      <c r="C247" s="35"/>
      <c r="D247" s="35"/>
      <c r="E247" s="36"/>
      <c r="F247" s="36"/>
      <c r="G247" s="36"/>
      <c r="H247" s="35"/>
      <c r="I247" s="35"/>
      <c r="J247" s="35"/>
      <c r="K247" s="35"/>
      <c r="L247" s="35"/>
      <c r="M247" s="35"/>
      <c r="N247" s="35"/>
      <c r="O247" s="35"/>
      <c r="P247" s="35"/>
      <c r="Q247" s="35"/>
    </row>
    <row r="248" spans="1:17" ht="14.25" customHeight="1">
      <c r="A248" s="35"/>
      <c r="B248" s="35"/>
      <c r="C248" s="35"/>
      <c r="D248" s="35"/>
      <c r="E248" s="36"/>
      <c r="F248" s="36"/>
      <c r="G248" s="36"/>
      <c r="H248" s="35"/>
      <c r="I248" s="35"/>
      <c r="J248" s="35"/>
      <c r="K248" s="35"/>
      <c r="L248" s="35"/>
      <c r="M248" s="35"/>
      <c r="N248" s="35"/>
      <c r="O248" s="35"/>
      <c r="P248" s="35"/>
      <c r="Q248" s="35"/>
    </row>
    <row r="249" spans="1:17" ht="14.25" customHeight="1">
      <c r="A249" s="35"/>
      <c r="B249" s="35"/>
      <c r="C249" s="35"/>
      <c r="D249" s="35"/>
      <c r="E249" s="36"/>
      <c r="F249" s="36"/>
      <c r="G249" s="36"/>
      <c r="H249" s="35"/>
      <c r="I249" s="35"/>
      <c r="J249" s="35"/>
      <c r="K249" s="35"/>
      <c r="L249" s="35"/>
      <c r="M249" s="35"/>
      <c r="N249" s="35"/>
      <c r="O249" s="35"/>
      <c r="P249" s="35"/>
      <c r="Q249" s="35"/>
    </row>
    <row r="250" spans="1:17" ht="14.25" customHeight="1">
      <c r="A250" s="35"/>
      <c r="B250" s="35"/>
      <c r="C250" s="35"/>
      <c r="D250" s="35"/>
      <c r="E250" s="36"/>
      <c r="F250" s="36"/>
      <c r="G250" s="36"/>
      <c r="H250" s="35"/>
      <c r="I250" s="35"/>
      <c r="J250" s="35"/>
      <c r="K250" s="35"/>
      <c r="L250" s="35"/>
      <c r="M250" s="35"/>
      <c r="N250" s="35"/>
      <c r="O250" s="35"/>
      <c r="P250" s="35"/>
      <c r="Q250" s="35"/>
    </row>
    <row r="251" spans="1:17" ht="14.25" customHeight="1">
      <c r="A251" s="35"/>
      <c r="B251" s="35"/>
      <c r="C251" s="35"/>
      <c r="D251" s="35"/>
      <c r="E251" s="36"/>
      <c r="F251" s="36"/>
      <c r="G251" s="36"/>
      <c r="H251" s="35"/>
      <c r="I251" s="35"/>
      <c r="J251" s="35"/>
      <c r="K251" s="35"/>
      <c r="L251" s="35"/>
      <c r="M251" s="35"/>
      <c r="N251" s="35"/>
      <c r="O251" s="35"/>
      <c r="P251" s="35"/>
      <c r="Q251" s="35"/>
    </row>
    <row r="252" spans="1:17" ht="14.25" customHeight="1">
      <c r="A252" s="35"/>
      <c r="B252" s="35"/>
      <c r="C252" s="35"/>
      <c r="D252" s="35"/>
      <c r="E252" s="36"/>
      <c r="F252" s="36"/>
      <c r="G252" s="36"/>
      <c r="H252" s="35"/>
      <c r="I252" s="35"/>
      <c r="J252" s="35"/>
      <c r="K252" s="35"/>
      <c r="L252" s="35"/>
      <c r="M252" s="35"/>
      <c r="N252" s="35"/>
      <c r="O252" s="35"/>
      <c r="P252" s="35"/>
      <c r="Q252" s="35"/>
    </row>
    <row r="253" spans="1:17" ht="14.25" customHeight="1">
      <c r="A253" s="35"/>
      <c r="B253" s="35"/>
      <c r="C253" s="35"/>
      <c r="D253" s="35"/>
      <c r="E253" s="36"/>
      <c r="F253" s="36"/>
      <c r="G253" s="36"/>
      <c r="H253" s="35"/>
      <c r="I253" s="35"/>
      <c r="J253" s="35"/>
      <c r="K253" s="35"/>
      <c r="L253" s="35"/>
      <c r="M253" s="35"/>
      <c r="N253" s="35"/>
      <c r="O253" s="35"/>
      <c r="P253" s="35"/>
      <c r="Q253" s="35"/>
    </row>
    <row r="254" spans="1:17" ht="14.25" customHeight="1">
      <c r="A254" s="35"/>
      <c r="B254" s="35"/>
      <c r="C254" s="35"/>
      <c r="D254" s="35"/>
      <c r="E254" s="36"/>
      <c r="F254" s="36"/>
      <c r="G254" s="36"/>
      <c r="H254" s="35"/>
      <c r="I254" s="35"/>
      <c r="J254" s="35"/>
      <c r="K254" s="35"/>
      <c r="L254" s="35"/>
      <c r="M254" s="35"/>
      <c r="N254" s="35"/>
      <c r="O254" s="35"/>
      <c r="P254" s="35"/>
      <c r="Q254" s="35"/>
    </row>
    <row r="255" spans="1:17" ht="14.25" customHeight="1">
      <c r="A255" s="35"/>
      <c r="B255" s="35"/>
      <c r="C255" s="35"/>
      <c r="D255" s="35"/>
      <c r="E255" s="36"/>
      <c r="F255" s="36"/>
      <c r="G255" s="36"/>
      <c r="H255" s="35"/>
      <c r="I255" s="35"/>
      <c r="J255" s="35"/>
      <c r="K255" s="35"/>
      <c r="L255" s="35"/>
      <c r="M255" s="35"/>
      <c r="N255" s="35"/>
      <c r="O255" s="35"/>
      <c r="P255" s="35"/>
      <c r="Q255" s="35"/>
    </row>
    <row r="256" spans="1:17" ht="14.25" customHeight="1">
      <c r="A256" s="35"/>
      <c r="B256" s="35"/>
      <c r="C256" s="35"/>
      <c r="D256" s="35"/>
      <c r="E256" s="36"/>
      <c r="F256" s="36"/>
      <c r="G256" s="36"/>
      <c r="H256" s="35"/>
      <c r="I256" s="35"/>
      <c r="J256" s="35"/>
      <c r="K256" s="35"/>
      <c r="L256" s="35"/>
      <c r="M256" s="35"/>
      <c r="N256" s="35"/>
      <c r="O256" s="35"/>
      <c r="P256" s="35"/>
      <c r="Q256" s="35"/>
    </row>
    <row r="257" spans="1:17" ht="14.25" customHeight="1">
      <c r="A257" s="35"/>
      <c r="B257" s="35"/>
      <c r="C257" s="35"/>
      <c r="D257" s="35"/>
      <c r="E257" s="36"/>
      <c r="F257" s="36"/>
      <c r="G257" s="36"/>
      <c r="H257" s="35"/>
      <c r="I257" s="35"/>
      <c r="J257" s="35"/>
      <c r="K257" s="35"/>
      <c r="L257" s="35"/>
      <c r="M257" s="35"/>
      <c r="N257" s="35"/>
      <c r="O257" s="35"/>
      <c r="P257" s="35"/>
      <c r="Q257" s="35"/>
    </row>
    <row r="258" spans="1:17" ht="14.25" customHeight="1">
      <c r="A258" s="35"/>
      <c r="B258" s="35"/>
      <c r="C258" s="35"/>
      <c r="D258" s="35"/>
      <c r="E258" s="36"/>
      <c r="F258" s="36"/>
      <c r="G258" s="36"/>
      <c r="H258" s="35"/>
      <c r="I258" s="35"/>
      <c r="J258" s="35"/>
      <c r="K258" s="35"/>
      <c r="L258" s="35"/>
      <c r="M258" s="35"/>
      <c r="N258" s="35"/>
      <c r="O258" s="35"/>
      <c r="P258" s="35"/>
      <c r="Q258" s="35"/>
    </row>
    <row r="259" spans="1:17" ht="14.25" customHeight="1">
      <c r="A259" s="35"/>
      <c r="B259" s="35"/>
      <c r="C259" s="35"/>
      <c r="D259" s="35"/>
      <c r="E259" s="36"/>
      <c r="F259" s="36"/>
      <c r="G259" s="36"/>
      <c r="H259" s="35"/>
      <c r="I259" s="35"/>
      <c r="J259" s="35"/>
      <c r="K259" s="35"/>
      <c r="L259" s="35"/>
      <c r="M259" s="35"/>
      <c r="N259" s="35"/>
      <c r="O259" s="35"/>
      <c r="P259" s="35"/>
      <c r="Q259" s="35"/>
    </row>
    <row r="260" spans="1:17" ht="14.25" customHeight="1">
      <c r="A260" s="35"/>
      <c r="B260" s="35"/>
      <c r="C260" s="35"/>
      <c r="D260" s="35"/>
      <c r="E260" s="36"/>
      <c r="F260" s="36"/>
      <c r="G260" s="36"/>
      <c r="H260" s="35"/>
      <c r="I260" s="35"/>
      <c r="J260" s="35"/>
      <c r="K260" s="35"/>
      <c r="L260" s="35"/>
      <c r="M260" s="35"/>
      <c r="N260" s="35"/>
      <c r="O260" s="35"/>
      <c r="P260" s="35"/>
      <c r="Q260" s="35"/>
    </row>
    <row r="261" spans="1:17" ht="14.25" customHeight="1">
      <c r="A261" s="35"/>
      <c r="B261" s="35"/>
      <c r="C261" s="35"/>
      <c r="D261" s="35"/>
      <c r="E261" s="36"/>
      <c r="F261" s="36"/>
      <c r="G261" s="36"/>
      <c r="H261" s="35"/>
      <c r="I261" s="35"/>
      <c r="J261" s="35"/>
      <c r="K261" s="35"/>
      <c r="L261" s="35"/>
      <c r="M261" s="35"/>
      <c r="N261" s="35"/>
      <c r="O261" s="35"/>
      <c r="P261" s="35"/>
      <c r="Q261" s="35"/>
    </row>
    <row r="262" spans="1:17" ht="14.25" customHeight="1">
      <c r="A262" s="35"/>
      <c r="B262" s="35"/>
      <c r="C262" s="35"/>
      <c r="D262" s="35"/>
      <c r="E262" s="36"/>
      <c r="F262" s="36"/>
      <c r="G262" s="36"/>
      <c r="H262" s="35"/>
      <c r="I262" s="35"/>
      <c r="J262" s="35"/>
      <c r="K262" s="35"/>
      <c r="L262" s="35"/>
      <c r="M262" s="35"/>
      <c r="N262" s="35"/>
      <c r="O262" s="35"/>
      <c r="P262" s="35"/>
      <c r="Q262" s="35"/>
    </row>
    <row r="263" spans="1:17" ht="14.25" customHeight="1">
      <c r="A263" s="35"/>
      <c r="B263" s="35"/>
      <c r="C263" s="35"/>
      <c r="D263" s="35"/>
      <c r="E263" s="36"/>
      <c r="F263" s="36"/>
      <c r="G263" s="36"/>
      <c r="H263" s="35"/>
      <c r="I263" s="35"/>
      <c r="J263" s="35"/>
      <c r="K263" s="35"/>
      <c r="L263" s="35"/>
      <c r="M263" s="35"/>
      <c r="N263" s="35"/>
      <c r="O263" s="35"/>
      <c r="P263" s="35"/>
      <c r="Q263" s="35"/>
    </row>
    <row r="264" spans="1:17" ht="14.25" customHeight="1">
      <c r="A264" s="35"/>
      <c r="B264" s="35"/>
      <c r="C264" s="35"/>
      <c r="D264" s="35"/>
      <c r="E264" s="36"/>
      <c r="F264" s="36"/>
      <c r="G264" s="36"/>
      <c r="H264" s="35"/>
      <c r="I264" s="35"/>
      <c r="J264" s="35"/>
      <c r="K264" s="35"/>
      <c r="L264" s="35"/>
      <c r="M264" s="35"/>
      <c r="N264" s="35"/>
      <c r="O264" s="35"/>
      <c r="P264" s="35"/>
      <c r="Q264" s="35"/>
    </row>
    <row r="265" spans="1:17" ht="14.25" customHeight="1">
      <c r="A265" s="35"/>
      <c r="B265" s="35"/>
      <c r="C265" s="35"/>
      <c r="D265" s="35"/>
      <c r="E265" s="36"/>
      <c r="F265" s="36"/>
      <c r="G265" s="36"/>
      <c r="H265" s="35"/>
      <c r="I265" s="35"/>
      <c r="J265" s="35"/>
      <c r="K265" s="35"/>
      <c r="L265" s="35"/>
      <c r="M265" s="35"/>
      <c r="N265" s="35"/>
      <c r="O265" s="35"/>
      <c r="P265" s="35"/>
      <c r="Q265" s="35"/>
    </row>
    <row r="266" spans="1:17" ht="14.25" customHeight="1">
      <c r="A266" s="35"/>
      <c r="B266" s="35"/>
      <c r="C266" s="35"/>
      <c r="D266" s="35"/>
      <c r="E266" s="36"/>
      <c r="F266" s="36"/>
      <c r="G266" s="36"/>
      <c r="H266" s="35"/>
      <c r="I266" s="35"/>
      <c r="J266" s="35"/>
      <c r="K266" s="35"/>
      <c r="L266" s="35"/>
      <c r="M266" s="35"/>
      <c r="N266" s="35"/>
      <c r="O266" s="35"/>
      <c r="P266" s="35"/>
      <c r="Q266" s="35"/>
    </row>
    <row r="267" spans="1:17" ht="14.25" customHeight="1">
      <c r="A267" s="35"/>
      <c r="B267" s="35"/>
      <c r="C267" s="35"/>
      <c r="D267" s="35"/>
      <c r="E267" s="36"/>
      <c r="F267" s="36"/>
      <c r="G267" s="36"/>
      <c r="H267" s="35"/>
      <c r="I267" s="35"/>
      <c r="J267" s="35"/>
      <c r="K267" s="35"/>
      <c r="L267" s="35"/>
      <c r="M267" s="35"/>
      <c r="N267" s="35"/>
      <c r="O267" s="35"/>
      <c r="P267" s="35"/>
      <c r="Q267" s="35"/>
    </row>
    <row r="268" spans="1:17" ht="14.25" customHeight="1">
      <c r="A268" s="35"/>
      <c r="B268" s="35"/>
      <c r="C268" s="35"/>
      <c r="D268" s="35"/>
      <c r="E268" s="36"/>
      <c r="F268" s="36"/>
      <c r="G268" s="36"/>
      <c r="H268" s="35"/>
      <c r="I268" s="35"/>
      <c r="J268" s="35"/>
      <c r="K268" s="35"/>
      <c r="L268" s="35"/>
      <c r="M268" s="35"/>
      <c r="N268" s="35"/>
      <c r="O268" s="35"/>
      <c r="P268" s="35"/>
      <c r="Q268" s="35"/>
    </row>
    <row r="269" spans="1:17" ht="14.25" customHeight="1">
      <c r="A269" s="35"/>
      <c r="B269" s="35"/>
      <c r="C269" s="35"/>
      <c r="D269" s="35"/>
      <c r="E269" s="36"/>
      <c r="F269" s="36"/>
      <c r="G269" s="36"/>
      <c r="H269" s="35"/>
      <c r="I269" s="35"/>
      <c r="J269" s="35"/>
      <c r="K269" s="35"/>
      <c r="L269" s="35"/>
      <c r="M269" s="35"/>
      <c r="N269" s="35"/>
      <c r="O269" s="35"/>
      <c r="P269" s="35"/>
      <c r="Q269" s="35"/>
    </row>
    <row r="270" spans="1:17" ht="14.25" customHeight="1">
      <c r="A270" s="35"/>
      <c r="B270" s="35"/>
      <c r="C270" s="35"/>
      <c r="D270" s="35"/>
      <c r="E270" s="36"/>
      <c r="F270" s="36"/>
      <c r="G270" s="36"/>
      <c r="H270" s="35"/>
      <c r="I270" s="35"/>
      <c r="J270" s="35"/>
      <c r="K270" s="35"/>
      <c r="L270" s="35"/>
      <c r="M270" s="35"/>
      <c r="N270" s="35"/>
      <c r="O270" s="35"/>
      <c r="P270" s="35"/>
      <c r="Q270" s="35"/>
    </row>
    <row r="271" spans="1:17" ht="14.25" customHeight="1">
      <c r="A271" s="35"/>
      <c r="B271" s="35"/>
      <c r="C271" s="35"/>
      <c r="D271" s="35"/>
      <c r="E271" s="36"/>
      <c r="F271" s="36"/>
      <c r="G271" s="36"/>
      <c r="H271" s="35"/>
      <c r="I271" s="35"/>
      <c r="J271" s="35"/>
      <c r="K271" s="35"/>
      <c r="L271" s="35"/>
      <c r="M271" s="35"/>
      <c r="N271" s="35"/>
      <c r="O271" s="35"/>
      <c r="P271" s="35"/>
      <c r="Q271" s="35"/>
    </row>
    <row r="272" spans="1:17" ht="14.25" customHeight="1">
      <c r="A272" s="35"/>
      <c r="B272" s="35"/>
      <c r="C272" s="35"/>
      <c r="D272" s="35"/>
      <c r="E272" s="36"/>
      <c r="F272" s="36"/>
      <c r="G272" s="36"/>
      <c r="H272" s="35"/>
      <c r="I272" s="35"/>
      <c r="J272" s="35"/>
      <c r="K272" s="35"/>
      <c r="L272" s="35"/>
      <c r="M272" s="35"/>
      <c r="N272" s="35"/>
      <c r="O272" s="35"/>
      <c r="P272" s="35"/>
      <c r="Q272" s="35"/>
    </row>
    <row r="273" spans="1:17" ht="14.25" customHeight="1">
      <c r="A273" s="35"/>
      <c r="B273" s="35"/>
      <c r="C273" s="35"/>
      <c r="D273" s="35"/>
      <c r="E273" s="36"/>
      <c r="F273" s="36"/>
      <c r="G273" s="36"/>
      <c r="H273" s="35"/>
      <c r="I273" s="35"/>
      <c r="J273" s="35"/>
      <c r="K273" s="35"/>
      <c r="L273" s="35"/>
      <c r="M273" s="35"/>
      <c r="N273" s="35"/>
      <c r="O273" s="35"/>
      <c r="P273" s="35"/>
      <c r="Q273" s="35"/>
    </row>
    <row r="274" spans="1:17" ht="14.25" customHeight="1">
      <c r="A274" s="35"/>
      <c r="B274" s="35"/>
      <c r="C274" s="35"/>
      <c r="D274" s="35"/>
      <c r="E274" s="36"/>
      <c r="F274" s="36"/>
      <c r="G274" s="36"/>
      <c r="H274" s="35"/>
      <c r="I274" s="35"/>
      <c r="J274" s="35"/>
      <c r="K274" s="35"/>
      <c r="L274" s="35"/>
      <c r="M274" s="35"/>
      <c r="N274" s="35"/>
      <c r="O274" s="35"/>
      <c r="P274" s="35"/>
      <c r="Q274" s="35"/>
    </row>
    <row r="275" spans="1:17" ht="14.25" customHeight="1">
      <c r="A275" s="35"/>
      <c r="B275" s="35"/>
      <c r="C275" s="35"/>
      <c r="D275" s="35"/>
      <c r="E275" s="36"/>
      <c r="F275" s="36"/>
      <c r="G275" s="36"/>
      <c r="H275" s="35"/>
      <c r="I275" s="35"/>
      <c r="J275" s="35"/>
      <c r="K275" s="35"/>
      <c r="L275" s="35"/>
      <c r="M275" s="35"/>
      <c r="N275" s="35"/>
      <c r="O275" s="35"/>
      <c r="P275" s="35"/>
      <c r="Q275" s="35"/>
    </row>
    <row r="276" spans="1:17" ht="14.25" customHeight="1">
      <c r="A276" s="35"/>
      <c r="B276" s="35"/>
      <c r="C276" s="35"/>
      <c r="D276" s="35"/>
      <c r="E276" s="36"/>
      <c r="F276" s="36"/>
      <c r="G276" s="36"/>
      <c r="H276" s="35"/>
      <c r="I276" s="35"/>
      <c r="J276" s="35"/>
      <c r="K276" s="35"/>
      <c r="L276" s="35"/>
      <c r="M276" s="35"/>
      <c r="N276" s="35"/>
      <c r="O276" s="35"/>
      <c r="P276" s="35"/>
      <c r="Q276" s="35"/>
    </row>
    <row r="277" spans="1:17" ht="14.25" customHeight="1">
      <c r="A277" s="35"/>
      <c r="B277" s="35"/>
      <c r="C277" s="35"/>
      <c r="D277" s="35"/>
      <c r="E277" s="36"/>
      <c r="F277" s="36"/>
      <c r="G277" s="36"/>
      <c r="H277" s="35"/>
      <c r="I277" s="35"/>
      <c r="J277" s="35"/>
      <c r="K277" s="35"/>
      <c r="L277" s="35"/>
      <c r="M277" s="35"/>
      <c r="N277" s="35"/>
      <c r="O277" s="35"/>
      <c r="P277" s="35"/>
      <c r="Q277" s="35"/>
    </row>
    <row r="278" spans="1:17" ht="14.25" customHeight="1">
      <c r="A278" s="35"/>
      <c r="B278" s="35"/>
      <c r="C278" s="35"/>
      <c r="D278" s="35"/>
      <c r="E278" s="36"/>
      <c r="F278" s="36"/>
      <c r="G278" s="36"/>
      <c r="H278" s="35"/>
      <c r="I278" s="35"/>
      <c r="J278" s="35"/>
      <c r="K278" s="35"/>
      <c r="L278" s="35"/>
      <c r="M278" s="35"/>
      <c r="N278" s="35"/>
      <c r="O278" s="35"/>
      <c r="P278" s="35"/>
      <c r="Q278" s="35"/>
    </row>
    <row r="279" spans="1:17" ht="14.25" customHeight="1">
      <c r="A279" s="35"/>
      <c r="B279" s="35"/>
      <c r="C279" s="35"/>
      <c r="D279" s="35"/>
      <c r="E279" s="36"/>
      <c r="F279" s="36"/>
      <c r="G279" s="36"/>
      <c r="H279" s="35"/>
      <c r="I279" s="35"/>
      <c r="J279" s="35"/>
      <c r="K279" s="35"/>
      <c r="L279" s="35"/>
      <c r="M279" s="35"/>
      <c r="N279" s="35"/>
      <c r="O279" s="35"/>
      <c r="P279" s="35"/>
      <c r="Q279" s="35"/>
    </row>
    <row r="280" spans="1:17" ht="14.25" customHeight="1">
      <c r="A280" s="35"/>
      <c r="B280" s="35"/>
      <c r="C280" s="35"/>
      <c r="D280" s="35"/>
      <c r="E280" s="36"/>
      <c r="F280" s="36"/>
      <c r="G280" s="36"/>
      <c r="H280" s="35"/>
      <c r="I280" s="35"/>
      <c r="J280" s="35"/>
      <c r="K280" s="35"/>
      <c r="L280" s="35"/>
      <c r="M280" s="35"/>
      <c r="N280" s="35"/>
      <c r="O280" s="35"/>
      <c r="P280" s="35"/>
      <c r="Q280" s="35"/>
    </row>
    <row r="281" spans="1:17" ht="14.25" customHeight="1">
      <c r="A281" s="35"/>
      <c r="B281" s="35"/>
      <c r="C281" s="35"/>
      <c r="D281" s="35"/>
      <c r="E281" s="36"/>
      <c r="F281" s="36"/>
      <c r="G281" s="36"/>
      <c r="H281" s="35"/>
      <c r="I281" s="35"/>
      <c r="J281" s="35"/>
      <c r="K281" s="35"/>
      <c r="L281" s="35"/>
      <c r="M281" s="35"/>
      <c r="N281" s="35"/>
      <c r="O281" s="35"/>
      <c r="P281" s="35"/>
      <c r="Q281" s="35"/>
    </row>
    <row r="282" spans="1:17" ht="14.25" customHeight="1">
      <c r="A282" s="35"/>
      <c r="B282" s="35"/>
      <c r="C282" s="35"/>
      <c r="D282" s="35"/>
      <c r="E282" s="36"/>
      <c r="F282" s="36"/>
      <c r="G282" s="36"/>
      <c r="H282" s="35"/>
      <c r="I282" s="35"/>
      <c r="J282" s="35"/>
      <c r="K282" s="35"/>
      <c r="L282" s="35"/>
      <c r="M282" s="35"/>
      <c r="N282" s="35"/>
      <c r="O282" s="35"/>
      <c r="P282" s="35"/>
      <c r="Q282" s="35"/>
    </row>
    <row r="283" spans="1:17" ht="14.25" customHeight="1">
      <c r="A283" s="35"/>
      <c r="B283" s="35"/>
      <c r="C283" s="35"/>
      <c r="D283" s="35"/>
      <c r="E283" s="36"/>
      <c r="F283" s="36"/>
      <c r="G283" s="36"/>
      <c r="H283" s="35"/>
      <c r="I283" s="35"/>
      <c r="J283" s="35"/>
      <c r="K283" s="35"/>
      <c r="L283" s="35"/>
      <c r="M283" s="35"/>
      <c r="N283" s="35"/>
      <c r="O283" s="35"/>
      <c r="P283" s="35"/>
      <c r="Q283" s="35"/>
    </row>
    <row r="284" spans="1:17" ht="14.25" customHeight="1">
      <c r="A284" s="35"/>
      <c r="B284" s="35"/>
      <c r="C284" s="35"/>
      <c r="D284" s="35"/>
      <c r="E284" s="36"/>
      <c r="F284" s="36"/>
      <c r="G284" s="36"/>
      <c r="H284" s="35"/>
      <c r="I284" s="35"/>
      <c r="J284" s="35"/>
      <c r="K284" s="35"/>
      <c r="L284" s="35"/>
      <c r="M284" s="35"/>
      <c r="N284" s="35"/>
      <c r="O284" s="35"/>
      <c r="P284" s="35"/>
      <c r="Q284" s="35"/>
    </row>
    <row r="285" spans="1:17" ht="14.25" customHeight="1">
      <c r="A285" s="35"/>
      <c r="B285" s="35"/>
      <c r="C285" s="35"/>
      <c r="D285" s="35"/>
      <c r="E285" s="36"/>
      <c r="F285" s="36"/>
      <c r="G285" s="36"/>
      <c r="H285" s="35"/>
      <c r="I285" s="35"/>
      <c r="J285" s="35"/>
      <c r="K285" s="35"/>
      <c r="L285" s="35"/>
      <c r="M285" s="35"/>
      <c r="N285" s="35"/>
      <c r="O285" s="35"/>
      <c r="P285" s="35"/>
      <c r="Q285" s="35"/>
    </row>
    <row r="286" spans="1:17" ht="14.25" customHeight="1">
      <c r="A286" s="35"/>
      <c r="B286" s="35"/>
      <c r="C286" s="35"/>
      <c r="D286" s="35"/>
      <c r="E286" s="36"/>
      <c r="F286" s="36"/>
      <c r="G286" s="36"/>
      <c r="H286" s="35"/>
      <c r="I286" s="35"/>
      <c r="J286" s="35"/>
      <c r="K286" s="35"/>
      <c r="L286" s="35"/>
      <c r="M286" s="35"/>
      <c r="N286" s="35"/>
      <c r="O286" s="35"/>
      <c r="P286" s="35"/>
      <c r="Q286" s="35"/>
    </row>
    <row r="287" spans="1:17" ht="14.25" customHeight="1">
      <c r="A287" s="35"/>
      <c r="B287" s="35"/>
      <c r="C287" s="35"/>
      <c r="D287" s="35"/>
      <c r="E287" s="36"/>
      <c r="F287" s="36"/>
      <c r="G287" s="36"/>
      <c r="H287" s="35"/>
      <c r="I287" s="35"/>
      <c r="J287" s="35"/>
      <c r="K287" s="35"/>
      <c r="L287" s="35"/>
      <c r="M287" s="35"/>
      <c r="N287" s="35"/>
      <c r="O287" s="35"/>
      <c r="P287" s="35"/>
      <c r="Q287" s="35"/>
    </row>
    <row r="288" spans="1:17" ht="14.25" customHeight="1">
      <c r="A288" s="35"/>
      <c r="B288" s="35"/>
      <c r="C288" s="35"/>
      <c r="D288" s="35"/>
      <c r="E288" s="36"/>
      <c r="F288" s="36"/>
      <c r="G288" s="36"/>
      <c r="H288" s="35"/>
      <c r="I288" s="35"/>
      <c r="J288" s="35"/>
      <c r="K288" s="35"/>
      <c r="L288" s="35"/>
      <c r="M288" s="35"/>
      <c r="N288" s="35"/>
      <c r="O288" s="35"/>
      <c r="P288" s="35"/>
      <c r="Q288" s="35"/>
    </row>
    <row r="289" spans="1:17" ht="14.25" customHeight="1">
      <c r="A289" s="35"/>
      <c r="B289" s="35"/>
      <c r="C289" s="35"/>
      <c r="D289" s="35"/>
      <c r="E289" s="36"/>
      <c r="F289" s="36"/>
      <c r="G289" s="36"/>
      <c r="H289" s="35"/>
      <c r="I289" s="35"/>
      <c r="J289" s="35"/>
      <c r="K289" s="35"/>
      <c r="L289" s="35"/>
      <c r="M289" s="35"/>
      <c r="N289" s="35"/>
      <c r="O289" s="35"/>
      <c r="P289" s="35"/>
      <c r="Q289" s="35"/>
    </row>
    <row r="290" spans="1:17" ht="14.25" customHeight="1">
      <c r="A290" s="35"/>
      <c r="B290" s="35"/>
      <c r="C290" s="35"/>
      <c r="D290" s="35"/>
      <c r="E290" s="36"/>
      <c r="F290" s="36"/>
      <c r="G290" s="36"/>
      <c r="H290" s="35"/>
      <c r="I290" s="35"/>
      <c r="J290" s="35"/>
      <c r="K290" s="35"/>
      <c r="L290" s="35"/>
      <c r="M290" s="35"/>
      <c r="N290" s="35"/>
      <c r="O290" s="35"/>
      <c r="P290" s="35"/>
      <c r="Q290" s="35"/>
    </row>
    <row r="291" spans="1:17" ht="14.25" customHeight="1">
      <c r="A291" s="35"/>
      <c r="B291" s="35"/>
      <c r="C291" s="35"/>
      <c r="D291" s="35"/>
      <c r="E291" s="36"/>
      <c r="F291" s="36"/>
      <c r="G291" s="36"/>
      <c r="H291" s="35"/>
      <c r="I291" s="35"/>
      <c r="J291" s="35"/>
      <c r="K291" s="35"/>
      <c r="L291" s="35"/>
      <c r="M291" s="35"/>
      <c r="N291" s="35"/>
      <c r="O291" s="35"/>
      <c r="P291" s="35"/>
      <c r="Q291" s="35"/>
    </row>
    <row r="292" spans="1:17" ht="14.25" customHeight="1">
      <c r="A292" s="35"/>
      <c r="B292" s="35"/>
      <c r="C292" s="35"/>
      <c r="D292" s="35"/>
      <c r="E292" s="36"/>
      <c r="F292" s="36"/>
      <c r="G292" s="36"/>
      <c r="H292" s="35"/>
      <c r="I292" s="35"/>
      <c r="J292" s="35"/>
      <c r="K292" s="35"/>
      <c r="L292" s="35"/>
      <c r="M292" s="35"/>
      <c r="N292" s="35"/>
      <c r="O292" s="35"/>
      <c r="P292" s="35"/>
      <c r="Q292" s="35"/>
    </row>
    <row r="293" spans="1:17" ht="14.25" customHeight="1">
      <c r="A293" s="35"/>
      <c r="B293" s="35"/>
      <c r="C293" s="35"/>
      <c r="D293" s="35"/>
      <c r="E293" s="36"/>
      <c r="F293" s="36"/>
      <c r="G293" s="36"/>
      <c r="H293" s="35"/>
      <c r="I293" s="35"/>
      <c r="J293" s="35"/>
      <c r="K293" s="35"/>
      <c r="L293" s="35"/>
      <c r="M293" s="35"/>
      <c r="N293" s="35"/>
      <c r="O293" s="35"/>
      <c r="P293" s="35"/>
      <c r="Q293" s="35"/>
    </row>
    <row r="294" spans="1:17" ht="14.25" customHeight="1">
      <c r="A294" s="35"/>
      <c r="B294" s="35"/>
      <c r="C294" s="35"/>
      <c r="D294" s="35"/>
      <c r="E294" s="36"/>
      <c r="F294" s="36"/>
      <c r="G294" s="36"/>
      <c r="H294" s="35"/>
      <c r="I294" s="35"/>
      <c r="J294" s="35"/>
      <c r="K294" s="35"/>
      <c r="L294" s="35"/>
      <c r="M294" s="35"/>
      <c r="N294" s="35"/>
      <c r="O294" s="35"/>
      <c r="P294" s="35"/>
      <c r="Q294" s="35"/>
    </row>
    <row r="295" spans="1:17" ht="14.25" customHeight="1">
      <c r="A295" s="35"/>
      <c r="B295" s="35"/>
      <c r="C295" s="35"/>
      <c r="D295" s="35"/>
      <c r="E295" s="36"/>
      <c r="F295" s="36"/>
      <c r="G295" s="36"/>
      <c r="H295" s="35"/>
      <c r="I295" s="35"/>
      <c r="J295" s="35"/>
      <c r="K295" s="35"/>
      <c r="L295" s="35"/>
      <c r="M295" s="35"/>
      <c r="N295" s="35"/>
      <c r="O295" s="35"/>
      <c r="P295" s="35"/>
      <c r="Q295" s="35"/>
    </row>
    <row r="296" spans="1:17" ht="14.25" customHeight="1">
      <c r="A296" s="35"/>
      <c r="B296" s="35"/>
      <c r="C296" s="35"/>
      <c r="D296" s="35"/>
      <c r="E296" s="36"/>
      <c r="F296" s="36"/>
      <c r="G296" s="36"/>
      <c r="H296" s="35"/>
      <c r="I296" s="35"/>
      <c r="J296" s="35"/>
      <c r="K296" s="35"/>
      <c r="L296" s="35"/>
      <c r="M296" s="35"/>
      <c r="N296" s="35"/>
      <c r="O296" s="35"/>
      <c r="P296" s="35"/>
      <c r="Q296" s="35"/>
    </row>
    <row r="297" spans="1:17" ht="14.25" customHeight="1">
      <c r="A297" s="35"/>
      <c r="B297" s="35"/>
      <c r="C297" s="35"/>
      <c r="D297" s="35"/>
      <c r="E297" s="36"/>
      <c r="F297" s="36"/>
      <c r="G297" s="36"/>
      <c r="H297" s="35"/>
      <c r="I297" s="35"/>
      <c r="J297" s="35"/>
      <c r="K297" s="35"/>
      <c r="L297" s="35"/>
      <c r="M297" s="35"/>
      <c r="N297" s="35"/>
      <c r="O297" s="35"/>
      <c r="P297" s="35"/>
      <c r="Q297" s="35"/>
    </row>
    <row r="298" spans="1:17" ht="14.25" customHeight="1">
      <c r="A298" s="35"/>
      <c r="B298" s="35"/>
      <c r="C298" s="35"/>
      <c r="D298" s="35"/>
      <c r="E298" s="36"/>
      <c r="F298" s="36"/>
      <c r="G298" s="36"/>
      <c r="H298" s="35"/>
      <c r="I298" s="35"/>
      <c r="J298" s="35"/>
      <c r="K298" s="35"/>
      <c r="L298" s="35"/>
      <c r="M298" s="35"/>
      <c r="N298" s="35"/>
      <c r="O298" s="35"/>
      <c r="P298" s="35"/>
      <c r="Q298" s="35"/>
    </row>
    <row r="299" spans="1:17" ht="14.25" customHeight="1">
      <c r="A299" s="35"/>
      <c r="B299" s="35"/>
      <c r="C299" s="35"/>
      <c r="D299" s="35"/>
      <c r="E299" s="36"/>
      <c r="F299" s="36"/>
      <c r="G299" s="36"/>
      <c r="H299" s="35"/>
      <c r="I299" s="35"/>
      <c r="J299" s="35"/>
      <c r="K299" s="35"/>
      <c r="L299" s="35"/>
      <c r="M299" s="35"/>
      <c r="N299" s="35"/>
      <c r="O299" s="35"/>
      <c r="P299" s="35"/>
      <c r="Q299" s="35"/>
    </row>
    <row r="300" spans="1:17" ht="14.25" customHeight="1">
      <c r="A300" s="35"/>
      <c r="B300" s="35"/>
      <c r="C300" s="35"/>
      <c r="D300" s="35"/>
      <c r="E300" s="36"/>
      <c r="F300" s="36"/>
      <c r="G300" s="36"/>
      <c r="H300" s="35"/>
      <c r="I300" s="35"/>
      <c r="J300" s="35"/>
      <c r="K300" s="35"/>
      <c r="L300" s="35"/>
      <c r="M300" s="35"/>
      <c r="N300" s="35"/>
      <c r="O300" s="35"/>
      <c r="P300" s="35"/>
      <c r="Q300" s="35"/>
    </row>
    <row r="301" spans="1:17" ht="14.25" customHeight="1">
      <c r="A301" s="35"/>
      <c r="B301" s="35"/>
      <c r="C301" s="35"/>
      <c r="D301" s="35"/>
      <c r="E301" s="36"/>
      <c r="F301" s="36"/>
      <c r="G301" s="36"/>
      <c r="H301" s="35"/>
      <c r="I301" s="35"/>
      <c r="J301" s="35"/>
      <c r="K301" s="35"/>
      <c r="L301" s="35"/>
      <c r="M301" s="35"/>
      <c r="N301" s="35"/>
      <c r="O301" s="35"/>
      <c r="P301" s="35"/>
      <c r="Q301" s="35"/>
    </row>
    <row r="302" spans="1:17" ht="14.25" customHeight="1">
      <c r="A302" s="35"/>
      <c r="B302" s="35"/>
      <c r="C302" s="35"/>
      <c r="D302" s="35"/>
      <c r="E302" s="36"/>
      <c r="F302" s="36"/>
      <c r="G302" s="36"/>
      <c r="H302" s="35"/>
      <c r="I302" s="35"/>
      <c r="J302" s="35"/>
      <c r="K302" s="35"/>
      <c r="L302" s="35"/>
      <c r="M302" s="35"/>
      <c r="N302" s="35"/>
      <c r="O302" s="35"/>
      <c r="P302" s="35"/>
      <c r="Q302" s="35"/>
    </row>
    <row r="303" spans="1:17" ht="14.25" customHeight="1">
      <c r="A303" s="35"/>
      <c r="B303" s="35"/>
      <c r="C303" s="35"/>
      <c r="D303" s="35"/>
      <c r="E303" s="36"/>
      <c r="F303" s="36"/>
      <c r="G303" s="36"/>
      <c r="H303" s="35"/>
      <c r="I303" s="35"/>
      <c r="J303" s="35"/>
      <c r="K303" s="35"/>
      <c r="L303" s="35"/>
      <c r="M303" s="35"/>
      <c r="N303" s="35"/>
      <c r="O303" s="35"/>
      <c r="P303" s="35"/>
      <c r="Q303" s="35"/>
    </row>
    <row r="304" spans="1:17" ht="14.25" customHeight="1">
      <c r="A304" s="35"/>
      <c r="B304" s="35"/>
      <c r="C304" s="35"/>
      <c r="D304" s="35"/>
      <c r="E304" s="36"/>
      <c r="F304" s="36"/>
      <c r="G304" s="36"/>
      <c r="H304" s="35"/>
      <c r="I304" s="35"/>
      <c r="J304" s="35"/>
      <c r="K304" s="35"/>
      <c r="L304" s="35"/>
      <c r="M304" s="35"/>
      <c r="N304" s="35"/>
      <c r="O304" s="35"/>
      <c r="P304" s="35"/>
      <c r="Q304" s="35"/>
    </row>
    <row r="305" spans="1:17" ht="14.25" customHeight="1">
      <c r="A305" s="35"/>
      <c r="B305" s="35"/>
      <c r="C305" s="35"/>
      <c r="D305" s="35"/>
      <c r="E305" s="36"/>
      <c r="F305" s="36"/>
      <c r="G305" s="36"/>
      <c r="H305" s="35"/>
      <c r="I305" s="35"/>
      <c r="J305" s="35"/>
      <c r="K305" s="35"/>
      <c r="L305" s="35"/>
      <c r="M305" s="35"/>
      <c r="N305" s="35"/>
      <c r="O305" s="35"/>
      <c r="P305" s="35"/>
      <c r="Q305" s="35"/>
    </row>
    <row r="306" spans="1:17" ht="14.25" customHeight="1">
      <c r="A306" s="35"/>
      <c r="B306" s="35"/>
      <c r="C306" s="35"/>
      <c r="D306" s="35"/>
      <c r="E306" s="36"/>
      <c r="F306" s="36"/>
      <c r="G306" s="36"/>
      <c r="H306" s="35"/>
      <c r="I306" s="35"/>
      <c r="J306" s="35"/>
      <c r="K306" s="35"/>
      <c r="L306" s="35"/>
      <c r="M306" s="35"/>
      <c r="N306" s="35"/>
      <c r="O306" s="35"/>
      <c r="P306" s="35"/>
      <c r="Q306" s="35"/>
    </row>
    <row r="307" spans="1:17" ht="14.25" customHeight="1">
      <c r="A307" s="35"/>
      <c r="B307" s="35"/>
      <c r="C307" s="35"/>
      <c r="D307" s="35"/>
      <c r="E307" s="36"/>
      <c r="F307" s="36"/>
      <c r="G307" s="36"/>
      <c r="H307" s="35"/>
      <c r="I307" s="35"/>
      <c r="J307" s="35"/>
      <c r="K307" s="35"/>
      <c r="L307" s="35"/>
      <c r="M307" s="35"/>
      <c r="N307" s="35"/>
      <c r="O307" s="35"/>
      <c r="P307" s="35"/>
      <c r="Q307" s="35"/>
    </row>
    <row r="308" spans="1:17" ht="14.25" customHeight="1">
      <c r="A308" s="35"/>
      <c r="B308" s="35"/>
      <c r="C308" s="35"/>
      <c r="D308" s="35"/>
      <c r="E308" s="36"/>
      <c r="F308" s="36"/>
      <c r="G308" s="36"/>
      <c r="H308" s="35"/>
      <c r="I308" s="35"/>
      <c r="J308" s="35"/>
      <c r="K308" s="35"/>
      <c r="L308" s="35"/>
      <c r="M308" s="35"/>
      <c r="N308" s="35"/>
      <c r="O308" s="35"/>
      <c r="P308" s="35"/>
      <c r="Q308" s="35"/>
    </row>
    <row r="309" spans="1:17" ht="14.25" customHeight="1">
      <c r="A309" s="35"/>
      <c r="B309" s="35"/>
      <c r="C309" s="35"/>
      <c r="D309" s="35"/>
      <c r="E309" s="36"/>
      <c r="F309" s="36"/>
      <c r="G309" s="36"/>
      <c r="H309" s="35"/>
      <c r="I309" s="35"/>
      <c r="J309" s="35"/>
      <c r="K309" s="35"/>
      <c r="L309" s="35"/>
      <c r="M309" s="35"/>
      <c r="N309" s="35"/>
      <c r="O309" s="35"/>
      <c r="P309" s="35"/>
      <c r="Q309" s="35"/>
    </row>
    <row r="310" spans="1:17" ht="14.25" customHeight="1">
      <c r="A310" s="35"/>
      <c r="B310" s="35"/>
      <c r="C310" s="35"/>
      <c r="D310" s="35"/>
      <c r="E310" s="36"/>
      <c r="F310" s="36"/>
      <c r="G310" s="36"/>
      <c r="H310" s="35"/>
      <c r="I310" s="35"/>
      <c r="J310" s="35"/>
      <c r="K310" s="35"/>
      <c r="L310" s="35"/>
      <c r="M310" s="35"/>
      <c r="N310" s="35"/>
      <c r="O310" s="35"/>
      <c r="P310" s="35"/>
      <c r="Q310" s="35"/>
    </row>
    <row r="311" spans="1:17" ht="14.25" customHeight="1">
      <c r="A311" s="35"/>
      <c r="B311" s="35"/>
      <c r="C311" s="35"/>
      <c r="D311" s="35"/>
      <c r="E311" s="36"/>
      <c r="F311" s="36"/>
      <c r="G311" s="36"/>
      <c r="H311" s="35"/>
      <c r="I311" s="35"/>
      <c r="J311" s="35"/>
      <c r="K311" s="35"/>
      <c r="L311" s="35"/>
      <c r="M311" s="35"/>
      <c r="N311" s="35"/>
      <c r="O311" s="35"/>
      <c r="P311" s="35"/>
      <c r="Q311" s="35"/>
    </row>
    <row r="312" spans="1:17" ht="14.25" customHeight="1">
      <c r="A312" s="35"/>
      <c r="B312" s="35"/>
      <c r="C312" s="35"/>
      <c r="D312" s="35"/>
      <c r="E312" s="36"/>
      <c r="F312" s="36"/>
      <c r="G312" s="36"/>
      <c r="H312" s="35"/>
      <c r="I312" s="35"/>
      <c r="J312" s="35"/>
      <c r="K312" s="35"/>
      <c r="L312" s="35"/>
      <c r="M312" s="35"/>
      <c r="N312" s="35"/>
      <c r="O312" s="35"/>
      <c r="P312" s="35"/>
      <c r="Q312" s="35"/>
    </row>
    <row r="313" spans="1:17" ht="14.25" customHeight="1">
      <c r="A313" s="35"/>
      <c r="B313" s="35"/>
      <c r="C313" s="35"/>
      <c r="D313" s="35"/>
      <c r="E313" s="36"/>
      <c r="F313" s="36"/>
      <c r="G313" s="36"/>
      <c r="H313" s="35"/>
      <c r="I313" s="35"/>
      <c r="J313" s="35"/>
      <c r="K313" s="35"/>
      <c r="L313" s="35"/>
      <c r="M313" s="35"/>
      <c r="N313" s="35"/>
      <c r="O313" s="35"/>
      <c r="P313" s="35"/>
      <c r="Q313" s="35"/>
    </row>
    <row r="314" spans="1:17" ht="14.25" customHeight="1">
      <c r="A314" s="35"/>
      <c r="B314" s="35"/>
      <c r="C314" s="35"/>
      <c r="D314" s="35"/>
      <c r="E314" s="36"/>
      <c r="F314" s="36"/>
      <c r="G314" s="36"/>
      <c r="H314" s="35"/>
      <c r="I314" s="35"/>
      <c r="J314" s="35"/>
      <c r="K314" s="35"/>
      <c r="L314" s="35"/>
      <c r="M314" s="35"/>
      <c r="N314" s="35"/>
      <c r="O314" s="35"/>
      <c r="P314" s="35"/>
      <c r="Q314" s="35"/>
    </row>
    <row r="315" spans="1:17" ht="14.25" customHeight="1">
      <c r="A315" s="35"/>
      <c r="B315" s="35"/>
      <c r="C315" s="35"/>
      <c r="D315" s="35"/>
      <c r="E315" s="36"/>
      <c r="F315" s="36"/>
      <c r="G315" s="36"/>
      <c r="H315" s="35"/>
      <c r="I315" s="35"/>
      <c r="J315" s="35"/>
      <c r="K315" s="35"/>
      <c r="L315" s="35"/>
      <c r="M315" s="35"/>
      <c r="N315" s="35"/>
      <c r="O315" s="35"/>
      <c r="P315" s="35"/>
      <c r="Q315" s="35"/>
    </row>
    <row r="316" spans="1:17" ht="14.25" customHeight="1">
      <c r="A316" s="35"/>
      <c r="B316" s="35"/>
      <c r="C316" s="35"/>
      <c r="D316" s="35"/>
      <c r="E316" s="36"/>
      <c r="F316" s="36"/>
      <c r="G316" s="36"/>
      <c r="H316" s="35"/>
      <c r="I316" s="35"/>
      <c r="J316" s="35"/>
      <c r="K316" s="35"/>
      <c r="L316" s="35"/>
      <c r="M316" s="35"/>
      <c r="N316" s="35"/>
      <c r="O316" s="35"/>
      <c r="P316" s="35"/>
      <c r="Q316" s="35"/>
    </row>
    <row r="317" spans="1:17" ht="14.25" customHeight="1">
      <c r="A317" s="35"/>
      <c r="B317" s="35"/>
      <c r="C317" s="35"/>
      <c r="D317" s="35"/>
      <c r="E317" s="36"/>
      <c r="F317" s="36"/>
      <c r="G317" s="36"/>
      <c r="H317" s="35"/>
      <c r="I317" s="35"/>
      <c r="J317" s="35"/>
      <c r="K317" s="35"/>
      <c r="L317" s="35"/>
      <c r="M317" s="35"/>
      <c r="N317" s="35"/>
      <c r="O317" s="35"/>
      <c r="P317" s="35"/>
      <c r="Q317" s="35"/>
    </row>
    <row r="318" spans="1:17" ht="14.25" customHeight="1">
      <c r="A318" s="35"/>
      <c r="B318" s="35"/>
      <c r="C318" s="35"/>
      <c r="D318" s="35"/>
      <c r="E318" s="36"/>
      <c r="F318" s="36"/>
      <c r="G318" s="36"/>
      <c r="H318" s="35"/>
      <c r="I318" s="35"/>
      <c r="J318" s="35"/>
      <c r="K318" s="35"/>
      <c r="L318" s="35"/>
      <c r="M318" s="35"/>
      <c r="N318" s="35"/>
      <c r="O318" s="35"/>
      <c r="P318" s="35"/>
      <c r="Q318" s="35"/>
    </row>
    <row r="319" spans="1:17" ht="14.25" customHeight="1">
      <c r="A319" s="35"/>
      <c r="B319" s="35"/>
      <c r="C319" s="35"/>
      <c r="D319" s="35"/>
      <c r="E319" s="36"/>
      <c r="F319" s="36"/>
      <c r="G319" s="36"/>
      <c r="H319" s="35"/>
      <c r="I319" s="35"/>
      <c r="J319" s="35"/>
      <c r="K319" s="35"/>
      <c r="L319" s="35"/>
      <c r="M319" s="35"/>
      <c r="N319" s="35"/>
      <c r="O319" s="35"/>
      <c r="P319" s="35"/>
      <c r="Q319" s="35"/>
    </row>
    <row r="320" spans="1:17" ht="14.25" customHeight="1">
      <c r="A320" s="35"/>
      <c r="B320" s="35"/>
      <c r="C320" s="35"/>
      <c r="D320" s="35"/>
      <c r="E320" s="36"/>
      <c r="F320" s="36"/>
      <c r="G320" s="36"/>
      <c r="H320" s="35"/>
      <c r="I320" s="35"/>
      <c r="J320" s="35"/>
      <c r="K320" s="35"/>
      <c r="L320" s="35"/>
      <c r="M320" s="35"/>
      <c r="N320" s="35"/>
      <c r="O320" s="35"/>
      <c r="P320" s="35"/>
      <c r="Q320" s="35"/>
    </row>
    <row r="321" spans="1:17" ht="14.25" customHeight="1">
      <c r="A321" s="35"/>
      <c r="B321" s="35"/>
      <c r="C321" s="35"/>
      <c r="D321" s="35"/>
      <c r="E321" s="36"/>
      <c r="F321" s="36"/>
      <c r="G321" s="36"/>
      <c r="H321" s="35"/>
      <c r="I321" s="35"/>
      <c r="J321" s="35"/>
      <c r="K321" s="35"/>
      <c r="L321" s="35"/>
      <c r="M321" s="35"/>
      <c r="N321" s="35"/>
      <c r="O321" s="35"/>
      <c r="P321" s="35"/>
      <c r="Q321" s="35"/>
    </row>
    <row r="322" spans="1:17" ht="14.25" customHeight="1">
      <c r="A322" s="35"/>
      <c r="B322" s="35"/>
      <c r="C322" s="35"/>
      <c r="D322" s="35"/>
      <c r="E322" s="36"/>
      <c r="F322" s="36"/>
      <c r="G322" s="36"/>
      <c r="H322" s="35"/>
      <c r="I322" s="35"/>
      <c r="J322" s="35"/>
      <c r="K322" s="35"/>
      <c r="L322" s="35"/>
      <c r="M322" s="35"/>
      <c r="N322" s="35"/>
      <c r="O322" s="35"/>
      <c r="P322" s="35"/>
      <c r="Q322" s="35"/>
    </row>
    <row r="323" spans="1:17" ht="14.25" customHeight="1">
      <c r="A323" s="35"/>
      <c r="B323" s="35"/>
      <c r="C323" s="35"/>
      <c r="D323" s="35"/>
      <c r="E323" s="36"/>
      <c r="F323" s="36"/>
      <c r="G323" s="36"/>
      <c r="H323" s="35"/>
      <c r="I323" s="35"/>
      <c r="J323" s="35"/>
      <c r="K323" s="35"/>
      <c r="L323" s="35"/>
      <c r="M323" s="35"/>
      <c r="N323" s="35"/>
      <c r="O323" s="35"/>
      <c r="P323" s="35"/>
      <c r="Q323" s="35"/>
    </row>
    <row r="324" spans="1:17" ht="14.25" customHeight="1">
      <c r="A324" s="35"/>
      <c r="B324" s="35"/>
      <c r="C324" s="35"/>
      <c r="D324" s="35"/>
      <c r="E324" s="36"/>
      <c r="F324" s="36"/>
      <c r="G324" s="36"/>
      <c r="H324" s="35"/>
      <c r="I324" s="35"/>
      <c r="J324" s="35"/>
      <c r="K324" s="35"/>
      <c r="L324" s="35"/>
      <c r="M324" s="35"/>
      <c r="N324" s="35"/>
      <c r="O324" s="35"/>
      <c r="P324" s="35"/>
      <c r="Q324" s="35"/>
    </row>
    <row r="325" spans="1:17" ht="14.25" customHeight="1">
      <c r="A325" s="35"/>
      <c r="B325" s="35"/>
      <c r="C325" s="35"/>
      <c r="D325" s="35"/>
      <c r="E325" s="36"/>
      <c r="F325" s="36"/>
      <c r="G325" s="36"/>
      <c r="H325" s="35"/>
      <c r="I325" s="35"/>
      <c r="J325" s="35"/>
      <c r="K325" s="35"/>
      <c r="L325" s="35"/>
      <c r="M325" s="35"/>
      <c r="N325" s="35"/>
      <c r="O325" s="35"/>
      <c r="P325" s="35"/>
      <c r="Q325" s="35"/>
    </row>
    <row r="326" spans="1:17" ht="14.25" customHeight="1">
      <c r="A326" s="35"/>
      <c r="B326" s="35"/>
      <c r="C326" s="35"/>
      <c r="D326" s="35"/>
      <c r="E326" s="36"/>
      <c r="F326" s="36"/>
      <c r="G326" s="36"/>
      <c r="H326" s="35"/>
      <c r="I326" s="35"/>
      <c r="J326" s="35"/>
      <c r="K326" s="35"/>
      <c r="L326" s="35"/>
      <c r="M326" s="35"/>
      <c r="N326" s="35"/>
      <c r="O326" s="35"/>
      <c r="P326" s="35"/>
      <c r="Q326" s="35"/>
    </row>
    <row r="327" spans="1:17" ht="14.25" customHeight="1">
      <c r="A327" s="35"/>
      <c r="B327" s="35"/>
      <c r="C327" s="35"/>
      <c r="D327" s="35"/>
      <c r="E327" s="36"/>
      <c r="F327" s="36"/>
      <c r="G327" s="36"/>
      <c r="H327" s="35"/>
      <c r="I327" s="35"/>
      <c r="J327" s="35"/>
      <c r="K327" s="35"/>
      <c r="L327" s="35"/>
      <c r="M327" s="35"/>
      <c r="N327" s="35"/>
      <c r="O327" s="35"/>
      <c r="P327" s="35"/>
      <c r="Q327" s="35"/>
    </row>
    <row r="328" spans="1:17" ht="14.25" customHeight="1">
      <c r="A328" s="35"/>
      <c r="B328" s="35"/>
      <c r="C328" s="35"/>
      <c r="D328" s="35"/>
      <c r="E328" s="36"/>
      <c r="F328" s="36"/>
      <c r="G328" s="36"/>
      <c r="H328" s="35"/>
      <c r="I328" s="35"/>
      <c r="J328" s="35"/>
      <c r="K328" s="35"/>
      <c r="L328" s="35"/>
      <c r="M328" s="35"/>
      <c r="N328" s="35"/>
      <c r="O328" s="35"/>
      <c r="P328" s="35"/>
      <c r="Q328" s="35"/>
    </row>
    <row r="329" spans="1:17" ht="14.25" customHeight="1">
      <c r="A329" s="35"/>
      <c r="B329" s="35"/>
      <c r="C329" s="35"/>
      <c r="D329" s="35"/>
      <c r="E329" s="36"/>
      <c r="F329" s="36"/>
      <c r="G329" s="36"/>
      <c r="H329" s="35"/>
      <c r="I329" s="35"/>
      <c r="J329" s="35"/>
      <c r="K329" s="35"/>
      <c r="L329" s="35"/>
      <c r="M329" s="35"/>
      <c r="N329" s="35"/>
      <c r="O329" s="35"/>
      <c r="P329" s="35"/>
      <c r="Q329" s="35"/>
    </row>
    <row r="330" spans="1:17" ht="14.25" customHeight="1">
      <c r="A330" s="35"/>
      <c r="B330" s="35"/>
      <c r="C330" s="35"/>
      <c r="D330" s="35"/>
      <c r="E330" s="36"/>
      <c r="F330" s="36"/>
      <c r="G330" s="36"/>
      <c r="H330" s="35"/>
      <c r="I330" s="35"/>
      <c r="J330" s="35"/>
      <c r="K330" s="35"/>
      <c r="L330" s="35"/>
      <c r="M330" s="35"/>
      <c r="N330" s="35"/>
      <c r="O330" s="35"/>
      <c r="P330" s="35"/>
      <c r="Q330" s="35"/>
    </row>
    <row r="331" spans="1:17" ht="14.25" customHeight="1">
      <c r="A331" s="35"/>
      <c r="B331" s="35"/>
      <c r="C331" s="35"/>
      <c r="D331" s="35"/>
      <c r="E331" s="36"/>
      <c r="F331" s="36"/>
      <c r="G331" s="36"/>
      <c r="H331" s="35"/>
      <c r="I331" s="35"/>
      <c r="J331" s="35"/>
      <c r="K331" s="35"/>
      <c r="L331" s="35"/>
      <c r="M331" s="35"/>
      <c r="N331" s="35"/>
      <c r="O331" s="35"/>
      <c r="P331" s="35"/>
      <c r="Q331" s="35"/>
    </row>
    <row r="332" spans="1:17" ht="14.25" customHeight="1">
      <c r="A332" s="35"/>
      <c r="B332" s="35"/>
      <c r="C332" s="35"/>
      <c r="D332" s="35"/>
      <c r="E332" s="36"/>
      <c r="F332" s="36"/>
      <c r="G332" s="36"/>
      <c r="H332" s="35"/>
      <c r="I332" s="35"/>
      <c r="J332" s="35"/>
      <c r="K332" s="35"/>
      <c r="L332" s="35"/>
      <c r="M332" s="35"/>
      <c r="N332" s="35"/>
      <c r="O332" s="35"/>
      <c r="P332" s="35"/>
      <c r="Q332" s="35"/>
    </row>
    <row r="333" spans="1:17" ht="14.25" customHeight="1">
      <c r="A333" s="35"/>
      <c r="B333" s="35"/>
      <c r="C333" s="35"/>
      <c r="D333" s="35"/>
      <c r="E333" s="36"/>
      <c r="F333" s="36"/>
      <c r="G333" s="36"/>
      <c r="H333" s="35"/>
      <c r="I333" s="35"/>
      <c r="J333" s="35"/>
      <c r="K333" s="35"/>
      <c r="L333" s="35"/>
      <c r="M333" s="35"/>
      <c r="N333" s="35"/>
      <c r="O333" s="35"/>
      <c r="P333" s="35"/>
      <c r="Q333" s="35"/>
    </row>
    <row r="334" spans="1:17" ht="14.25" customHeight="1">
      <c r="A334" s="35"/>
      <c r="B334" s="35"/>
      <c r="C334" s="35"/>
      <c r="D334" s="35"/>
      <c r="E334" s="36"/>
      <c r="F334" s="36"/>
      <c r="G334" s="36"/>
      <c r="H334" s="35"/>
      <c r="I334" s="35"/>
      <c r="J334" s="35"/>
      <c r="K334" s="35"/>
      <c r="L334" s="35"/>
      <c r="M334" s="35"/>
      <c r="N334" s="35"/>
      <c r="O334" s="35"/>
      <c r="P334" s="35"/>
      <c r="Q334" s="35"/>
    </row>
    <row r="335" spans="1:17" ht="14.25" customHeight="1">
      <c r="A335" s="35"/>
      <c r="B335" s="35"/>
      <c r="C335" s="35"/>
      <c r="D335" s="35"/>
      <c r="E335" s="36"/>
      <c r="F335" s="36"/>
      <c r="G335" s="36"/>
      <c r="H335" s="35"/>
      <c r="I335" s="35"/>
      <c r="J335" s="35"/>
      <c r="K335" s="35"/>
      <c r="L335" s="35"/>
      <c r="M335" s="35"/>
      <c r="N335" s="35"/>
      <c r="O335" s="35"/>
      <c r="P335" s="35"/>
      <c r="Q335" s="35"/>
    </row>
    <row r="336" spans="1:17" ht="14.25" customHeight="1">
      <c r="A336" s="35"/>
      <c r="B336" s="35"/>
      <c r="C336" s="35"/>
      <c r="D336" s="35"/>
      <c r="E336" s="36"/>
      <c r="F336" s="36"/>
      <c r="G336" s="36"/>
      <c r="H336" s="35"/>
      <c r="I336" s="35"/>
      <c r="J336" s="35"/>
      <c r="K336" s="35"/>
      <c r="L336" s="35"/>
      <c r="M336" s="35"/>
      <c r="N336" s="35"/>
      <c r="O336" s="35"/>
      <c r="P336" s="35"/>
      <c r="Q336" s="35"/>
    </row>
    <row r="337" spans="1:17" ht="14.25" customHeight="1">
      <c r="A337" s="35"/>
      <c r="B337" s="35"/>
      <c r="C337" s="35"/>
      <c r="D337" s="35"/>
      <c r="E337" s="36"/>
      <c r="F337" s="36"/>
      <c r="G337" s="36"/>
      <c r="H337" s="35"/>
      <c r="I337" s="35"/>
      <c r="J337" s="35"/>
      <c r="K337" s="35"/>
      <c r="L337" s="35"/>
      <c r="M337" s="35"/>
      <c r="N337" s="35"/>
      <c r="O337" s="35"/>
      <c r="P337" s="35"/>
      <c r="Q337" s="35"/>
    </row>
    <row r="338" spans="1:17" ht="14.25" customHeight="1">
      <c r="A338" s="35"/>
      <c r="B338" s="35"/>
      <c r="C338" s="35"/>
      <c r="D338" s="35"/>
      <c r="E338" s="36"/>
      <c r="F338" s="36"/>
      <c r="G338" s="36"/>
      <c r="H338" s="35"/>
      <c r="I338" s="35"/>
      <c r="J338" s="35"/>
      <c r="K338" s="35"/>
      <c r="L338" s="35"/>
      <c r="M338" s="35"/>
      <c r="N338" s="35"/>
      <c r="O338" s="35"/>
      <c r="P338" s="35"/>
      <c r="Q338" s="35"/>
    </row>
    <row r="339" spans="1:17" ht="14.25" customHeight="1">
      <c r="A339" s="35"/>
      <c r="B339" s="35"/>
      <c r="C339" s="35"/>
      <c r="D339" s="35"/>
      <c r="E339" s="36"/>
      <c r="F339" s="36"/>
      <c r="G339" s="36"/>
      <c r="H339" s="35"/>
      <c r="I339" s="35"/>
      <c r="J339" s="35"/>
      <c r="K339" s="35"/>
      <c r="L339" s="35"/>
      <c r="M339" s="35"/>
      <c r="N339" s="35"/>
      <c r="O339" s="35"/>
      <c r="P339" s="35"/>
      <c r="Q339" s="35"/>
    </row>
    <row r="340" spans="1:17" ht="14.25" customHeight="1">
      <c r="A340" s="35"/>
      <c r="B340" s="35"/>
      <c r="C340" s="35"/>
      <c r="D340" s="35"/>
      <c r="E340" s="36"/>
      <c r="F340" s="36"/>
      <c r="G340" s="36"/>
      <c r="H340" s="35"/>
      <c r="I340" s="35"/>
      <c r="J340" s="35"/>
      <c r="K340" s="35"/>
      <c r="L340" s="35"/>
      <c r="M340" s="35"/>
      <c r="N340" s="35"/>
      <c r="O340" s="35"/>
      <c r="P340" s="35"/>
      <c r="Q340" s="35"/>
    </row>
    <row r="341" spans="1:17" ht="14.25" customHeight="1">
      <c r="A341" s="35"/>
      <c r="B341" s="35"/>
      <c r="C341" s="35"/>
      <c r="D341" s="35"/>
      <c r="E341" s="36"/>
      <c r="F341" s="36"/>
      <c r="G341" s="36"/>
      <c r="H341" s="35"/>
      <c r="I341" s="35"/>
      <c r="J341" s="35"/>
      <c r="K341" s="35"/>
      <c r="L341" s="35"/>
      <c r="M341" s="35"/>
      <c r="N341" s="35"/>
      <c r="O341" s="35"/>
      <c r="P341" s="35"/>
      <c r="Q341" s="35"/>
    </row>
    <row r="342" spans="1:17" ht="14.25" customHeight="1">
      <c r="A342" s="35"/>
      <c r="B342" s="35"/>
      <c r="C342" s="35"/>
      <c r="D342" s="35"/>
      <c r="E342" s="36"/>
      <c r="F342" s="36"/>
      <c r="G342" s="36"/>
      <c r="H342" s="35"/>
      <c r="I342" s="35"/>
      <c r="J342" s="35"/>
      <c r="K342" s="35"/>
      <c r="L342" s="35"/>
      <c r="M342" s="35"/>
      <c r="N342" s="35"/>
      <c r="O342" s="35"/>
      <c r="P342" s="35"/>
      <c r="Q342" s="35"/>
    </row>
    <row r="343" spans="1:17" ht="14.25" customHeight="1">
      <c r="A343" s="35"/>
      <c r="B343" s="35"/>
      <c r="C343" s="35"/>
      <c r="D343" s="35"/>
      <c r="E343" s="36"/>
      <c r="F343" s="36"/>
      <c r="G343" s="36"/>
      <c r="H343" s="35"/>
      <c r="I343" s="35"/>
      <c r="J343" s="35"/>
      <c r="K343" s="35"/>
      <c r="L343" s="35"/>
      <c r="M343" s="35"/>
      <c r="N343" s="35"/>
      <c r="O343" s="35"/>
      <c r="P343" s="35"/>
      <c r="Q343" s="35"/>
    </row>
    <row r="344" spans="1:17" ht="14.25" customHeight="1">
      <c r="A344" s="35"/>
      <c r="B344" s="35"/>
      <c r="C344" s="35"/>
      <c r="D344" s="35"/>
      <c r="E344" s="36"/>
      <c r="F344" s="36"/>
      <c r="G344" s="36"/>
      <c r="H344" s="35"/>
      <c r="I344" s="35"/>
      <c r="J344" s="35"/>
      <c r="K344" s="35"/>
      <c r="L344" s="35"/>
      <c r="M344" s="35"/>
      <c r="N344" s="35"/>
      <c r="O344" s="35"/>
      <c r="P344" s="35"/>
      <c r="Q344" s="35"/>
    </row>
    <row r="345" spans="1:17" ht="14.25" customHeight="1">
      <c r="A345" s="35"/>
      <c r="B345" s="35"/>
      <c r="C345" s="35"/>
      <c r="D345" s="35"/>
      <c r="E345" s="36"/>
      <c r="F345" s="36"/>
      <c r="G345" s="36"/>
      <c r="H345" s="35"/>
      <c r="I345" s="35"/>
      <c r="J345" s="35"/>
      <c r="K345" s="35"/>
      <c r="L345" s="35"/>
      <c r="M345" s="35"/>
      <c r="N345" s="35"/>
      <c r="O345" s="35"/>
      <c r="P345" s="35"/>
      <c r="Q345" s="35"/>
    </row>
    <row r="346" spans="1:17" ht="14.25" customHeight="1">
      <c r="A346" s="35"/>
      <c r="B346" s="35"/>
      <c r="C346" s="35"/>
      <c r="D346" s="35"/>
      <c r="E346" s="36"/>
      <c r="F346" s="36"/>
      <c r="G346" s="36"/>
      <c r="H346" s="35"/>
      <c r="I346" s="35"/>
      <c r="J346" s="35"/>
      <c r="K346" s="35"/>
      <c r="L346" s="35"/>
      <c r="M346" s="35"/>
      <c r="N346" s="35"/>
      <c r="O346" s="35"/>
      <c r="P346" s="35"/>
      <c r="Q346" s="35"/>
    </row>
    <row r="347" spans="1:17" ht="14.25" customHeight="1">
      <c r="A347" s="35"/>
      <c r="B347" s="35"/>
      <c r="C347" s="35"/>
      <c r="D347" s="35"/>
      <c r="E347" s="36"/>
      <c r="F347" s="36"/>
      <c r="G347" s="36"/>
      <c r="H347" s="35"/>
      <c r="I347" s="35"/>
      <c r="J347" s="35"/>
      <c r="K347" s="35"/>
      <c r="L347" s="35"/>
      <c r="M347" s="35"/>
      <c r="N347" s="35"/>
      <c r="O347" s="35"/>
      <c r="P347" s="35"/>
      <c r="Q347" s="35"/>
    </row>
    <row r="348" spans="1:17" ht="14.25" customHeight="1">
      <c r="A348" s="35"/>
      <c r="B348" s="35"/>
      <c r="C348" s="35"/>
      <c r="D348" s="35"/>
      <c r="E348" s="36"/>
      <c r="F348" s="36"/>
      <c r="G348" s="36"/>
      <c r="H348" s="35"/>
      <c r="I348" s="35"/>
      <c r="J348" s="35"/>
      <c r="K348" s="35"/>
      <c r="L348" s="35"/>
      <c r="M348" s="35"/>
      <c r="N348" s="35"/>
      <c r="O348" s="35"/>
      <c r="P348" s="35"/>
      <c r="Q348" s="35"/>
    </row>
    <row r="349" spans="1:17" ht="14.25" customHeight="1">
      <c r="A349" s="35"/>
      <c r="B349" s="35"/>
      <c r="C349" s="35"/>
      <c r="D349" s="35"/>
      <c r="E349" s="36"/>
      <c r="F349" s="36"/>
      <c r="G349" s="36"/>
      <c r="H349" s="35"/>
      <c r="I349" s="35"/>
      <c r="J349" s="35"/>
      <c r="K349" s="35"/>
      <c r="L349" s="35"/>
      <c r="M349" s="35"/>
      <c r="N349" s="35"/>
      <c r="O349" s="35"/>
      <c r="P349" s="35"/>
      <c r="Q349" s="35"/>
    </row>
    <row r="350" spans="1:17" ht="14.25" customHeight="1">
      <c r="A350" s="35"/>
      <c r="B350" s="35"/>
      <c r="C350" s="35"/>
      <c r="D350" s="35"/>
      <c r="E350" s="36"/>
      <c r="F350" s="36"/>
      <c r="G350" s="36"/>
      <c r="H350" s="35"/>
      <c r="I350" s="35"/>
      <c r="J350" s="35"/>
      <c r="K350" s="35"/>
      <c r="L350" s="35"/>
      <c r="M350" s="35"/>
      <c r="N350" s="35"/>
      <c r="O350" s="35"/>
      <c r="P350" s="35"/>
      <c r="Q350" s="35"/>
    </row>
    <row r="351" spans="1:17" ht="14.25" customHeight="1">
      <c r="A351" s="35"/>
      <c r="B351" s="35"/>
      <c r="C351" s="35"/>
      <c r="D351" s="35"/>
      <c r="E351" s="36"/>
      <c r="F351" s="36"/>
      <c r="G351" s="36"/>
      <c r="H351" s="35"/>
      <c r="I351" s="35"/>
      <c r="J351" s="35"/>
      <c r="K351" s="35"/>
      <c r="L351" s="35"/>
      <c r="M351" s="35"/>
      <c r="N351" s="35"/>
      <c r="O351" s="35"/>
      <c r="P351" s="35"/>
      <c r="Q351" s="35"/>
    </row>
    <row r="352" spans="1:17" ht="14.25" customHeight="1">
      <c r="A352" s="35"/>
      <c r="B352" s="35"/>
      <c r="C352" s="35"/>
      <c r="D352" s="35"/>
      <c r="E352" s="36"/>
      <c r="F352" s="36"/>
      <c r="G352" s="36"/>
      <c r="H352" s="35"/>
      <c r="I352" s="35"/>
      <c r="J352" s="35"/>
      <c r="K352" s="35"/>
      <c r="L352" s="35"/>
      <c r="M352" s="35"/>
      <c r="N352" s="35"/>
      <c r="O352" s="35"/>
      <c r="P352" s="35"/>
      <c r="Q352" s="35"/>
    </row>
    <row r="353" spans="1:17" ht="14.25" customHeight="1">
      <c r="A353" s="35"/>
      <c r="B353" s="35"/>
      <c r="C353" s="35"/>
      <c r="D353" s="35"/>
      <c r="E353" s="36"/>
      <c r="F353" s="36"/>
      <c r="G353" s="36"/>
      <c r="H353" s="35"/>
      <c r="I353" s="35"/>
      <c r="J353" s="35"/>
      <c r="K353" s="35"/>
      <c r="L353" s="35"/>
      <c r="M353" s="35"/>
      <c r="N353" s="35"/>
      <c r="O353" s="35"/>
      <c r="P353" s="35"/>
      <c r="Q353" s="35"/>
    </row>
    <row r="354" spans="1:17" ht="14.25" customHeight="1">
      <c r="A354" s="35"/>
      <c r="B354" s="35"/>
      <c r="C354" s="35"/>
      <c r="D354" s="35"/>
      <c r="E354" s="36"/>
      <c r="F354" s="36"/>
      <c r="G354" s="36"/>
      <c r="H354" s="35"/>
      <c r="I354" s="35"/>
      <c r="J354" s="35"/>
      <c r="K354" s="35"/>
      <c r="L354" s="35"/>
      <c r="M354" s="35"/>
      <c r="N354" s="35"/>
      <c r="O354" s="35"/>
      <c r="P354" s="35"/>
      <c r="Q354" s="35"/>
    </row>
    <row r="355" spans="1:17" ht="14.25" customHeight="1">
      <c r="A355" s="35"/>
      <c r="B355" s="35"/>
      <c r="C355" s="35"/>
      <c r="D355" s="35"/>
      <c r="E355" s="36"/>
      <c r="F355" s="36"/>
      <c r="G355" s="36"/>
      <c r="H355" s="35"/>
      <c r="I355" s="35"/>
      <c r="J355" s="35"/>
      <c r="K355" s="35"/>
      <c r="L355" s="35"/>
      <c r="M355" s="35"/>
      <c r="N355" s="35"/>
      <c r="O355" s="35"/>
      <c r="P355" s="35"/>
      <c r="Q355" s="35"/>
    </row>
    <row r="356" spans="1:17" ht="14.25" customHeight="1">
      <c r="A356" s="35"/>
      <c r="B356" s="35"/>
      <c r="C356" s="35"/>
      <c r="D356" s="35"/>
      <c r="E356" s="36"/>
      <c r="F356" s="36"/>
      <c r="G356" s="36"/>
      <c r="H356" s="35"/>
      <c r="I356" s="35"/>
      <c r="J356" s="35"/>
      <c r="K356" s="35"/>
      <c r="L356" s="35"/>
      <c r="M356" s="35"/>
      <c r="N356" s="35"/>
      <c r="O356" s="35"/>
      <c r="P356" s="35"/>
      <c r="Q356" s="35"/>
    </row>
    <row r="357" spans="1:17" ht="14.25" customHeight="1">
      <c r="A357" s="35"/>
      <c r="B357" s="35"/>
      <c r="C357" s="35"/>
      <c r="D357" s="35"/>
      <c r="E357" s="36"/>
      <c r="F357" s="36"/>
      <c r="G357" s="36"/>
      <c r="H357" s="35"/>
      <c r="I357" s="35"/>
      <c r="J357" s="35"/>
      <c r="K357" s="35"/>
      <c r="L357" s="35"/>
      <c r="M357" s="35"/>
      <c r="N357" s="35"/>
      <c r="O357" s="35"/>
      <c r="P357" s="35"/>
      <c r="Q357" s="35"/>
    </row>
    <row r="358" spans="1:17" ht="14.25" customHeight="1">
      <c r="A358" s="35"/>
      <c r="B358" s="35"/>
      <c r="C358" s="35"/>
      <c r="D358" s="35"/>
      <c r="E358" s="36"/>
      <c r="F358" s="36"/>
      <c r="G358" s="36"/>
      <c r="H358" s="35"/>
      <c r="I358" s="35"/>
      <c r="J358" s="35"/>
      <c r="K358" s="35"/>
      <c r="L358" s="35"/>
      <c r="M358" s="35"/>
      <c r="N358" s="35"/>
      <c r="O358" s="35"/>
      <c r="P358" s="35"/>
      <c r="Q358" s="35"/>
    </row>
    <row r="359" spans="1:17" ht="14.25" customHeight="1">
      <c r="A359" s="35"/>
      <c r="B359" s="35"/>
      <c r="C359" s="35"/>
      <c r="D359" s="35"/>
      <c r="E359" s="36"/>
      <c r="F359" s="36"/>
      <c r="G359" s="36"/>
      <c r="H359" s="35"/>
      <c r="I359" s="35"/>
      <c r="J359" s="35"/>
      <c r="K359" s="35"/>
      <c r="L359" s="35"/>
      <c r="M359" s="35"/>
      <c r="N359" s="35"/>
      <c r="O359" s="35"/>
      <c r="P359" s="35"/>
      <c r="Q359" s="35"/>
    </row>
    <row r="360" spans="1:17" ht="14.25" customHeight="1">
      <c r="A360" s="35"/>
      <c r="B360" s="35"/>
      <c r="C360" s="35"/>
      <c r="D360" s="35"/>
      <c r="E360" s="36"/>
      <c r="F360" s="36"/>
      <c r="G360" s="36"/>
      <c r="H360" s="35"/>
      <c r="I360" s="35"/>
      <c r="J360" s="35"/>
      <c r="K360" s="35"/>
      <c r="L360" s="35"/>
      <c r="M360" s="35"/>
      <c r="N360" s="35"/>
      <c r="O360" s="35"/>
      <c r="P360" s="35"/>
      <c r="Q360" s="35"/>
    </row>
    <row r="361" spans="1:17" ht="14.25" customHeight="1">
      <c r="A361" s="35"/>
      <c r="B361" s="35"/>
      <c r="C361" s="35"/>
      <c r="D361" s="35"/>
      <c r="E361" s="36"/>
      <c r="F361" s="36"/>
      <c r="G361" s="36"/>
      <c r="H361" s="35"/>
      <c r="I361" s="35"/>
      <c r="J361" s="35"/>
      <c r="K361" s="35"/>
      <c r="L361" s="35"/>
      <c r="M361" s="35"/>
      <c r="N361" s="35"/>
      <c r="O361" s="35"/>
      <c r="P361" s="35"/>
      <c r="Q361" s="35"/>
    </row>
    <row r="362" spans="1:17" ht="14.25" customHeight="1">
      <c r="A362" s="35"/>
      <c r="B362" s="35"/>
      <c r="C362" s="35"/>
      <c r="D362" s="35"/>
      <c r="E362" s="36"/>
      <c r="F362" s="36"/>
      <c r="G362" s="36"/>
      <c r="H362" s="35"/>
      <c r="I362" s="35"/>
      <c r="J362" s="35"/>
      <c r="K362" s="35"/>
      <c r="L362" s="35"/>
      <c r="M362" s="35"/>
      <c r="N362" s="35"/>
      <c r="O362" s="35"/>
      <c r="P362" s="35"/>
      <c r="Q362" s="35"/>
    </row>
    <row r="363" spans="1:17" ht="14.25" customHeight="1">
      <c r="A363" s="35"/>
      <c r="B363" s="35"/>
      <c r="C363" s="35"/>
      <c r="D363" s="35"/>
      <c r="E363" s="36"/>
      <c r="F363" s="36"/>
      <c r="G363" s="36"/>
      <c r="H363" s="35"/>
      <c r="I363" s="35"/>
      <c r="J363" s="35"/>
      <c r="K363" s="35"/>
      <c r="L363" s="35"/>
      <c r="M363" s="35"/>
      <c r="N363" s="35"/>
      <c r="O363" s="35"/>
      <c r="P363" s="35"/>
      <c r="Q363" s="35"/>
    </row>
    <row r="364" spans="1:17" ht="14.25" customHeight="1">
      <c r="A364" s="35"/>
      <c r="B364" s="35"/>
      <c r="C364" s="35"/>
      <c r="D364" s="35"/>
      <c r="E364" s="36"/>
      <c r="F364" s="36"/>
      <c r="G364" s="36"/>
      <c r="H364" s="35"/>
      <c r="I364" s="35"/>
      <c r="J364" s="35"/>
      <c r="K364" s="35"/>
      <c r="L364" s="35"/>
      <c r="M364" s="35"/>
      <c r="N364" s="35"/>
      <c r="O364" s="35"/>
      <c r="P364" s="35"/>
      <c r="Q364" s="35"/>
    </row>
    <row r="365" spans="1:17" ht="14.25" customHeight="1">
      <c r="A365" s="35"/>
      <c r="B365" s="35"/>
      <c r="C365" s="35"/>
      <c r="D365" s="35"/>
      <c r="E365" s="36"/>
      <c r="F365" s="36"/>
      <c r="G365" s="36"/>
      <c r="H365" s="35"/>
      <c r="I365" s="35"/>
      <c r="J365" s="35"/>
      <c r="K365" s="35"/>
      <c r="L365" s="35"/>
      <c r="M365" s="35"/>
      <c r="N365" s="35"/>
      <c r="O365" s="35"/>
      <c r="P365" s="35"/>
      <c r="Q365" s="35"/>
    </row>
    <row r="366" spans="1:17" ht="14.25" customHeight="1">
      <c r="A366" s="35"/>
      <c r="B366" s="35"/>
      <c r="C366" s="35"/>
      <c r="D366" s="35"/>
      <c r="E366" s="36"/>
      <c r="F366" s="36"/>
      <c r="G366" s="36"/>
      <c r="H366" s="35"/>
      <c r="I366" s="35"/>
      <c r="J366" s="35"/>
      <c r="K366" s="35"/>
      <c r="L366" s="35"/>
      <c r="M366" s="35"/>
      <c r="N366" s="35"/>
      <c r="O366" s="35"/>
      <c r="P366" s="35"/>
      <c r="Q366" s="35"/>
    </row>
    <row r="367" spans="1:17" ht="14.25" customHeight="1">
      <c r="A367" s="35"/>
      <c r="B367" s="35"/>
      <c r="C367" s="35"/>
      <c r="D367" s="35"/>
      <c r="E367" s="36"/>
      <c r="F367" s="36"/>
      <c r="G367" s="36"/>
      <c r="H367" s="35"/>
      <c r="I367" s="35"/>
      <c r="J367" s="35"/>
      <c r="K367" s="35"/>
      <c r="L367" s="35"/>
      <c r="M367" s="35"/>
      <c r="N367" s="35"/>
      <c r="O367" s="35"/>
      <c r="P367" s="35"/>
      <c r="Q367" s="35"/>
    </row>
    <row r="368" spans="1:17" ht="14.25" customHeight="1">
      <c r="A368" s="35"/>
      <c r="B368" s="35"/>
      <c r="C368" s="35"/>
      <c r="D368" s="35"/>
      <c r="E368" s="36"/>
      <c r="F368" s="36"/>
      <c r="G368" s="36"/>
      <c r="H368" s="35"/>
      <c r="I368" s="35"/>
      <c r="J368" s="35"/>
      <c r="K368" s="35"/>
      <c r="L368" s="35"/>
      <c r="M368" s="35"/>
      <c r="N368" s="35"/>
      <c r="O368" s="35"/>
      <c r="P368" s="35"/>
      <c r="Q368" s="35"/>
    </row>
    <row r="369" spans="1:17" ht="14.25" customHeight="1">
      <c r="A369" s="35"/>
      <c r="B369" s="35"/>
      <c r="C369" s="35"/>
      <c r="D369" s="35"/>
      <c r="E369" s="36"/>
      <c r="F369" s="36"/>
      <c r="G369" s="36"/>
      <c r="H369" s="35"/>
      <c r="I369" s="35"/>
      <c r="J369" s="35"/>
      <c r="K369" s="35"/>
      <c r="L369" s="35"/>
      <c r="M369" s="35"/>
      <c r="N369" s="35"/>
      <c r="O369" s="35"/>
      <c r="P369" s="35"/>
      <c r="Q369" s="35"/>
    </row>
    <row r="370" spans="1:17" ht="14.25" customHeight="1">
      <c r="A370" s="35"/>
      <c r="B370" s="35"/>
      <c r="C370" s="35"/>
      <c r="D370" s="35"/>
      <c r="E370" s="36"/>
      <c r="F370" s="36"/>
      <c r="G370" s="36"/>
      <c r="H370" s="35"/>
      <c r="I370" s="35"/>
      <c r="J370" s="35"/>
      <c r="K370" s="35"/>
      <c r="L370" s="35"/>
      <c r="M370" s="35"/>
      <c r="N370" s="35"/>
      <c r="O370" s="35"/>
      <c r="P370" s="35"/>
      <c r="Q370" s="35"/>
    </row>
    <row r="371" spans="1:17" ht="14.25" customHeight="1">
      <c r="A371" s="35"/>
      <c r="B371" s="35"/>
      <c r="C371" s="35"/>
      <c r="D371" s="35"/>
      <c r="E371" s="36"/>
      <c r="F371" s="36"/>
      <c r="G371" s="36"/>
      <c r="H371" s="35"/>
      <c r="I371" s="35"/>
      <c r="J371" s="35"/>
      <c r="K371" s="35"/>
      <c r="L371" s="35"/>
      <c r="M371" s="35"/>
      <c r="N371" s="35"/>
      <c r="O371" s="35"/>
      <c r="P371" s="35"/>
      <c r="Q371" s="35"/>
    </row>
    <row r="372" spans="1:17" ht="14.25" customHeight="1">
      <c r="A372" s="35"/>
      <c r="B372" s="35"/>
      <c r="C372" s="35"/>
      <c r="D372" s="35"/>
      <c r="E372" s="36"/>
      <c r="F372" s="36"/>
      <c r="G372" s="36"/>
      <c r="H372" s="35"/>
      <c r="I372" s="35"/>
      <c r="J372" s="35"/>
      <c r="K372" s="35"/>
      <c r="L372" s="35"/>
      <c r="M372" s="35"/>
      <c r="N372" s="35"/>
      <c r="O372" s="35"/>
      <c r="P372" s="35"/>
      <c r="Q372" s="35"/>
    </row>
    <row r="373" spans="1:17" ht="14.25" customHeight="1">
      <c r="A373" s="35"/>
      <c r="B373" s="35"/>
      <c r="C373" s="35"/>
      <c r="D373" s="35"/>
      <c r="E373" s="36"/>
      <c r="F373" s="36"/>
      <c r="G373" s="36"/>
      <c r="H373" s="35"/>
      <c r="I373" s="35"/>
      <c r="J373" s="35"/>
      <c r="K373" s="35"/>
      <c r="L373" s="35"/>
      <c r="M373" s="35"/>
      <c r="N373" s="35"/>
      <c r="O373" s="35"/>
      <c r="P373" s="35"/>
      <c r="Q373" s="35"/>
    </row>
    <row r="374" spans="1:17" ht="14.25" customHeight="1">
      <c r="A374" s="35"/>
      <c r="B374" s="35"/>
      <c r="C374" s="35"/>
      <c r="D374" s="35"/>
      <c r="E374" s="36"/>
      <c r="F374" s="36"/>
      <c r="G374" s="36"/>
      <c r="H374" s="35"/>
      <c r="I374" s="35"/>
      <c r="J374" s="35"/>
      <c r="K374" s="35"/>
      <c r="L374" s="35"/>
      <c r="M374" s="35"/>
      <c r="N374" s="35"/>
      <c r="O374" s="35"/>
      <c r="P374" s="35"/>
      <c r="Q374" s="35"/>
    </row>
    <row r="375" spans="1:17" ht="15.75" customHeight="1">
      <c r="E375" s="36"/>
      <c r="G375" s="68"/>
    </row>
    <row r="376" spans="1:17" ht="15.75" customHeight="1">
      <c r="E376" s="36"/>
      <c r="G376" s="68"/>
    </row>
    <row r="377" spans="1:17" ht="15.75" customHeight="1">
      <c r="E377" s="36"/>
      <c r="G377" s="68"/>
    </row>
    <row r="378" spans="1:17" ht="15.75" customHeight="1">
      <c r="E378" s="36"/>
      <c r="G378" s="68"/>
    </row>
    <row r="379" spans="1:17" ht="15.75" customHeight="1">
      <c r="E379" s="36"/>
      <c r="G379" s="68"/>
    </row>
    <row r="380" spans="1:17" ht="15.75" customHeight="1">
      <c r="E380" s="36"/>
      <c r="G380" s="68"/>
    </row>
    <row r="381" spans="1:17" ht="15.75" customHeight="1">
      <c r="E381" s="36"/>
      <c r="G381" s="68"/>
    </row>
    <row r="382" spans="1:17" ht="15.75" customHeight="1">
      <c r="E382" s="36"/>
      <c r="G382" s="68"/>
    </row>
    <row r="383" spans="1:17" ht="15.75" customHeight="1">
      <c r="E383" s="36"/>
      <c r="G383" s="68"/>
    </row>
    <row r="384" spans="1:17" ht="15.75" customHeight="1">
      <c r="E384" s="36"/>
      <c r="G384" s="68"/>
    </row>
    <row r="385" spans="5:7" ht="15.75" customHeight="1">
      <c r="E385" s="36"/>
      <c r="G385" s="68"/>
    </row>
    <row r="386" spans="5:7" ht="15.75" customHeight="1">
      <c r="E386" s="36"/>
      <c r="G386" s="68"/>
    </row>
    <row r="387" spans="5:7" ht="15.75" customHeight="1">
      <c r="E387" s="36"/>
      <c r="G387" s="68"/>
    </row>
    <row r="388" spans="5:7" ht="15.75" customHeight="1">
      <c r="E388" s="36"/>
      <c r="G388" s="68"/>
    </row>
    <row r="389" spans="5:7" ht="15.75" customHeight="1">
      <c r="E389" s="36"/>
      <c r="G389" s="68"/>
    </row>
    <row r="390" spans="5:7" ht="15.75" customHeight="1">
      <c r="E390" s="36"/>
      <c r="G390" s="68"/>
    </row>
    <row r="391" spans="5:7" ht="15.75" customHeight="1">
      <c r="E391" s="36"/>
      <c r="G391" s="68"/>
    </row>
    <row r="392" spans="5:7" ht="15.75" customHeight="1">
      <c r="E392" s="36"/>
      <c r="G392" s="68"/>
    </row>
    <row r="393" spans="5:7" ht="15.75" customHeight="1">
      <c r="E393" s="36"/>
      <c r="G393" s="68"/>
    </row>
    <row r="394" spans="5:7" ht="15.75" customHeight="1">
      <c r="E394" s="36"/>
      <c r="G394" s="68"/>
    </row>
    <row r="395" spans="5:7" ht="15.75" customHeight="1">
      <c r="E395" s="36"/>
      <c r="G395" s="68"/>
    </row>
    <row r="396" spans="5:7" ht="15.75" customHeight="1">
      <c r="E396" s="36"/>
      <c r="G396" s="68"/>
    </row>
    <row r="397" spans="5:7" ht="15.75" customHeight="1">
      <c r="E397" s="36"/>
      <c r="G397" s="68"/>
    </row>
    <row r="398" spans="5:7" ht="15.75" customHeight="1">
      <c r="E398" s="36"/>
      <c r="G398" s="68"/>
    </row>
    <row r="399" spans="5:7" ht="15.75" customHeight="1">
      <c r="E399" s="36"/>
      <c r="G399" s="68"/>
    </row>
    <row r="400" spans="5:7" ht="15.75" customHeight="1">
      <c r="E400" s="36"/>
      <c r="G400" s="68"/>
    </row>
    <row r="401" spans="5:7" ht="15.75" customHeight="1">
      <c r="E401" s="36"/>
      <c r="G401" s="68"/>
    </row>
    <row r="402" spans="5:7" ht="15.75" customHeight="1">
      <c r="E402" s="36"/>
      <c r="G402" s="68"/>
    </row>
    <row r="403" spans="5:7" ht="15.75" customHeight="1">
      <c r="E403" s="36"/>
      <c r="G403" s="68"/>
    </row>
    <row r="404" spans="5:7" ht="15.75" customHeight="1">
      <c r="E404" s="36"/>
      <c r="G404" s="68"/>
    </row>
    <row r="405" spans="5:7" ht="15.75" customHeight="1">
      <c r="E405" s="36"/>
      <c r="G405" s="68"/>
    </row>
    <row r="406" spans="5:7" ht="15.75" customHeight="1">
      <c r="E406" s="36"/>
      <c r="G406" s="68"/>
    </row>
    <row r="407" spans="5:7" ht="15.75" customHeight="1">
      <c r="E407" s="36"/>
      <c r="G407" s="68"/>
    </row>
    <row r="408" spans="5:7" ht="15.75" customHeight="1">
      <c r="E408" s="36"/>
      <c r="G408" s="68"/>
    </row>
    <row r="409" spans="5:7" ht="15.75" customHeight="1">
      <c r="E409" s="36"/>
      <c r="G409" s="68"/>
    </row>
    <row r="410" spans="5:7" ht="15.75" customHeight="1">
      <c r="E410" s="36"/>
      <c r="G410" s="68"/>
    </row>
    <row r="411" spans="5:7" ht="15.75" customHeight="1">
      <c r="E411" s="36"/>
      <c r="G411" s="68"/>
    </row>
    <row r="412" spans="5:7" ht="15.75" customHeight="1">
      <c r="E412" s="36"/>
      <c r="G412" s="68"/>
    </row>
    <row r="413" spans="5:7" ht="15.75" customHeight="1">
      <c r="E413" s="36"/>
      <c r="G413" s="68"/>
    </row>
    <row r="414" spans="5:7" ht="15.75" customHeight="1">
      <c r="E414" s="36"/>
      <c r="G414" s="68"/>
    </row>
    <row r="415" spans="5:7" ht="15.75" customHeight="1">
      <c r="E415" s="36"/>
      <c r="G415" s="68"/>
    </row>
    <row r="416" spans="5:7" ht="15.75" customHeight="1">
      <c r="E416" s="36"/>
      <c r="G416" s="68"/>
    </row>
    <row r="417" spans="5:7" ht="15.75" customHeight="1">
      <c r="E417" s="36"/>
      <c r="G417" s="68"/>
    </row>
    <row r="418" spans="5:7" ht="15.75" customHeight="1">
      <c r="E418" s="36"/>
      <c r="G418" s="68"/>
    </row>
    <row r="419" spans="5:7" ht="15.75" customHeight="1">
      <c r="E419" s="36"/>
      <c r="G419" s="68"/>
    </row>
    <row r="420" spans="5:7" ht="15.75" customHeight="1">
      <c r="E420" s="36"/>
      <c r="G420" s="68"/>
    </row>
    <row r="421" spans="5:7" ht="15.75" customHeight="1">
      <c r="E421" s="36"/>
      <c r="G421" s="68"/>
    </row>
    <row r="422" spans="5:7" ht="15.75" customHeight="1">
      <c r="E422" s="36"/>
      <c r="G422" s="68"/>
    </row>
    <row r="423" spans="5:7" ht="15.75" customHeight="1">
      <c r="E423" s="36"/>
      <c r="G423" s="68"/>
    </row>
    <row r="424" spans="5:7" ht="15.75" customHeight="1">
      <c r="E424" s="36"/>
      <c r="G424" s="68"/>
    </row>
    <row r="425" spans="5:7" ht="15.75" customHeight="1">
      <c r="E425" s="36"/>
      <c r="G425" s="68"/>
    </row>
    <row r="426" spans="5:7" ht="15.75" customHeight="1">
      <c r="E426" s="36"/>
      <c r="G426" s="68"/>
    </row>
    <row r="427" spans="5:7" ht="15.75" customHeight="1">
      <c r="E427" s="36"/>
      <c r="G427" s="68"/>
    </row>
    <row r="428" spans="5:7" ht="15.75" customHeight="1">
      <c r="E428" s="36"/>
      <c r="G428" s="68"/>
    </row>
    <row r="429" spans="5:7" ht="15.75" customHeight="1">
      <c r="E429" s="36"/>
      <c r="G429" s="68"/>
    </row>
    <row r="430" spans="5:7" ht="15.75" customHeight="1">
      <c r="E430" s="36"/>
      <c r="G430" s="68"/>
    </row>
    <row r="431" spans="5:7" ht="15.75" customHeight="1">
      <c r="E431" s="36"/>
      <c r="G431" s="68"/>
    </row>
    <row r="432" spans="5:7" ht="15.75" customHeight="1">
      <c r="E432" s="36"/>
      <c r="G432" s="68"/>
    </row>
    <row r="433" spans="5:7" ht="15.75" customHeight="1">
      <c r="E433" s="36"/>
      <c r="G433" s="68"/>
    </row>
    <row r="434" spans="5:7" ht="15.75" customHeight="1">
      <c r="E434" s="36"/>
      <c r="G434" s="68"/>
    </row>
    <row r="435" spans="5:7" ht="15.75" customHeight="1">
      <c r="E435" s="36"/>
      <c r="G435" s="68"/>
    </row>
    <row r="436" spans="5:7" ht="15.75" customHeight="1">
      <c r="E436" s="36"/>
      <c r="G436" s="68"/>
    </row>
    <row r="437" spans="5:7" ht="15.75" customHeight="1">
      <c r="E437" s="36"/>
      <c r="G437" s="68"/>
    </row>
    <row r="438" spans="5:7" ht="15.75" customHeight="1">
      <c r="E438" s="36"/>
      <c r="G438" s="68"/>
    </row>
    <row r="439" spans="5:7" ht="15.75" customHeight="1">
      <c r="E439" s="36"/>
      <c r="G439" s="68"/>
    </row>
    <row r="440" spans="5:7" ht="15.75" customHeight="1">
      <c r="E440" s="36"/>
      <c r="G440" s="68"/>
    </row>
    <row r="441" spans="5:7" ht="15.75" customHeight="1">
      <c r="E441" s="36"/>
      <c r="G441" s="68"/>
    </row>
    <row r="442" spans="5:7" ht="15.75" customHeight="1">
      <c r="E442" s="36"/>
      <c r="G442" s="68"/>
    </row>
    <row r="443" spans="5:7" ht="15.75" customHeight="1">
      <c r="E443" s="36"/>
      <c r="G443" s="68"/>
    </row>
    <row r="444" spans="5:7" ht="15.75" customHeight="1">
      <c r="E444" s="36"/>
      <c r="G444" s="68"/>
    </row>
    <row r="445" spans="5:7" ht="15.75" customHeight="1">
      <c r="E445" s="36"/>
      <c r="G445" s="68"/>
    </row>
    <row r="446" spans="5:7" ht="15.75" customHeight="1">
      <c r="E446" s="36"/>
      <c r="G446" s="68"/>
    </row>
    <row r="447" spans="5:7" ht="15.75" customHeight="1">
      <c r="E447" s="36"/>
      <c r="G447" s="68"/>
    </row>
    <row r="448" spans="5:7" ht="15.75" customHeight="1">
      <c r="E448" s="36"/>
      <c r="G448" s="68"/>
    </row>
    <row r="449" spans="5:7" ht="15.75" customHeight="1">
      <c r="E449" s="36"/>
      <c r="G449" s="68"/>
    </row>
    <row r="450" spans="5:7" ht="15.75" customHeight="1">
      <c r="E450" s="36"/>
      <c r="G450" s="68"/>
    </row>
    <row r="451" spans="5:7" ht="15.75" customHeight="1">
      <c r="E451" s="36"/>
      <c r="G451" s="68"/>
    </row>
    <row r="452" spans="5:7" ht="15.75" customHeight="1">
      <c r="E452" s="36"/>
      <c r="G452" s="68"/>
    </row>
    <row r="453" spans="5:7" ht="15.75" customHeight="1">
      <c r="E453" s="36"/>
      <c r="G453" s="68"/>
    </row>
    <row r="454" spans="5:7" ht="15.75" customHeight="1">
      <c r="E454" s="36"/>
      <c r="G454" s="68"/>
    </row>
    <row r="455" spans="5:7" ht="15.75" customHeight="1">
      <c r="E455" s="36"/>
      <c r="G455" s="68"/>
    </row>
    <row r="456" spans="5:7" ht="15.75" customHeight="1">
      <c r="E456" s="36"/>
      <c r="G456" s="68"/>
    </row>
    <row r="457" spans="5:7" ht="15.75" customHeight="1">
      <c r="E457" s="36"/>
      <c r="G457" s="68"/>
    </row>
    <row r="458" spans="5:7" ht="15.75" customHeight="1">
      <c r="E458" s="36"/>
      <c r="G458" s="68"/>
    </row>
    <row r="459" spans="5:7" ht="15.75" customHeight="1">
      <c r="E459" s="36"/>
      <c r="G459" s="68"/>
    </row>
    <row r="460" spans="5:7" ht="15.75" customHeight="1">
      <c r="E460" s="36"/>
      <c r="G460" s="68"/>
    </row>
    <row r="461" spans="5:7" ht="15.75" customHeight="1">
      <c r="E461" s="36"/>
      <c r="G461" s="68"/>
    </row>
    <row r="462" spans="5:7" ht="15.75" customHeight="1">
      <c r="E462" s="36"/>
      <c r="G462" s="68"/>
    </row>
    <row r="463" spans="5:7" ht="15.75" customHeight="1">
      <c r="E463" s="36"/>
      <c r="G463" s="68"/>
    </row>
    <row r="464" spans="5:7" ht="15.75" customHeight="1">
      <c r="E464" s="36"/>
      <c r="G464" s="68"/>
    </row>
    <row r="465" spans="5:7" ht="15.75" customHeight="1">
      <c r="E465" s="36"/>
      <c r="G465" s="68"/>
    </row>
    <row r="466" spans="5:7" ht="15.75" customHeight="1">
      <c r="E466" s="36"/>
      <c r="G466" s="68"/>
    </row>
    <row r="467" spans="5:7" ht="15.75" customHeight="1">
      <c r="E467" s="36"/>
      <c r="G467" s="68"/>
    </row>
    <row r="468" spans="5:7" ht="15.75" customHeight="1">
      <c r="E468" s="36"/>
      <c r="G468" s="68"/>
    </row>
    <row r="469" spans="5:7" ht="15.75" customHeight="1">
      <c r="E469" s="36"/>
      <c r="G469" s="68"/>
    </row>
    <row r="470" spans="5:7" ht="15.75" customHeight="1">
      <c r="E470" s="36"/>
      <c r="G470" s="68"/>
    </row>
    <row r="471" spans="5:7" ht="15.75" customHeight="1">
      <c r="E471" s="36"/>
      <c r="G471" s="68"/>
    </row>
    <row r="472" spans="5:7" ht="15.75" customHeight="1">
      <c r="E472" s="36"/>
      <c r="G472" s="68"/>
    </row>
    <row r="473" spans="5:7" ht="15.75" customHeight="1">
      <c r="E473" s="36"/>
      <c r="G473" s="68"/>
    </row>
    <row r="474" spans="5:7" ht="15.75" customHeight="1">
      <c r="E474" s="36"/>
      <c r="G474" s="68"/>
    </row>
    <row r="475" spans="5:7" ht="15.75" customHeight="1">
      <c r="E475" s="36"/>
      <c r="G475" s="68"/>
    </row>
    <row r="476" spans="5:7" ht="15.75" customHeight="1">
      <c r="E476" s="36"/>
      <c r="G476" s="68"/>
    </row>
    <row r="477" spans="5:7" ht="15.75" customHeight="1">
      <c r="E477" s="36"/>
      <c r="G477" s="68"/>
    </row>
    <row r="478" spans="5:7" ht="15.75" customHeight="1">
      <c r="E478" s="36"/>
      <c r="G478" s="68"/>
    </row>
    <row r="479" spans="5:7" ht="15.75" customHeight="1">
      <c r="E479" s="36"/>
      <c r="G479" s="68"/>
    </row>
    <row r="480" spans="5:7" ht="15.75" customHeight="1">
      <c r="E480" s="36"/>
      <c r="G480" s="68"/>
    </row>
    <row r="481" spans="5:7" ht="15.75" customHeight="1">
      <c r="E481" s="36"/>
      <c r="G481" s="68"/>
    </row>
    <row r="482" spans="5:7" ht="15.75" customHeight="1">
      <c r="E482" s="36"/>
      <c r="G482" s="68"/>
    </row>
    <row r="483" spans="5:7" ht="15.75" customHeight="1">
      <c r="E483" s="36"/>
      <c r="G483" s="68"/>
    </row>
    <row r="484" spans="5:7" ht="15.75" customHeight="1">
      <c r="E484" s="36"/>
      <c r="G484" s="68"/>
    </row>
    <row r="485" spans="5:7" ht="15.75" customHeight="1">
      <c r="E485" s="36"/>
      <c r="G485" s="68"/>
    </row>
    <row r="486" spans="5:7" ht="15.75" customHeight="1">
      <c r="E486" s="36"/>
      <c r="G486" s="68"/>
    </row>
    <row r="487" spans="5:7" ht="15.75" customHeight="1">
      <c r="E487" s="36"/>
      <c r="G487" s="68"/>
    </row>
    <row r="488" spans="5:7" ht="15.75" customHeight="1">
      <c r="E488" s="36"/>
      <c r="G488" s="68"/>
    </row>
    <row r="489" spans="5:7" ht="15.75" customHeight="1">
      <c r="E489" s="36"/>
      <c r="G489" s="68"/>
    </row>
    <row r="490" spans="5:7" ht="15.75" customHeight="1">
      <c r="E490" s="36"/>
      <c r="G490" s="68"/>
    </row>
    <row r="491" spans="5:7" ht="15.75" customHeight="1">
      <c r="E491" s="36"/>
      <c r="G491" s="68"/>
    </row>
    <row r="492" spans="5:7" ht="15.75" customHeight="1">
      <c r="E492" s="36"/>
      <c r="G492" s="68"/>
    </row>
    <row r="493" spans="5:7" ht="15.75" customHeight="1">
      <c r="E493" s="36"/>
      <c r="G493" s="68"/>
    </row>
    <row r="494" spans="5:7" ht="15.75" customHeight="1">
      <c r="E494" s="36"/>
      <c r="G494" s="68"/>
    </row>
    <row r="495" spans="5:7" ht="15.75" customHeight="1">
      <c r="E495" s="36"/>
      <c r="G495" s="68"/>
    </row>
    <row r="496" spans="5:7" ht="15.75" customHeight="1">
      <c r="E496" s="36"/>
      <c r="G496" s="68"/>
    </row>
    <row r="497" spans="5:7" ht="15.75" customHeight="1">
      <c r="E497" s="36"/>
      <c r="G497" s="68"/>
    </row>
    <row r="498" spans="5:7" ht="15.75" customHeight="1">
      <c r="E498" s="36"/>
      <c r="G498" s="68"/>
    </row>
    <row r="499" spans="5:7" ht="15.75" customHeight="1">
      <c r="E499" s="36"/>
      <c r="G499" s="68"/>
    </row>
    <row r="500" spans="5:7" ht="15.75" customHeight="1">
      <c r="E500" s="36"/>
      <c r="G500" s="68"/>
    </row>
    <row r="501" spans="5:7" ht="15.75" customHeight="1">
      <c r="E501" s="36"/>
      <c r="G501" s="68"/>
    </row>
    <row r="502" spans="5:7" ht="15.75" customHeight="1">
      <c r="E502" s="36"/>
      <c r="G502" s="68"/>
    </row>
    <row r="503" spans="5:7" ht="15.75" customHeight="1">
      <c r="E503" s="36"/>
      <c r="G503" s="68"/>
    </row>
    <row r="504" spans="5:7" ht="15.75" customHeight="1">
      <c r="E504" s="36"/>
      <c r="G504" s="68"/>
    </row>
    <row r="505" spans="5:7" ht="15.75" customHeight="1">
      <c r="E505" s="36"/>
      <c r="G505" s="68"/>
    </row>
    <row r="506" spans="5:7" ht="15.75" customHeight="1">
      <c r="E506" s="36"/>
      <c r="G506" s="68"/>
    </row>
    <row r="507" spans="5:7" ht="15.75" customHeight="1">
      <c r="E507" s="36"/>
      <c r="G507" s="68"/>
    </row>
    <row r="508" spans="5:7" ht="15.75" customHeight="1">
      <c r="E508" s="36"/>
      <c r="G508" s="68"/>
    </row>
    <row r="509" spans="5:7" ht="15.75" customHeight="1">
      <c r="E509" s="36"/>
      <c r="G509" s="68"/>
    </row>
    <row r="510" spans="5:7" ht="15.75" customHeight="1">
      <c r="E510" s="36"/>
      <c r="G510" s="68"/>
    </row>
    <row r="511" spans="5:7" ht="15.75" customHeight="1">
      <c r="E511" s="36"/>
      <c r="G511" s="68"/>
    </row>
    <row r="512" spans="5:7" ht="15.75" customHeight="1">
      <c r="E512" s="36"/>
      <c r="G512" s="68"/>
    </row>
    <row r="513" spans="5:7" ht="15.75" customHeight="1">
      <c r="E513" s="36"/>
      <c r="G513" s="68"/>
    </row>
    <row r="514" spans="5:7" ht="15.75" customHeight="1">
      <c r="E514" s="36"/>
      <c r="G514" s="68"/>
    </row>
    <row r="515" spans="5:7" ht="15.75" customHeight="1">
      <c r="E515" s="36"/>
      <c r="G515" s="68"/>
    </row>
    <row r="516" spans="5:7" ht="15.75" customHeight="1">
      <c r="E516" s="36"/>
      <c r="G516" s="68"/>
    </row>
    <row r="517" spans="5:7" ht="15.75" customHeight="1">
      <c r="E517" s="36"/>
      <c r="G517" s="68"/>
    </row>
    <row r="518" spans="5:7" ht="15.75" customHeight="1">
      <c r="E518" s="36"/>
      <c r="G518" s="68"/>
    </row>
    <row r="519" spans="5:7" ht="15.75" customHeight="1">
      <c r="E519" s="36"/>
      <c r="G519" s="68"/>
    </row>
    <row r="520" spans="5:7" ht="15.75" customHeight="1">
      <c r="E520" s="36"/>
      <c r="G520" s="68"/>
    </row>
    <row r="521" spans="5:7" ht="15.75" customHeight="1">
      <c r="E521" s="36"/>
      <c r="G521" s="68"/>
    </row>
    <row r="522" spans="5:7" ht="15.75" customHeight="1">
      <c r="E522" s="36"/>
      <c r="G522" s="68"/>
    </row>
    <row r="523" spans="5:7" ht="15.75" customHeight="1">
      <c r="E523" s="36"/>
      <c r="G523" s="68"/>
    </row>
    <row r="524" spans="5:7" ht="15.75" customHeight="1">
      <c r="E524" s="36"/>
      <c r="G524" s="68"/>
    </row>
    <row r="525" spans="5:7" ht="15.75" customHeight="1">
      <c r="E525" s="36"/>
      <c r="G525" s="68"/>
    </row>
    <row r="526" spans="5:7" ht="15.75" customHeight="1">
      <c r="E526" s="36"/>
      <c r="G526" s="68"/>
    </row>
    <row r="527" spans="5:7" ht="15.75" customHeight="1">
      <c r="E527" s="36"/>
      <c r="G527" s="68"/>
    </row>
    <row r="528" spans="5:7" ht="15.75" customHeight="1">
      <c r="E528" s="36"/>
      <c r="G528" s="68"/>
    </row>
    <row r="529" spans="5:7" ht="15.75" customHeight="1">
      <c r="E529" s="36"/>
      <c r="G529" s="68"/>
    </row>
    <row r="530" spans="5:7" ht="15.75" customHeight="1">
      <c r="E530" s="36"/>
      <c r="G530" s="68"/>
    </row>
    <row r="531" spans="5:7" ht="15.75" customHeight="1">
      <c r="E531" s="36"/>
      <c r="G531" s="68"/>
    </row>
    <row r="532" spans="5:7" ht="15.75" customHeight="1">
      <c r="E532" s="36"/>
      <c r="G532" s="68"/>
    </row>
    <row r="533" spans="5:7" ht="15.75" customHeight="1">
      <c r="E533" s="36"/>
      <c r="G533" s="68"/>
    </row>
    <row r="534" spans="5:7" ht="15.75" customHeight="1">
      <c r="E534" s="36"/>
      <c r="G534" s="68"/>
    </row>
    <row r="535" spans="5:7" ht="15.75" customHeight="1">
      <c r="E535" s="36"/>
      <c r="G535" s="68"/>
    </row>
    <row r="536" spans="5:7" ht="15.75" customHeight="1">
      <c r="E536" s="36"/>
      <c r="G536" s="68"/>
    </row>
    <row r="537" spans="5:7" ht="15.75" customHeight="1">
      <c r="E537" s="36"/>
      <c r="G537" s="68"/>
    </row>
    <row r="538" spans="5:7" ht="15.75" customHeight="1">
      <c r="E538" s="36"/>
      <c r="G538" s="68"/>
    </row>
    <row r="539" spans="5:7" ht="15.75" customHeight="1">
      <c r="E539" s="36"/>
      <c r="G539" s="68"/>
    </row>
    <row r="540" spans="5:7" ht="15.75" customHeight="1">
      <c r="E540" s="36"/>
      <c r="G540" s="68"/>
    </row>
    <row r="541" spans="5:7" ht="15.75" customHeight="1">
      <c r="E541" s="36"/>
      <c r="G541" s="68"/>
    </row>
    <row r="542" spans="5:7" ht="15.75" customHeight="1">
      <c r="E542" s="36"/>
      <c r="G542" s="68"/>
    </row>
    <row r="543" spans="5:7" ht="15.75" customHeight="1">
      <c r="E543" s="36"/>
      <c r="G543" s="68"/>
    </row>
    <row r="544" spans="5:7" ht="15.75" customHeight="1">
      <c r="E544" s="36"/>
      <c r="G544" s="68"/>
    </row>
    <row r="545" spans="5:7" ht="15.75" customHeight="1">
      <c r="E545" s="36"/>
      <c r="G545" s="68"/>
    </row>
    <row r="546" spans="5:7" ht="15.75" customHeight="1">
      <c r="E546" s="36"/>
      <c r="G546" s="68"/>
    </row>
    <row r="547" spans="5:7" ht="15.75" customHeight="1">
      <c r="E547" s="36"/>
      <c r="G547" s="68"/>
    </row>
    <row r="548" spans="5:7" ht="15.75" customHeight="1">
      <c r="E548" s="36"/>
      <c r="G548" s="68"/>
    </row>
    <row r="549" spans="5:7" ht="15.75" customHeight="1">
      <c r="E549" s="36"/>
      <c r="G549" s="68"/>
    </row>
    <row r="550" spans="5:7" ht="15.75" customHeight="1">
      <c r="E550" s="36"/>
      <c r="G550" s="68"/>
    </row>
    <row r="551" spans="5:7" ht="15.75" customHeight="1">
      <c r="E551" s="36"/>
      <c r="G551" s="68"/>
    </row>
    <row r="552" spans="5:7" ht="15.75" customHeight="1">
      <c r="E552" s="36"/>
      <c r="G552" s="68"/>
    </row>
    <row r="553" spans="5:7" ht="15.75" customHeight="1">
      <c r="E553" s="36"/>
      <c r="G553" s="68"/>
    </row>
    <row r="554" spans="5:7" ht="15.75" customHeight="1">
      <c r="E554" s="36"/>
      <c r="G554" s="68"/>
    </row>
    <row r="555" spans="5:7" ht="15.75" customHeight="1">
      <c r="E555" s="36"/>
      <c r="G555" s="68"/>
    </row>
    <row r="556" spans="5:7" ht="15.75" customHeight="1">
      <c r="E556" s="36"/>
      <c r="G556" s="68"/>
    </row>
    <row r="557" spans="5:7" ht="15.75" customHeight="1">
      <c r="E557" s="36"/>
      <c r="G557" s="68"/>
    </row>
    <row r="558" spans="5:7" ht="15.75" customHeight="1">
      <c r="E558" s="36"/>
      <c r="G558" s="68"/>
    </row>
    <row r="559" spans="5:7" ht="15.75" customHeight="1">
      <c r="E559" s="36"/>
      <c r="G559" s="68"/>
    </row>
    <row r="560" spans="5:7" ht="15.75" customHeight="1">
      <c r="E560" s="36"/>
      <c r="G560" s="68"/>
    </row>
    <row r="561" spans="5:7" ht="15.75" customHeight="1">
      <c r="E561" s="36"/>
      <c r="G561" s="68"/>
    </row>
    <row r="562" spans="5:7" ht="15.75" customHeight="1">
      <c r="E562" s="36"/>
      <c r="G562" s="68"/>
    </row>
    <row r="563" spans="5:7" ht="15.75" customHeight="1">
      <c r="E563" s="36"/>
      <c r="G563" s="68"/>
    </row>
    <row r="564" spans="5:7" ht="15.75" customHeight="1">
      <c r="E564" s="36"/>
      <c r="G564" s="68"/>
    </row>
    <row r="565" spans="5:7" ht="15.75" customHeight="1">
      <c r="E565" s="36"/>
      <c r="G565" s="68"/>
    </row>
    <row r="566" spans="5:7" ht="15.75" customHeight="1">
      <c r="E566" s="36"/>
      <c r="G566" s="68"/>
    </row>
    <row r="567" spans="5:7" ht="15.75" customHeight="1">
      <c r="E567" s="36"/>
      <c r="G567" s="68"/>
    </row>
    <row r="568" spans="5:7" ht="15.75" customHeight="1">
      <c r="E568" s="36"/>
      <c r="G568" s="68"/>
    </row>
    <row r="569" spans="5:7" ht="15.75" customHeight="1">
      <c r="E569" s="36"/>
      <c r="G569" s="68"/>
    </row>
    <row r="570" spans="5:7" ht="15.75" customHeight="1">
      <c r="E570" s="36"/>
      <c r="G570" s="68"/>
    </row>
    <row r="571" spans="5:7" ht="15.75" customHeight="1">
      <c r="E571" s="36"/>
      <c r="G571" s="68"/>
    </row>
    <row r="572" spans="5:7" ht="15.75" customHeight="1">
      <c r="E572" s="36"/>
      <c r="G572" s="68"/>
    </row>
    <row r="573" spans="5:7" ht="15.75" customHeight="1">
      <c r="E573" s="36"/>
      <c r="G573" s="68"/>
    </row>
    <row r="574" spans="5:7" ht="15.75" customHeight="1">
      <c r="E574" s="36"/>
      <c r="G574" s="68"/>
    </row>
    <row r="575" spans="5:7" ht="15.75" customHeight="1">
      <c r="E575" s="36"/>
      <c r="G575" s="68"/>
    </row>
    <row r="576" spans="5:7" ht="15.75" customHeight="1">
      <c r="E576" s="36"/>
      <c r="G576" s="68"/>
    </row>
    <row r="577" spans="5:7" ht="15.75" customHeight="1">
      <c r="E577" s="36"/>
      <c r="G577" s="68"/>
    </row>
    <row r="578" spans="5:7" ht="15.75" customHeight="1">
      <c r="E578" s="36"/>
      <c r="G578" s="68"/>
    </row>
    <row r="579" spans="5:7" ht="15.75" customHeight="1">
      <c r="E579" s="36"/>
      <c r="G579" s="68"/>
    </row>
    <row r="580" spans="5:7" ht="15.75" customHeight="1">
      <c r="E580" s="36"/>
      <c r="G580" s="68"/>
    </row>
    <row r="581" spans="5:7" ht="15.75" customHeight="1">
      <c r="E581" s="36"/>
      <c r="G581" s="68"/>
    </row>
    <row r="582" spans="5:7" ht="15.75" customHeight="1">
      <c r="E582" s="36"/>
      <c r="G582" s="68"/>
    </row>
    <row r="583" spans="5:7" ht="15.75" customHeight="1">
      <c r="E583" s="36"/>
      <c r="G583" s="68"/>
    </row>
    <row r="584" spans="5:7" ht="15.75" customHeight="1">
      <c r="E584" s="36"/>
      <c r="G584" s="68"/>
    </row>
    <row r="585" spans="5:7" ht="15.75" customHeight="1">
      <c r="E585" s="36"/>
      <c r="G585" s="68"/>
    </row>
    <row r="586" spans="5:7" ht="15.75" customHeight="1">
      <c r="E586" s="36"/>
      <c r="G586" s="68"/>
    </row>
    <row r="587" spans="5:7" ht="15.75" customHeight="1">
      <c r="E587" s="36"/>
      <c r="G587" s="68"/>
    </row>
    <row r="588" spans="5:7" ht="15.75" customHeight="1">
      <c r="E588" s="36"/>
      <c r="G588" s="68"/>
    </row>
    <row r="589" spans="5:7" ht="15.75" customHeight="1">
      <c r="E589" s="36"/>
      <c r="G589" s="68"/>
    </row>
    <row r="590" spans="5:7" ht="15.75" customHeight="1">
      <c r="E590" s="36"/>
      <c r="G590" s="68"/>
    </row>
    <row r="591" spans="5:7" ht="15.75" customHeight="1">
      <c r="E591" s="36"/>
      <c r="G591" s="68"/>
    </row>
    <row r="592" spans="5:7" ht="15.75" customHeight="1">
      <c r="E592" s="36"/>
      <c r="G592" s="68"/>
    </row>
    <row r="593" spans="5:7" ht="15.75" customHeight="1">
      <c r="E593" s="36"/>
      <c r="G593" s="68"/>
    </row>
    <row r="594" spans="5:7" ht="15.75" customHeight="1">
      <c r="E594" s="36"/>
      <c r="G594" s="68"/>
    </row>
    <row r="595" spans="5:7" ht="15.75" customHeight="1">
      <c r="E595" s="36"/>
      <c r="G595" s="68"/>
    </row>
    <row r="596" spans="5:7" ht="15.75" customHeight="1">
      <c r="E596" s="36"/>
      <c r="G596" s="68"/>
    </row>
    <row r="597" spans="5:7" ht="15.75" customHeight="1">
      <c r="E597" s="36"/>
      <c r="G597" s="68"/>
    </row>
    <row r="598" spans="5:7" ht="15.75" customHeight="1">
      <c r="E598" s="36"/>
      <c r="G598" s="68"/>
    </row>
    <row r="599" spans="5:7" ht="15.75" customHeight="1">
      <c r="E599" s="36"/>
      <c r="G599" s="68"/>
    </row>
    <row r="600" spans="5:7" ht="15.75" customHeight="1">
      <c r="E600" s="36"/>
      <c r="G600" s="68"/>
    </row>
    <row r="601" spans="5:7" ht="15.75" customHeight="1">
      <c r="E601" s="36"/>
      <c r="G601" s="68"/>
    </row>
    <row r="602" spans="5:7" ht="15.75" customHeight="1">
      <c r="E602" s="36"/>
      <c r="G602" s="68"/>
    </row>
    <row r="603" spans="5:7" ht="15.75" customHeight="1">
      <c r="E603" s="36"/>
      <c r="G603" s="68"/>
    </row>
    <row r="604" spans="5:7" ht="15.75" customHeight="1">
      <c r="E604" s="36"/>
      <c r="G604" s="68"/>
    </row>
    <row r="605" spans="5:7" ht="15.75" customHeight="1">
      <c r="E605" s="36"/>
      <c r="G605" s="68"/>
    </row>
    <row r="606" spans="5:7" ht="15.75" customHeight="1">
      <c r="E606" s="36"/>
      <c r="G606" s="68"/>
    </row>
    <row r="607" spans="5:7" ht="15.75" customHeight="1">
      <c r="E607" s="36"/>
      <c r="G607" s="68"/>
    </row>
    <row r="608" spans="5:7" ht="15.75" customHeight="1">
      <c r="E608" s="36"/>
      <c r="G608" s="68"/>
    </row>
    <row r="609" spans="5:7" ht="15.75" customHeight="1">
      <c r="E609" s="36"/>
      <c r="G609" s="68"/>
    </row>
    <row r="610" spans="5:7" ht="15.75" customHeight="1">
      <c r="E610" s="36"/>
      <c r="G610" s="68"/>
    </row>
    <row r="611" spans="5:7" ht="15.75" customHeight="1">
      <c r="E611" s="36"/>
      <c r="G611" s="68"/>
    </row>
    <row r="612" spans="5:7" ht="15.75" customHeight="1">
      <c r="E612" s="36"/>
      <c r="G612" s="68"/>
    </row>
    <row r="613" spans="5:7" ht="15.75" customHeight="1">
      <c r="E613" s="36"/>
      <c r="G613" s="68"/>
    </row>
    <row r="614" spans="5:7" ht="15.75" customHeight="1">
      <c r="E614" s="36"/>
      <c r="G614" s="68"/>
    </row>
    <row r="615" spans="5:7" ht="15.75" customHeight="1">
      <c r="E615" s="36"/>
      <c r="G615" s="68"/>
    </row>
    <row r="616" spans="5:7" ht="15.75" customHeight="1">
      <c r="E616" s="36"/>
      <c r="G616" s="68"/>
    </row>
    <row r="617" spans="5:7" ht="15.75" customHeight="1">
      <c r="E617" s="36"/>
      <c r="G617" s="68"/>
    </row>
    <row r="618" spans="5:7" ht="15.75" customHeight="1">
      <c r="E618" s="36"/>
      <c r="G618" s="68"/>
    </row>
    <row r="619" spans="5:7" ht="15.75" customHeight="1">
      <c r="E619" s="36"/>
      <c r="G619" s="68"/>
    </row>
    <row r="620" spans="5:7" ht="15.75" customHeight="1">
      <c r="E620" s="36"/>
      <c r="G620" s="68"/>
    </row>
    <row r="621" spans="5:7" ht="15.75" customHeight="1">
      <c r="E621" s="36"/>
      <c r="G621" s="68"/>
    </row>
    <row r="622" spans="5:7" ht="15.75" customHeight="1">
      <c r="E622" s="36"/>
      <c r="G622" s="68"/>
    </row>
    <row r="623" spans="5:7" ht="15.75" customHeight="1">
      <c r="E623" s="36"/>
      <c r="G623" s="68"/>
    </row>
    <row r="624" spans="5:7" ht="15.75" customHeight="1">
      <c r="E624" s="36"/>
      <c r="G624" s="68"/>
    </row>
    <row r="625" spans="5:7" ht="15.75" customHeight="1">
      <c r="E625" s="36"/>
      <c r="G625" s="68"/>
    </row>
    <row r="626" spans="5:7" ht="15.75" customHeight="1">
      <c r="E626" s="36"/>
      <c r="G626" s="68"/>
    </row>
    <row r="627" spans="5:7" ht="15.75" customHeight="1">
      <c r="E627" s="36"/>
      <c r="G627" s="68"/>
    </row>
    <row r="628" spans="5:7" ht="15.75" customHeight="1">
      <c r="E628" s="36"/>
      <c r="G628" s="68"/>
    </row>
    <row r="629" spans="5:7" ht="15.75" customHeight="1">
      <c r="E629" s="36"/>
      <c r="G629" s="68"/>
    </row>
    <row r="630" spans="5:7" ht="15.75" customHeight="1">
      <c r="E630" s="36"/>
      <c r="G630" s="68"/>
    </row>
    <row r="631" spans="5:7" ht="15.75" customHeight="1">
      <c r="E631" s="36"/>
      <c r="G631" s="68"/>
    </row>
    <row r="632" spans="5:7" ht="15.75" customHeight="1">
      <c r="E632" s="36"/>
      <c r="G632" s="68"/>
    </row>
    <row r="633" spans="5:7" ht="15.75" customHeight="1">
      <c r="E633" s="36"/>
      <c r="G633" s="68"/>
    </row>
    <row r="634" spans="5:7" ht="15.75" customHeight="1">
      <c r="E634" s="36"/>
      <c r="G634" s="68"/>
    </row>
    <row r="635" spans="5:7" ht="15.75" customHeight="1">
      <c r="E635" s="36"/>
      <c r="G635" s="68"/>
    </row>
    <row r="636" spans="5:7" ht="15.75" customHeight="1">
      <c r="E636" s="36"/>
      <c r="G636" s="68"/>
    </row>
    <row r="637" spans="5:7" ht="15.75" customHeight="1">
      <c r="E637" s="36"/>
      <c r="G637" s="68"/>
    </row>
    <row r="638" spans="5:7" ht="15.75" customHeight="1">
      <c r="E638" s="36"/>
      <c r="G638" s="68"/>
    </row>
    <row r="639" spans="5:7" ht="15.75" customHeight="1">
      <c r="E639" s="36"/>
      <c r="G639" s="68"/>
    </row>
    <row r="640" spans="5:7" ht="15.75" customHeight="1">
      <c r="E640" s="36"/>
      <c r="G640" s="68"/>
    </row>
    <row r="641" spans="5:7" ht="15.75" customHeight="1">
      <c r="E641" s="36"/>
      <c r="G641" s="68"/>
    </row>
    <row r="642" spans="5:7" ht="15.75" customHeight="1">
      <c r="E642" s="36"/>
      <c r="G642" s="68"/>
    </row>
    <row r="643" spans="5:7" ht="15.75" customHeight="1">
      <c r="E643" s="36"/>
      <c r="G643" s="68"/>
    </row>
    <row r="644" spans="5:7" ht="15.75" customHeight="1">
      <c r="E644" s="36"/>
      <c r="G644" s="68"/>
    </row>
    <row r="645" spans="5:7" ht="15.75" customHeight="1">
      <c r="E645" s="36"/>
      <c r="G645" s="68"/>
    </row>
    <row r="646" spans="5:7" ht="15.75" customHeight="1">
      <c r="E646" s="36"/>
      <c r="G646" s="68"/>
    </row>
    <row r="647" spans="5:7" ht="15.75" customHeight="1">
      <c r="E647" s="36"/>
      <c r="G647" s="68"/>
    </row>
    <row r="648" spans="5:7" ht="15.75" customHeight="1">
      <c r="E648" s="36"/>
      <c r="G648" s="68"/>
    </row>
    <row r="649" spans="5:7" ht="15.75" customHeight="1">
      <c r="E649" s="36"/>
      <c r="G649" s="68"/>
    </row>
    <row r="650" spans="5:7" ht="15.75" customHeight="1">
      <c r="E650" s="36"/>
      <c r="G650" s="68"/>
    </row>
    <row r="651" spans="5:7" ht="15.75" customHeight="1">
      <c r="E651" s="36"/>
      <c r="G651" s="68"/>
    </row>
    <row r="652" spans="5:7" ht="15.75" customHeight="1">
      <c r="E652" s="36"/>
      <c r="G652" s="68"/>
    </row>
    <row r="653" spans="5:7" ht="15.75" customHeight="1">
      <c r="E653" s="36"/>
      <c r="G653" s="68"/>
    </row>
    <row r="654" spans="5:7" ht="15.75" customHeight="1">
      <c r="E654" s="36"/>
      <c r="G654" s="68"/>
    </row>
    <row r="655" spans="5:7" ht="15.75" customHeight="1">
      <c r="E655" s="36"/>
      <c r="G655" s="68"/>
    </row>
    <row r="656" spans="5:7" ht="15.75" customHeight="1">
      <c r="E656" s="36"/>
      <c r="G656" s="68"/>
    </row>
    <row r="657" spans="5:7" ht="15.75" customHeight="1">
      <c r="E657" s="36"/>
      <c r="G657" s="68"/>
    </row>
    <row r="658" spans="5:7" ht="15.75" customHeight="1">
      <c r="E658" s="36"/>
      <c r="G658" s="68"/>
    </row>
    <row r="659" spans="5:7" ht="15.75" customHeight="1">
      <c r="E659" s="36"/>
      <c r="G659" s="68"/>
    </row>
    <row r="660" spans="5:7" ht="15.75" customHeight="1">
      <c r="E660" s="36"/>
      <c r="G660" s="68"/>
    </row>
    <row r="661" spans="5:7" ht="15.75" customHeight="1">
      <c r="E661" s="36"/>
      <c r="G661" s="68"/>
    </row>
    <row r="662" spans="5:7" ht="15.75" customHeight="1">
      <c r="E662" s="36"/>
      <c r="G662" s="68"/>
    </row>
    <row r="663" spans="5:7" ht="15.75" customHeight="1">
      <c r="E663" s="36"/>
      <c r="G663" s="68"/>
    </row>
    <row r="664" spans="5:7" ht="15.75" customHeight="1">
      <c r="E664" s="36"/>
      <c r="G664" s="68"/>
    </row>
    <row r="665" spans="5:7" ht="15.75" customHeight="1">
      <c r="E665" s="36"/>
      <c r="G665" s="68"/>
    </row>
    <row r="666" spans="5:7" ht="15.75" customHeight="1">
      <c r="E666" s="36"/>
      <c r="G666" s="68"/>
    </row>
    <row r="667" spans="5:7" ht="15.75" customHeight="1">
      <c r="E667" s="36"/>
      <c r="G667" s="68"/>
    </row>
    <row r="668" spans="5:7" ht="15.75" customHeight="1">
      <c r="E668" s="36"/>
      <c r="G668" s="68"/>
    </row>
    <row r="669" spans="5:7" ht="15.75" customHeight="1">
      <c r="E669" s="36"/>
      <c r="G669" s="68"/>
    </row>
    <row r="670" spans="5:7" ht="15.75" customHeight="1">
      <c r="E670" s="36"/>
      <c r="G670" s="68"/>
    </row>
    <row r="671" spans="5:7" ht="15.75" customHeight="1">
      <c r="E671" s="36"/>
      <c r="G671" s="68"/>
    </row>
    <row r="672" spans="5:7" ht="15.75" customHeight="1">
      <c r="E672" s="36"/>
      <c r="G672" s="68"/>
    </row>
    <row r="673" spans="5:7" ht="15.75" customHeight="1">
      <c r="E673" s="36"/>
      <c r="G673" s="68"/>
    </row>
    <row r="674" spans="5:7" ht="15.75" customHeight="1">
      <c r="E674" s="36"/>
      <c r="G674" s="68"/>
    </row>
    <row r="675" spans="5:7" ht="15.75" customHeight="1">
      <c r="E675" s="36"/>
      <c r="G675" s="68"/>
    </row>
    <row r="676" spans="5:7" ht="15.75" customHeight="1">
      <c r="E676" s="36"/>
      <c r="G676" s="68"/>
    </row>
    <row r="677" spans="5:7" ht="15.75" customHeight="1">
      <c r="E677" s="36"/>
      <c r="G677" s="68"/>
    </row>
    <row r="678" spans="5:7" ht="15.75" customHeight="1">
      <c r="E678" s="36"/>
      <c r="G678" s="68"/>
    </row>
    <row r="679" spans="5:7" ht="15.75" customHeight="1">
      <c r="E679" s="36"/>
      <c r="G679" s="68"/>
    </row>
    <row r="680" spans="5:7" ht="15.75" customHeight="1">
      <c r="E680" s="36"/>
      <c r="G680" s="68"/>
    </row>
    <row r="681" spans="5:7" ht="15.75" customHeight="1">
      <c r="E681" s="36"/>
      <c r="G681" s="68"/>
    </row>
    <row r="682" spans="5:7" ht="15.75" customHeight="1">
      <c r="E682" s="36"/>
      <c r="G682" s="68"/>
    </row>
    <row r="683" spans="5:7" ht="15.75" customHeight="1">
      <c r="E683" s="36"/>
      <c r="G683" s="68"/>
    </row>
    <row r="684" spans="5:7" ht="15.75" customHeight="1">
      <c r="E684" s="36"/>
      <c r="G684" s="68"/>
    </row>
    <row r="685" spans="5:7" ht="15.75" customHeight="1">
      <c r="E685" s="36"/>
      <c r="G685" s="68"/>
    </row>
    <row r="686" spans="5:7" ht="15.75" customHeight="1">
      <c r="E686" s="36"/>
      <c r="G686" s="68"/>
    </row>
    <row r="687" spans="5:7" ht="15.75" customHeight="1">
      <c r="E687" s="36"/>
      <c r="G687" s="68"/>
    </row>
    <row r="688" spans="5:7" ht="15.75" customHeight="1">
      <c r="E688" s="36"/>
      <c r="G688" s="68"/>
    </row>
    <row r="689" spans="5:7" ht="15.75" customHeight="1">
      <c r="E689" s="36"/>
      <c r="G689" s="68"/>
    </row>
    <row r="690" spans="5:7" ht="15.75" customHeight="1">
      <c r="E690" s="36"/>
      <c r="G690" s="68"/>
    </row>
    <row r="691" spans="5:7" ht="15.75" customHeight="1">
      <c r="E691" s="36"/>
      <c r="G691" s="68"/>
    </row>
    <row r="692" spans="5:7" ht="15.75" customHeight="1">
      <c r="E692" s="36"/>
      <c r="G692" s="68"/>
    </row>
    <row r="693" spans="5:7" ht="15.75" customHeight="1">
      <c r="E693" s="36"/>
      <c r="G693" s="68"/>
    </row>
    <row r="694" spans="5:7" ht="15.75" customHeight="1">
      <c r="E694" s="36"/>
      <c r="G694" s="68"/>
    </row>
    <row r="695" spans="5:7" ht="15.75" customHeight="1">
      <c r="E695" s="36"/>
      <c r="G695" s="68"/>
    </row>
    <row r="696" spans="5:7" ht="15.75" customHeight="1">
      <c r="E696" s="36"/>
      <c r="G696" s="68"/>
    </row>
    <row r="697" spans="5:7" ht="15.75" customHeight="1">
      <c r="E697" s="36"/>
      <c r="G697" s="68"/>
    </row>
    <row r="698" spans="5:7" ht="15.75" customHeight="1">
      <c r="E698" s="36"/>
      <c r="G698" s="68"/>
    </row>
    <row r="699" spans="5:7" ht="15.75" customHeight="1">
      <c r="E699" s="36"/>
      <c r="G699" s="68"/>
    </row>
    <row r="700" spans="5:7" ht="15.75" customHeight="1">
      <c r="E700" s="36"/>
      <c r="G700" s="68"/>
    </row>
    <row r="701" spans="5:7" ht="15.75" customHeight="1">
      <c r="E701" s="36"/>
      <c r="G701" s="68"/>
    </row>
    <row r="702" spans="5:7" ht="15.75" customHeight="1">
      <c r="E702" s="36"/>
      <c r="G702" s="68"/>
    </row>
    <row r="703" spans="5:7" ht="15.75" customHeight="1">
      <c r="E703" s="36"/>
      <c r="G703" s="68"/>
    </row>
    <row r="704" spans="5:7" ht="15.75" customHeight="1">
      <c r="E704" s="36"/>
      <c r="G704" s="68"/>
    </row>
    <row r="705" spans="5:7" ht="15.75" customHeight="1">
      <c r="E705" s="36"/>
      <c r="G705" s="68"/>
    </row>
    <row r="706" spans="5:7" ht="15.75" customHeight="1">
      <c r="E706" s="36"/>
      <c r="G706" s="68"/>
    </row>
    <row r="707" spans="5:7" ht="15.75" customHeight="1">
      <c r="E707" s="36"/>
      <c r="G707" s="68"/>
    </row>
    <row r="708" spans="5:7" ht="15.75" customHeight="1">
      <c r="E708" s="36"/>
      <c r="G708" s="68"/>
    </row>
    <row r="709" spans="5:7" ht="15.75" customHeight="1">
      <c r="E709" s="36"/>
      <c r="G709" s="68"/>
    </row>
    <row r="710" spans="5:7" ht="15.75" customHeight="1">
      <c r="E710" s="36"/>
      <c r="G710" s="68"/>
    </row>
    <row r="711" spans="5:7" ht="15.75" customHeight="1">
      <c r="E711" s="36"/>
      <c r="G711" s="68"/>
    </row>
    <row r="712" spans="5:7" ht="15.75" customHeight="1">
      <c r="E712" s="36"/>
      <c r="G712" s="68"/>
    </row>
    <row r="713" spans="5:7" ht="15.75" customHeight="1">
      <c r="E713" s="36"/>
      <c r="G713" s="68"/>
    </row>
    <row r="714" spans="5:7" ht="15.75" customHeight="1">
      <c r="E714" s="36"/>
      <c r="G714" s="68"/>
    </row>
    <row r="715" spans="5:7" ht="15.75" customHeight="1">
      <c r="E715" s="36"/>
      <c r="G715" s="68"/>
    </row>
    <row r="716" spans="5:7" ht="15.75" customHeight="1">
      <c r="E716" s="36"/>
      <c r="G716" s="68"/>
    </row>
    <row r="717" spans="5:7" ht="15.75" customHeight="1">
      <c r="E717" s="36"/>
      <c r="G717" s="68"/>
    </row>
    <row r="718" spans="5:7" ht="15.75" customHeight="1">
      <c r="E718" s="36"/>
      <c r="G718" s="68"/>
    </row>
    <row r="719" spans="5:7" ht="15.75" customHeight="1">
      <c r="E719" s="36"/>
      <c r="G719" s="68"/>
    </row>
    <row r="720" spans="5:7" ht="15.75" customHeight="1">
      <c r="E720" s="36"/>
      <c r="G720" s="68"/>
    </row>
    <row r="721" spans="5:7" ht="15.75" customHeight="1">
      <c r="E721" s="36"/>
      <c r="G721" s="68"/>
    </row>
    <row r="722" spans="5:7" ht="15.75" customHeight="1">
      <c r="E722" s="36"/>
      <c r="G722" s="68"/>
    </row>
    <row r="723" spans="5:7" ht="15.75" customHeight="1">
      <c r="E723" s="36"/>
      <c r="G723" s="68"/>
    </row>
    <row r="724" spans="5:7" ht="15.75" customHeight="1">
      <c r="E724" s="36"/>
      <c r="G724" s="68"/>
    </row>
    <row r="725" spans="5:7" ht="15.75" customHeight="1">
      <c r="E725" s="36"/>
      <c r="G725" s="68"/>
    </row>
    <row r="726" spans="5:7" ht="15.75" customHeight="1">
      <c r="E726" s="36"/>
      <c r="G726" s="68"/>
    </row>
    <row r="727" spans="5:7" ht="15.75" customHeight="1">
      <c r="E727" s="36"/>
      <c r="G727" s="68"/>
    </row>
    <row r="728" spans="5:7" ht="15.75" customHeight="1">
      <c r="E728" s="36"/>
      <c r="G728" s="68"/>
    </row>
    <row r="729" spans="5:7" ht="15.75" customHeight="1">
      <c r="E729" s="36"/>
      <c r="G729" s="68"/>
    </row>
    <row r="730" spans="5:7" ht="15.75" customHeight="1">
      <c r="E730" s="36"/>
      <c r="G730" s="68"/>
    </row>
    <row r="731" spans="5:7" ht="15.75" customHeight="1">
      <c r="E731" s="36"/>
      <c r="G731" s="68"/>
    </row>
    <row r="732" spans="5:7" ht="15.75" customHeight="1">
      <c r="E732" s="36"/>
      <c r="G732" s="68"/>
    </row>
    <row r="733" spans="5:7" ht="15.75" customHeight="1">
      <c r="E733" s="36"/>
      <c r="G733" s="68"/>
    </row>
    <row r="734" spans="5:7" ht="15.75" customHeight="1">
      <c r="E734" s="36"/>
      <c r="G734" s="68"/>
    </row>
    <row r="735" spans="5:7" ht="15.75" customHeight="1">
      <c r="E735" s="36"/>
      <c r="G735" s="68"/>
    </row>
    <row r="736" spans="5:7" ht="15.75" customHeight="1">
      <c r="E736" s="36"/>
      <c r="G736" s="68"/>
    </row>
    <row r="737" spans="5:7" ht="15.75" customHeight="1">
      <c r="E737" s="36"/>
      <c r="G737" s="68"/>
    </row>
    <row r="738" spans="5:7" ht="15.75" customHeight="1">
      <c r="E738" s="36"/>
      <c r="G738" s="68"/>
    </row>
    <row r="739" spans="5:7" ht="15.75" customHeight="1">
      <c r="E739" s="36"/>
      <c r="G739" s="68"/>
    </row>
    <row r="740" spans="5:7" ht="15.75" customHeight="1">
      <c r="E740" s="36"/>
      <c r="G740" s="68"/>
    </row>
    <row r="741" spans="5:7" ht="15.75" customHeight="1">
      <c r="E741" s="36"/>
      <c r="G741" s="68"/>
    </row>
    <row r="742" spans="5:7" ht="15.75" customHeight="1">
      <c r="E742" s="36"/>
      <c r="G742" s="68"/>
    </row>
    <row r="743" spans="5:7" ht="15.75" customHeight="1">
      <c r="E743" s="36"/>
      <c r="G743" s="68"/>
    </row>
    <row r="744" spans="5:7" ht="15.75" customHeight="1">
      <c r="E744" s="36"/>
      <c r="G744" s="68"/>
    </row>
    <row r="745" spans="5:7" ht="15.75" customHeight="1">
      <c r="E745" s="36"/>
      <c r="G745" s="68"/>
    </row>
    <row r="746" spans="5:7" ht="15.75" customHeight="1">
      <c r="E746" s="36"/>
      <c r="G746" s="68"/>
    </row>
    <row r="747" spans="5:7" ht="15.75" customHeight="1">
      <c r="E747" s="36"/>
      <c r="G747" s="68"/>
    </row>
    <row r="748" spans="5:7" ht="15.75" customHeight="1">
      <c r="E748" s="36"/>
      <c r="G748" s="68"/>
    </row>
    <row r="749" spans="5:7" ht="15.75" customHeight="1">
      <c r="E749" s="36"/>
      <c r="G749" s="68"/>
    </row>
    <row r="750" spans="5:7" ht="15.75" customHeight="1">
      <c r="E750" s="36"/>
      <c r="G750" s="68"/>
    </row>
    <row r="751" spans="5:7" ht="15.75" customHeight="1">
      <c r="E751" s="36"/>
      <c r="G751" s="68"/>
    </row>
    <row r="752" spans="5:7" ht="15.75" customHeight="1">
      <c r="E752" s="36"/>
      <c r="G752" s="68"/>
    </row>
    <row r="753" spans="5:7" ht="15.75" customHeight="1">
      <c r="E753" s="36"/>
      <c r="G753" s="68"/>
    </row>
    <row r="754" spans="5:7" ht="15.75" customHeight="1">
      <c r="E754" s="36"/>
      <c r="G754" s="68"/>
    </row>
    <row r="755" spans="5:7" ht="15.75" customHeight="1">
      <c r="E755" s="36"/>
      <c r="G755" s="68"/>
    </row>
    <row r="756" spans="5:7" ht="15.75" customHeight="1">
      <c r="E756" s="36"/>
      <c r="G756" s="68"/>
    </row>
    <row r="757" spans="5:7" ht="15.75" customHeight="1">
      <c r="E757" s="36"/>
      <c r="G757" s="68"/>
    </row>
    <row r="758" spans="5:7" ht="15.75" customHeight="1">
      <c r="E758" s="36"/>
      <c r="G758" s="68"/>
    </row>
    <row r="759" spans="5:7" ht="15.75" customHeight="1">
      <c r="E759" s="36"/>
      <c r="G759" s="68"/>
    </row>
    <row r="760" spans="5:7" ht="15.75" customHeight="1">
      <c r="E760" s="36"/>
      <c r="G760" s="68"/>
    </row>
    <row r="761" spans="5:7" ht="15.75" customHeight="1">
      <c r="E761" s="36"/>
      <c r="G761" s="68"/>
    </row>
    <row r="762" spans="5:7" ht="15.75" customHeight="1">
      <c r="E762" s="36"/>
      <c r="G762" s="68"/>
    </row>
    <row r="763" spans="5:7" ht="15.75" customHeight="1">
      <c r="E763" s="36"/>
      <c r="G763" s="68"/>
    </row>
    <row r="764" spans="5:7" ht="15.75" customHeight="1">
      <c r="E764" s="36"/>
      <c r="G764" s="68"/>
    </row>
    <row r="765" spans="5:7" ht="15.75" customHeight="1">
      <c r="E765" s="36"/>
      <c r="G765" s="68"/>
    </row>
    <row r="766" spans="5:7" ht="15.75" customHeight="1">
      <c r="E766" s="36"/>
      <c r="G766" s="68"/>
    </row>
    <row r="767" spans="5:7" ht="15.75" customHeight="1">
      <c r="E767" s="36"/>
      <c r="G767" s="68"/>
    </row>
    <row r="768" spans="5:7" ht="15.75" customHeight="1">
      <c r="E768" s="36"/>
      <c r="G768" s="68"/>
    </row>
    <row r="769" spans="5:7" ht="15.75" customHeight="1">
      <c r="E769" s="36"/>
      <c r="G769" s="68"/>
    </row>
    <row r="770" spans="5:7" ht="15.75" customHeight="1">
      <c r="E770" s="36"/>
      <c r="G770" s="68"/>
    </row>
    <row r="771" spans="5:7" ht="15.75" customHeight="1">
      <c r="E771" s="36"/>
      <c r="G771" s="68"/>
    </row>
    <row r="772" spans="5:7" ht="15.75" customHeight="1">
      <c r="E772" s="36"/>
      <c r="G772" s="68"/>
    </row>
    <row r="773" spans="5:7" ht="15.75" customHeight="1">
      <c r="E773" s="36"/>
      <c r="G773" s="68"/>
    </row>
    <row r="774" spans="5:7" ht="15.75" customHeight="1">
      <c r="E774" s="36"/>
      <c r="G774" s="68"/>
    </row>
    <row r="775" spans="5:7" ht="15.75" customHeight="1">
      <c r="E775" s="36"/>
      <c r="G775" s="68"/>
    </row>
    <row r="776" spans="5:7" ht="15.75" customHeight="1">
      <c r="E776" s="36"/>
      <c r="G776" s="68"/>
    </row>
    <row r="777" spans="5:7" ht="15.75" customHeight="1">
      <c r="E777" s="36"/>
      <c r="G777" s="68"/>
    </row>
    <row r="778" spans="5:7" ht="15.75" customHeight="1">
      <c r="E778" s="36"/>
      <c r="G778" s="68"/>
    </row>
    <row r="779" spans="5:7" ht="15.75" customHeight="1">
      <c r="E779" s="36"/>
      <c r="G779" s="68"/>
    </row>
    <row r="780" spans="5:7" ht="15.75" customHeight="1">
      <c r="E780" s="36"/>
      <c r="G780" s="68"/>
    </row>
    <row r="781" spans="5:7" ht="15.75" customHeight="1">
      <c r="E781" s="36"/>
      <c r="G781" s="68"/>
    </row>
    <row r="782" spans="5:7" ht="15.75" customHeight="1">
      <c r="E782" s="36"/>
      <c r="G782" s="68"/>
    </row>
    <row r="783" spans="5:7" ht="15.75" customHeight="1">
      <c r="E783" s="36"/>
      <c r="G783" s="68"/>
    </row>
    <row r="784" spans="5:7" ht="15.75" customHeight="1">
      <c r="E784" s="36"/>
      <c r="G784" s="68"/>
    </row>
    <row r="785" spans="5:7" ht="15.75" customHeight="1">
      <c r="E785" s="36"/>
      <c r="G785" s="68"/>
    </row>
    <row r="786" spans="5:7" ht="15.75" customHeight="1">
      <c r="E786" s="36"/>
      <c r="G786" s="68"/>
    </row>
    <row r="787" spans="5:7" ht="15.75" customHeight="1">
      <c r="E787" s="36"/>
      <c r="G787" s="68"/>
    </row>
    <row r="788" spans="5:7" ht="15.75" customHeight="1">
      <c r="E788" s="36"/>
      <c r="G788" s="68"/>
    </row>
    <row r="789" spans="5:7" ht="15.75" customHeight="1">
      <c r="E789" s="36"/>
      <c r="G789" s="68"/>
    </row>
    <row r="790" spans="5:7" ht="15.75" customHeight="1">
      <c r="E790" s="36"/>
      <c r="G790" s="68"/>
    </row>
    <row r="791" spans="5:7" ht="15.75" customHeight="1">
      <c r="E791" s="36"/>
      <c r="G791" s="68"/>
    </row>
    <row r="792" spans="5:7" ht="15.75" customHeight="1">
      <c r="E792" s="36"/>
      <c r="G792" s="68"/>
    </row>
    <row r="793" spans="5:7" ht="15.75" customHeight="1">
      <c r="E793" s="36"/>
      <c r="G793" s="68"/>
    </row>
    <row r="794" spans="5:7" ht="15.75" customHeight="1">
      <c r="E794" s="36"/>
      <c r="G794" s="68"/>
    </row>
    <row r="795" spans="5:7" ht="15.75" customHeight="1">
      <c r="E795" s="36"/>
      <c r="G795" s="68"/>
    </row>
    <row r="796" spans="5:7" ht="15.75" customHeight="1">
      <c r="E796" s="36"/>
      <c r="G796" s="68"/>
    </row>
    <row r="797" spans="5:7" ht="15.75" customHeight="1">
      <c r="E797" s="36"/>
      <c r="G797" s="68"/>
    </row>
    <row r="798" spans="5:7" ht="15.75" customHeight="1">
      <c r="E798" s="36"/>
      <c r="G798" s="68"/>
    </row>
    <row r="799" spans="5:7" ht="15.75" customHeight="1">
      <c r="E799" s="36"/>
      <c r="G799" s="68"/>
    </row>
    <row r="800" spans="5:7" ht="15.75" customHeight="1">
      <c r="E800" s="36"/>
      <c r="G800" s="68"/>
    </row>
    <row r="801" spans="5:7" ht="15.75" customHeight="1">
      <c r="E801" s="36"/>
      <c r="G801" s="68"/>
    </row>
    <row r="802" spans="5:7" ht="15.75" customHeight="1">
      <c r="E802" s="36"/>
      <c r="G802" s="68"/>
    </row>
    <row r="803" spans="5:7" ht="15.75" customHeight="1">
      <c r="E803" s="36"/>
      <c r="G803" s="68"/>
    </row>
    <row r="804" spans="5:7" ht="15.75" customHeight="1">
      <c r="E804" s="36"/>
      <c r="G804" s="68"/>
    </row>
    <row r="805" spans="5:7" ht="15.75" customHeight="1">
      <c r="E805" s="36"/>
      <c r="G805" s="68"/>
    </row>
    <row r="806" spans="5:7" ht="15.75" customHeight="1">
      <c r="E806" s="36"/>
      <c r="G806" s="68"/>
    </row>
    <row r="807" spans="5:7" ht="15.75" customHeight="1">
      <c r="E807" s="36"/>
      <c r="G807" s="68"/>
    </row>
    <row r="808" spans="5:7" ht="15.75" customHeight="1">
      <c r="E808" s="36"/>
      <c r="G808" s="68"/>
    </row>
    <row r="809" spans="5:7" ht="15.75" customHeight="1">
      <c r="E809" s="36"/>
      <c r="G809" s="68"/>
    </row>
    <row r="810" spans="5:7" ht="15.75" customHeight="1">
      <c r="E810" s="36"/>
      <c r="G810" s="68"/>
    </row>
    <row r="811" spans="5:7" ht="15.75" customHeight="1">
      <c r="E811" s="36"/>
      <c r="G811" s="68"/>
    </row>
    <row r="812" spans="5:7" ht="15.75" customHeight="1">
      <c r="E812" s="36"/>
      <c r="G812" s="68"/>
    </row>
    <row r="813" spans="5:7" ht="15.75" customHeight="1">
      <c r="E813" s="36"/>
      <c r="G813" s="68"/>
    </row>
    <row r="814" spans="5:7" ht="15.75" customHeight="1">
      <c r="E814" s="36"/>
      <c r="G814" s="68"/>
    </row>
    <row r="815" spans="5:7" ht="15.75" customHeight="1">
      <c r="E815" s="36"/>
      <c r="G815" s="68"/>
    </row>
    <row r="816" spans="5:7" ht="15.75" customHeight="1">
      <c r="E816" s="36"/>
      <c r="G816" s="68"/>
    </row>
    <row r="817" spans="5:7" ht="15.75" customHeight="1">
      <c r="E817" s="36"/>
      <c r="G817" s="68"/>
    </row>
    <row r="818" spans="5:7" ht="15.75" customHeight="1">
      <c r="E818" s="36"/>
      <c r="G818" s="68"/>
    </row>
    <row r="819" spans="5:7" ht="15.75" customHeight="1">
      <c r="E819" s="36"/>
      <c r="G819" s="68"/>
    </row>
    <row r="820" spans="5:7" ht="15.75" customHeight="1">
      <c r="E820" s="36"/>
      <c r="G820" s="68"/>
    </row>
    <row r="821" spans="5:7" ht="15.75" customHeight="1">
      <c r="E821" s="36"/>
      <c r="G821" s="68"/>
    </row>
    <row r="822" spans="5:7" ht="15.75" customHeight="1">
      <c r="E822" s="36"/>
      <c r="G822" s="68"/>
    </row>
    <row r="823" spans="5:7" ht="15.75" customHeight="1">
      <c r="E823" s="36"/>
      <c r="G823" s="68"/>
    </row>
    <row r="824" spans="5:7" ht="15.75" customHeight="1">
      <c r="E824" s="36"/>
      <c r="G824" s="68"/>
    </row>
    <row r="825" spans="5:7" ht="15.75" customHeight="1">
      <c r="E825" s="36"/>
      <c r="G825" s="68"/>
    </row>
    <row r="826" spans="5:7" ht="15.75" customHeight="1">
      <c r="E826" s="36"/>
      <c r="G826" s="68"/>
    </row>
    <row r="827" spans="5:7" ht="15.75" customHeight="1">
      <c r="E827" s="36"/>
      <c r="G827" s="68"/>
    </row>
    <row r="828" spans="5:7" ht="15.75" customHeight="1">
      <c r="E828" s="36"/>
      <c r="G828" s="68"/>
    </row>
    <row r="829" spans="5:7" ht="15.75" customHeight="1">
      <c r="E829" s="36"/>
      <c r="G829" s="68"/>
    </row>
    <row r="830" spans="5:7" ht="15.75" customHeight="1">
      <c r="E830" s="36"/>
      <c r="G830" s="68"/>
    </row>
    <row r="831" spans="5:7" ht="15.75" customHeight="1">
      <c r="E831" s="36"/>
      <c r="G831" s="68"/>
    </row>
    <row r="832" spans="5:7" ht="15.75" customHeight="1">
      <c r="E832" s="36"/>
      <c r="G832" s="68"/>
    </row>
    <row r="833" spans="5:7" ht="15.75" customHeight="1">
      <c r="E833" s="36"/>
      <c r="G833" s="68"/>
    </row>
    <row r="834" spans="5:7" ht="15.75" customHeight="1">
      <c r="E834" s="36"/>
      <c r="G834" s="68"/>
    </row>
    <row r="835" spans="5:7" ht="15.75" customHeight="1">
      <c r="E835" s="36"/>
      <c r="G835" s="68"/>
    </row>
    <row r="836" spans="5:7" ht="15.75" customHeight="1">
      <c r="E836" s="36"/>
      <c r="G836" s="68"/>
    </row>
    <row r="837" spans="5:7" ht="15.75" customHeight="1">
      <c r="E837" s="36"/>
      <c r="G837" s="68"/>
    </row>
    <row r="838" spans="5:7" ht="15.75" customHeight="1">
      <c r="E838" s="36"/>
      <c r="G838" s="68"/>
    </row>
    <row r="839" spans="5:7" ht="15.75" customHeight="1">
      <c r="E839" s="36"/>
      <c r="G839" s="68"/>
    </row>
    <row r="840" spans="5:7" ht="15.75" customHeight="1">
      <c r="E840" s="36"/>
      <c r="G840" s="68"/>
    </row>
    <row r="841" spans="5:7" ht="15.75" customHeight="1">
      <c r="E841" s="36"/>
      <c r="G841" s="68"/>
    </row>
    <row r="842" spans="5:7" ht="15.75" customHeight="1">
      <c r="E842" s="36"/>
      <c r="G842" s="68"/>
    </row>
    <row r="843" spans="5:7" ht="15.75" customHeight="1">
      <c r="E843" s="36"/>
      <c r="G843" s="68"/>
    </row>
    <row r="844" spans="5:7" ht="15.75" customHeight="1">
      <c r="E844" s="36"/>
      <c r="G844" s="68"/>
    </row>
    <row r="845" spans="5:7" ht="15.75" customHeight="1">
      <c r="E845" s="36"/>
      <c r="G845" s="68"/>
    </row>
    <row r="846" spans="5:7" ht="15.75" customHeight="1">
      <c r="E846" s="36"/>
      <c r="G846" s="68"/>
    </row>
    <row r="847" spans="5:7" ht="15.75" customHeight="1">
      <c r="E847" s="36"/>
      <c r="G847" s="68"/>
    </row>
    <row r="848" spans="5:7" ht="15.75" customHeight="1">
      <c r="E848" s="36"/>
      <c r="G848" s="68"/>
    </row>
    <row r="849" spans="5:7" ht="15.75" customHeight="1">
      <c r="E849" s="36"/>
      <c r="G849" s="68"/>
    </row>
    <row r="850" spans="5:7" ht="15.75" customHeight="1">
      <c r="E850" s="36"/>
      <c r="G850" s="68"/>
    </row>
    <row r="851" spans="5:7" ht="15.75" customHeight="1">
      <c r="E851" s="36"/>
      <c r="G851" s="68"/>
    </row>
    <row r="852" spans="5:7" ht="15.75" customHeight="1">
      <c r="E852" s="36"/>
      <c r="G852" s="68"/>
    </row>
    <row r="853" spans="5:7" ht="15.75" customHeight="1">
      <c r="E853" s="36"/>
      <c r="G853" s="68"/>
    </row>
    <row r="854" spans="5:7" ht="15.75" customHeight="1">
      <c r="E854" s="36"/>
      <c r="G854" s="68"/>
    </row>
    <row r="855" spans="5:7" ht="15.75" customHeight="1">
      <c r="E855" s="36"/>
      <c r="G855" s="68"/>
    </row>
    <row r="856" spans="5:7" ht="15.75" customHeight="1">
      <c r="E856" s="36"/>
      <c r="G856" s="68"/>
    </row>
    <row r="857" spans="5:7" ht="15.75" customHeight="1">
      <c r="E857" s="36"/>
      <c r="G857" s="68"/>
    </row>
    <row r="858" spans="5:7" ht="15.75" customHeight="1">
      <c r="E858" s="36"/>
      <c r="G858" s="68"/>
    </row>
    <row r="859" spans="5:7" ht="15.75" customHeight="1">
      <c r="E859" s="36"/>
      <c r="G859" s="68"/>
    </row>
    <row r="860" spans="5:7" ht="15.75" customHeight="1">
      <c r="E860" s="36"/>
      <c r="G860" s="68"/>
    </row>
    <row r="861" spans="5:7" ht="15.75" customHeight="1">
      <c r="E861" s="36"/>
      <c r="G861" s="68"/>
    </row>
    <row r="862" spans="5:7" ht="15.75" customHeight="1">
      <c r="E862" s="36"/>
      <c r="G862" s="68"/>
    </row>
    <row r="863" spans="5:7" ht="15.75" customHeight="1">
      <c r="E863" s="36"/>
      <c r="G863" s="68"/>
    </row>
    <row r="864" spans="5:7" ht="15.75" customHeight="1">
      <c r="E864" s="36"/>
      <c r="G864" s="68"/>
    </row>
    <row r="865" spans="5:7" ht="15.75" customHeight="1">
      <c r="E865" s="36"/>
      <c r="G865" s="68"/>
    </row>
    <row r="866" spans="5:7" ht="15.75" customHeight="1">
      <c r="E866" s="36"/>
      <c r="G866" s="68"/>
    </row>
    <row r="867" spans="5:7" ht="15.75" customHeight="1">
      <c r="E867" s="36"/>
      <c r="G867" s="68"/>
    </row>
    <row r="868" spans="5:7" ht="15.75" customHeight="1">
      <c r="E868" s="36"/>
      <c r="G868" s="68"/>
    </row>
    <row r="869" spans="5:7" ht="15.75" customHeight="1">
      <c r="E869" s="36"/>
      <c r="G869" s="68"/>
    </row>
    <row r="870" spans="5:7" ht="15.75" customHeight="1">
      <c r="E870" s="36"/>
      <c r="G870" s="68"/>
    </row>
    <row r="871" spans="5:7" ht="15.75" customHeight="1">
      <c r="E871" s="36"/>
      <c r="G871" s="68"/>
    </row>
    <row r="872" spans="5:7" ht="15.75" customHeight="1">
      <c r="E872" s="36"/>
      <c r="G872" s="68"/>
    </row>
    <row r="873" spans="5:7" ht="15.75" customHeight="1">
      <c r="E873" s="36"/>
      <c r="G873" s="68"/>
    </row>
    <row r="874" spans="5:7" ht="15.75" customHeight="1">
      <c r="E874" s="36"/>
      <c r="G874" s="68"/>
    </row>
    <row r="875" spans="5:7" ht="15.75" customHeight="1">
      <c r="E875" s="36"/>
      <c r="G875" s="68"/>
    </row>
    <row r="876" spans="5:7" ht="15.75" customHeight="1">
      <c r="E876" s="36"/>
      <c r="G876" s="68"/>
    </row>
    <row r="877" spans="5:7" ht="15.75" customHeight="1">
      <c r="E877" s="36"/>
      <c r="G877" s="68"/>
    </row>
    <row r="878" spans="5:7" ht="15.75" customHeight="1">
      <c r="E878" s="36"/>
      <c r="G878" s="68"/>
    </row>
    <row r="879" spans="5:7" ht="15.75" customHeight="1">
      <c r="E879" s="36"/>
      <c r="G879" s="68"/>
    </row>
    <row r="880" spans="5:7" ht="15.75" customHeight="1">
      <c r="E880" s="36"/>
      <c r="G880" s="68"/>
    </row>
    <row r="881" spans="5:7" ht="15.75" customHeight="1">
      <c r="E881" s="36"/>
      <c r="G881" s="68"/>
    </row>
    <row r="882" spans="5:7" ht="15.75" customHeight="1">
      <c r="E882" s="36"/>
      <c r="G882" s="68"/>
    </row>
    <row r="883" spans="5:7" ht="15.75" customHeight="1">
      <c r="E883" s="36"/>
      <c r="G883" s="68"/>
    </row>
    <row r="884" spans="5:7" ht="15.75" customHeight="1">
      <c r="E884" s="36"/>
      <c r="G884" s="68"/>
    </row>
    <row r="885" spans="5:7" ht="15.75" customHeight="1">
      <c r="E885" s="36"/>
      <c r="G885" s="68"/>
    </row>
    <row r="886" spans="5:7" ht="15.75" customHeight="1">
      <c r="E886" s="36"/>
      <c r="G886" s="68"/>
    </row>
    <row r="887" spans="5:7" ht="15.75" customHeight="1">
      <c r="E887" s="36"/>
      <c r="G887" s="68"/>
    </row>
    <row r="888" spans="5:7" ht="15.75" customHeight="1">
      <c r="E888" s="36"/>
      <c r="G888" s="68"/>
    </row>
    <row r="889" spans="5:7" ht="15.75" customHeight="1">
      <c r="E889" s="36"/>
      <c r="G889" s="68"/>
    </row>
    <row r="890" spans="5:7" ht="15.75" customHeight="1">
      <c r="E890" s="36"/>
      <c r="G890" s="68"/>
    </row>
    <row r="891" spans="5:7" ht="15.75" customHeight="1">
      <c r="E891" s="36"/>
      <c r="G891" s="68"/>
    </row>
    <row r="892" spans="5:7" ht="15.75" customHeight="1">
      <c r="E892" s="36"/>
      <c r="G892" s="68"/>
    </row>
    <row r="893" spans="5:7" ht="15.75" customHeight="1">
      <c r="E893" s="36"/>
      <c r="G893" s="68"/>
    </row>
    <row r="894" spans="5:7" ht="15.75" customHeight="1">
      <c r="E894" s="36"/>
      <c r="G894" s="68"/>
    </row>
    <row r="895" spans="5:7" ht="15.75" customHeight="1">
      <c r="E895" s="36"/>
      <c r="G895" s="68"/>
    </row>
    <row r="896" spans="5:7" ht="15.75" customHeight="1">
      <c r="E896" s="36"/>
      <c r="G896" s="68"/>
    </row>
    <row r="897" spans="5:7" ht="15.75" customHeight="1">
      <c r="E897" s="36"/>
      <c r="G897" s="68"/>
    </row>
    <row r="898" spans="5:7" ht="15.75" customHeight="1">
      <c r="E898" s="36"/>
      <c r="G898" s="68"/>
    </row>
    <row r="899" spans="5:7" ht="15.75" customHeight="1">
      <c r="E899" s="36"/>
      <c r="G899" s="68"/>
    </row>
    <row r="900" spans="5:7" ht="15.75" customHeight="1">
      <c r="E900" s="36"/>
      <c r="G900" s="68"/>
    </row>
    <row r="901" spans="5:7" ht="15.75" customHeight="1">
      <c r="E901" s="36"/>
      <c r="G901" s="68"/>
    </row>
    <row r="902" spans="5:7" ht="15.75" customHeight="1">
      <c r="E902" s="36"/>
      <c r="G902" s="68"/>
    </row>
    <row r="903" spans="5:7" ht="15.75" customHeight="1">
      <c r="E903" s="36"/>
      <c r="G903" s="68"/>
    </row>
    <row r="904" spans="5:7" ht="15.75" customHeight="1">
      <c r="E904" s="36"/>
      <c r="G904" s="68"/>
    </row>
    <row r="905" spans="5:7" ht="15.75" customHeight="1">
      <c r="E905" s="36"/>
      <c r="G905" s="68"/>
    </row>
    <row r="906" spans="5:7" ht="15.75" customHeight="1">
      <c r="E906" s="36"/>
      <c r="G906" s="68"/>
    </row>
    <row r="907" spans="5:7" ht="15.75" customHeight="1">
      <c r="E907" s="36"/>
      <c r="G907" s="68"/>
    </row>
    <row r="908" spans="5:7" ht="15.75" customHeight="1">
      <c r="E908" s="36"/>
      <c r="G908" s="68"/>
    </row>
    <row r="909" spans="5:7" ht="15.75" customHeight="1">
      <c r="E909" s="36"/>
      <c r="G909" s="68"/>
    </row>
    <row r="910" spans="5:7" ht="15.75" customHeight="1">
      <c r="E910" s="36"/>
      <c r="G910" s="68"/>
    </row>
    <row r="911" spans="5:7" ht="15.75" customHeight="1">
      <c r="E911" s="36"/>
      <c r="G911" s="68"/>
    </row>
    <row r="912" spans="5:7" ht="15.75" customHeight="1">
      <c r="E912" s="36"/>
      <c r="G912" s="68"/>
    </row>
    <row r="913" spans="5:7" ht="15.75" customHeight="1">
      <c r="E913" s="36"/>
      <c r="G913" s="68"/>
    </row>
    <row r="914" spans="5:7" ht="15.75" customHeight="1">
      <c r="E914" s="36"/>
      <c r="G914" s="68"/>
    </row>
    <row r="915" spans="5:7" ht="15.75" customHeight="1">
      <c r="E915" s="36"/>
      <c r="G915" s="68"/>
    </row>
    <row r="916" spans="5:7" ht="15.75" customHeight="1">
      <c r="E916" s="36"/>
      <c r="G916" s="68"/>
    </row>
    <row r="917" spans="5:7" ht="15.75" customHeight="1">
      <c r="E917" s="36"/>
      <c r="G917" s="68"/>
    </row>
    <row r="918" spans="5:7" ht="15.75" customHeight="1">
      <c r="E918" s="36"/>
      <c r="G918" s="68"/>
    </row>
    <row r="919" spans="5:7" ht="15.75" customHeight="1">
      <c r="E919" s="36"/>
      <c r="G919" s="68"/>
    </row>
    <row r="920" spans="5:7" ht="15.75" customHeight="1">
      <c r="E920" s="36"/>
      <c r="G920" s="68"/>
    </row>
    <row r="921" spans="5:7" ht="15.75" customHeight="1">
      <c r="E921" s="36"/>
      <c r="G921" s="68"/>
    </row>
    <row r="922" spans="5:7" ht="15.75" customHeight="1">
      <c r="E922" s="36"/>
      <c r="G922" s="68"/>
    </row>
    <row r="923" spans="5:7" ht="15.75" customHeight="1">
      <c r="E923" s="36"/>
      <c r="G923" s="68"/>
    </row>
    <row r="924" spans="5:7" ht="15.75" customHeight="1">
      <c r="E924" s="36"/>
      <c r="G924" s="68"/>
    </row>
    <row r="925" spans="5:7" ht="15.75" customHeight="1">
      <c r="E925" s="36"/>
      <c r="G925" s="68"/>
    </row>
    <row r="926" spans="5:7" ht="15.75" customHeight="1">
      <c r="E926" s="36"/>
      <c r="G926" s="68"/>
    </row>
    <row r="927" spans="5:7" ht="15.75" customHeight="1">
      <c r="E927" s="36"/>
      <c r="G927" s="68"/>
    </row>
    <row r="928" spans="5:7" ht="15.75" customHeight="1">
      <c r="E928" s="36"/>
      <c r="G928" s="68"/>
    </row>
    <row r="929" spans="5:7" ht="15.75" customHeight="1">
      <c r="E929" s="36"/>
      <c r="G929" s="68"/>
    </row>
    <row r="930" spans="5:7" ht="15.75" customHeight="1">
      <c r="E930" s="36"/>
      <c r="G930" s="68"/>
    </row>
    <row r="931" spans="5:7" ht="15.75" customHeight="1">
      <c r="E931" s="36"/>
      <c r="G931" s="68"/>
    </row>
    <row r="932" spans="5:7" ht="15.75" customHeight="1">
      <c r="E932" s="36"/>
      <c r="G932" s="68"/>
    </row>
    <row r="933" spans="5:7" ht="15.75" customHeight="1">
      <c r="E933" s="36"/>
      <c r="G933" s="68"/>
    </row>
    <row r="934" spans="5:7" ht="15.75" customHeight="1">
      <c r="E934" s="36"/>
      <c r="G934" s="68"/>
    </row>
    <row r="935" spans="5:7" ht="15.75" customHeight="1">
      <c r="E935" s="36"/>
      <c r="G935" s="68"/>
    </row>
    <row r="936" spans="5:7" ht="15.75" customHeight="1">
      <c r="E936" s="36"/>
      <c r="G936" s="68"/>
    </row>
    <row r="937" spans="5:7" ht="15.75" customHeight="1">
      <c r="E937" s="36"/>
      <c r="G937" s="68"/>
    </row>
    <row r="938" spans="5:7" ht="15.75" customHeight="1">
      <c r="E938" s="36"/>
      <c r="G938" s="68"/>
    </row>
    <row r="939" spans="5:7" ht="15.75" customHeight="1">
      <c r="E939" s="36"/>
      <c r="G939" s="68"/>
    </row>
    <row r="940" spans="5:7" ht="15.75" customHeight="1">
      <c r="E940" s="36"/>
      <c r="G940" s="68"/>
    </row>
    <row r="941" spans="5:7" ht="15.75" customHeight="1">
      <c r="E941" s="36"/>
      <c r="G941" s="68"/>
    </row>
    <row r="942" spans="5:7" ht="15.75" customHeight="1">
      <c r="E942" s="36"/>
      <c r="G942" s="68"/>
    </row>
    <row r="943" spans="5:7" ht="15.75" customHeight="1">
      <c r="E943" s="36"/>
      <c r="G943" s="68"/>
    </row>
    <row r="944" spans="5:7" ht="15.75" customHeight="1">
      <c r="E944" s="36"/>
      <c r="G944" s="68"/>
    </row>
    <row r="945" spans="5:7" ht="15.75" customHeight="1">
      <c r="E945" s="36"/>
      <c r="G945" s="68"/>
    </row>
    <row r="946" spans="5:7" ht="15.75" customHeight="1">
      <c r="E946" s="36"/>
      <c r="G946" s="68"/>
    </row>
    <row r="947" spans="5:7" ht="15.75" customHeight="1">
      <c r="E947" s="36"/>
      <c r="G947" s="68"/>
    </row>
    <row r="948" spans="5:7" ht="15.75" customHeight="1">
      <c r="E948" s="36"/>
      <c r="G948" s="68"/>
    </row>
    <row r="949" spans="5:7" ht="15.75" customHeight="1">
      <c r="E949" s="36"/>
      <c r="G949" s="68"/>
    </row>
    <row r="950" spans="5:7" ht="15.75" customHeight="1">
      <c r="E950" s="36"/>
      <c r="G950" s="68"/>
    </row>
    <row r="951" spans="5:7" ht="15.75" customHeight="1">
      <c r="E951" s="36"/>
      <c r="G951" s="68"/>
    </row>
    <row r="952" spans="5:7" ht="15.75" customHeight="1">
      <c r="E952" s="36"/>
      <c r="G952" s="68"/>
    </row>
    <row r="953" spans="5:7" ht="15.75" customHeight="1">
      <c r="E953" s="36"/>
      <c r="G953" s="68"/>
    </row>
    <row r="954" spans="5:7" ht="15.75" customHeight="1">
      <c r="E954" s="36"/>
      <c r="G954" s="68"/>
    </row>
    <row r="955" spans="5:7" ht="15.75" customHeight="1">
      <c r="E955" s="36"/>
      <c r="G955" s="68"/>
    </row>
    <row r="956" spans="5:7" ht="15.75" customHeight="1">
      <c r="E956" s="36"/>
      <c r="G956" s="68"/>
    </row>
    <row r="957" spans="5:7" ht="15.75" customHeight="1">
      <c r="E957" s="36"/>
      <c r="G957" s="68"/>
    </row>
    <row r="958" spans="5:7" ht="15.75" customHeight="1">
      <c r="E958" s="36"/>
      <c r="G958" s="68"/>
    </row>
    <row r="959" spans="5:7" ht="15.75" customHeight="1">
      <c r="E959" s="36"/>
      <c r="G959" s="68"/>
    </row>
    <row r="960" spans="5:7" ht="15.75" customHeight="1">
      <c r="E960" s="36"/>
      <c r="G960" s="68"/>
    </row>
    <row r="961" spans="5:7" ht="15.75" customHeight="1">
      <c r="E961" s="36"/>
      <c r="G961" s="68"/>
    </row>
    <row r="962" spans="5:7" ht="15.75" customHeight="1">
      <c r="E962" s="36"/>
      <c r="G962" s="68"/>
    </row>
    <row r="963" spans="5:7" ht="15.75" customHeight="1">
      <c r="E963" s="36"/>
      <c r="G963" s="68"/>
    </row>
    <row r="964" spans="5:7" ht="15.75" customHeight="1">
      <c r="E964" s="36"/>
      <c r="G964" s="68"/>
    </row>
    <row r="965" spans="5:7" ht="15.75" customHeight="1">
      <c r="E965" s="36"/>
      <c r="G965" s="68"/>
    </row>
    <row r="966" spans="5:7" ht="15.75" customHeight="1">
      <c r="E966" s="36"/>
      <c r="G966" s="68"/>
    </row>
    <row r="967" spans="5:7" ht="15.75" customHeight="1">
      <c r="E967" s="36"/>
      <c r="G967" s="68"/>
    </row>
    <row r="968" spans="5:7" ht="15.75" customHeight="1">
      <c r="E968" s="36"/>
      <c r="G968" s="68"/>
    </row>
    <row r="969" spans="5:7" ht="15.75" customHeight="1">
      <c r="E969" s="36"/>
      <c r="G969" s="68"/>
    </row>
    <row r="970" spans="5:7" ht="15.75" customHeight="1">
      <c r="E970" s="36"/>
      <c r="G970" s="68"/>
    </row>
    <row r="971" spans="5:7" ht="15.75" customHeight="1">
      <c r="E971" s="36"/>
      <c r="G971" s="68"/>
    </row>
    <row r="972" spans="5:7" ht="15.75" customHeight="1">
      <c r="E972" s="36"/>
      <c r="G972" s="68"/>
    </row>
    <row r="973" spans="5:7" ht="15.75" customHeight="1">
      <c r="E973" s="36"/>
      <c r="G973" s="68"/>
    </row>
    <row r="974" spans="5:7" ht="15.75" customHeight="1">
      <c r="E974" s="36"/>
      <c r="G974" s="68"/>
    </row>
    <row r="975" spans="5:7" ht="15.75" customHeight="1">
      <c r="E975" s="36"/>
      <c r="G975" s="68"/>
    </row>
    <row r="976" spans="5:7" ht="15.75" customHeight="1">
      <c r="E976" s="36"/>
      <c r="G976" s="68"/>
    </row>
    <row r="977" spans="5:5" ht="15.75" customHeight="1">
      <c r="E977" s="36"/>
    </row>
    <row r="978" spans="5:5" ht="15.75" customHeight="1">
      <c r="E978" s="36"/>
    </row>
    <row r="979" spans="5:5" ht="15.75" customHeight="1">
      <c r="E979" s="36"/>
    </row>
    <row r="980" spans="5:5" ht="15.75" customHeight="1">
      <c r="E980" s="36"/>
    </row>
    <row r="981" spans="5:5" ht="15.75" customHeight="1">
      <c r="E981" s="36"/>
    </row>
    <row r="982" spans="5:5" ht="15.75" customHeight="1">
      <c r="E982" s="36"/>
    </row>
    <row r="983" spans="5:5" ht="15.75" customHeight="1">
      <c r="E983" s="36"/>
    </row>
    <row r="984" spans="5:5" ht="15.75" customHeight="1">
      <c r="E984" s="36"/>
    </row>
    <row r="985" spans="5:5" ht="15.75" customHeight="1">
      <c r="E985" s="36"/>
    </row>
    <row r="986" spans="5:5" ht="15.75" customHeight="1">
      <c r="E986" s="36"/>
    </row>
    <row r="987" spans="5:5" ht="15.75" customHeight="1">
      <c r="E987" s="36"/>
    </row>
    <row r="988" spans="5:5" ht="15.75" customHeight="1">
      <c r="E988" s="36"/>
    </row>
    <row r="989" spans="5:5" ht="15.75" customHeight="1">
      <c r="E989" s="36"/>
    </row>
    <row r="990" spans="5:5" ht="15.75" customHeight="1">
      <c r="E990" s="36"/>
    </row>
    <row r="991" spans="5:5" ht="15.75" customHeight="1">
      <c r="E991" s="36"/>
    </row>
    <row r="992" spans="5:5" ht="15.75" customHeight="1">
      <c r="E992" s="36"/>
    </row>
    <row r="993" spans="5:5" ht="15.75" customHeight="1">
      <c r="E993" s="36"/>
    </row>
    <row r="994" spans="5:5" ht="15.75" customHeight="1">
      <c r="E994" s="36"/>
    </row>
    <row r="995" spans="5:5" ht="15.75" customHeight="1">
      <c r="E995" s="36"/>
    </row>
    <row r="996" spans="5:5" ht="15.75" customHeight="1">
      <c r="E996" s="36"/>
    </row>
    <row r="997" spans="5:5" ht="15.75" customHeight="1">
      <c r="E997" s="36"/>
    </row>
    <row r="998" spans="5:5" ht="15.75" customHeight="1">
      <c r="E998" s="36"/>
    </row>
    <row r="999" spans="5:5" ht="15.75" customHeight="1">
      <c r="E999" s="36"/>
    </row>
    <row r="1000" spans="5:5" ht="15.75" customHeight="1">
      <c r="E1000" s="36"/>
    </row>
  </sheetData>
  <mergeCells count="1">
    <mergeCell ref="A1:B1"/>
  </mergeCells>
  <dataValidations count="2">
    <dataValidation type="decimal" allowBlank="1" showInputMessage="1" showErrorMessage="1" prompt="Marks must be binary: 1 or 0" sqref="G179:G976 G175:G177 G3:G173">
      <formula1>0</formula1>
      <formula2>1</formula2>
    </dataValidation>
    <dataValidation type="list" allowBlank="1" showErrorMessage="1" sqref="H3:H173">
      <formula1>$L$8:$L$13</formula1>
    </dataValidation>
  </dataValidations>
  <pageMargins left="0.7" right="0.7" top="0.75" bottom="0.75" header="0" footer="0"/>
  <pageSetup paperSize="9" orientation="portrait"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R997"/>
  <sheetViews>
    <sheetView workbookViewId="0">
      <pane xSplit="8" ySplit="2" topLeftCell="I3" activePane="bottomRight" state="frozen"/>
      <selection activeCell="B9" sqref="B9"/>
      <selection pane="topRight" activeCell="B9" sqref="B9"/>
      <selection pane="bottomLeft" activeCell="B9" sqref="B9"/>
      <selection pane="bottomRight" activeCell="B99" sqref="B99"/>
    </sheetView>
  </sheetViews>
  <sheetFormatPr defaultColWidth="14.44140625" defaultRowHeight="15" customHeight="1"/>
  <cols>
    <col min="1" max="1" width="7.44140625" style="76" customWidth="1"/>
    <col min="2" max="2" width="13.21875" style="76" customWidth="1"/>
    <col min="3" max="3" width="13" style="76" customWidth="1"/>
    <col min="4" max="4" width="17.33203125" style="76" customWidth="1"/>
    <col min="5" max="5" width="8.88671875" style="76" customWidth="1"/>
    <col min="6" max="6" width="13" style="76" customWidth="1"/>
    <col min="7" max="7" width="8.5546875" style="76" customWidth="1"/>
    <col min="8" max="8" width="39.44140625" style="76" customWidth="1"/>
    <col min="9" max="9" width="61.88671875" style="76" customWidth="1"/>
    <col min="10" max="10" width="65.109375" style="76" customWidth="1"/>
    <col min="11" max="11" width="3.109375" style="76" customWidth="1"/>
    <col min="12" max="12" width="46" style="76" customWidth="1"/>
    <col min="13" max="15" width="8.88671875" style="76" customWidth="1"/>
    <col min="16" max="16" width="12.6640625" style="76" customWidth="1"/>
    <col min="17" max="17" width="8.88671875" style="76" customWidth="1"/>
    <col min="18" max="16384" width="14.44140625" style="76"/>
  </cols>
  <sheetData>
    <row r="1" spans="1:18" ht="31.2">
      <c r="A1" s="255" t="s">
        <v>265</v>
      </c>
      <c r="B1" s="256"/>
      <c r="C1" s="35"/>
      <c r="D1" s="35"/>
      <c r="E1" s="36"/>
      <c r="F1" s="36"/>
      <c r="G1" s="37"/>
      <c r="H1" s="35"/>
      <c r="I1" s="35"/>
      <c r="J1" s="35"/>
      <c r="K1" s="35"/>
      <c r="L1" s="35"/>
      <c r="M1" s="35"/>
      <c r="N1" s="35"/>
      <c r="O1" s="35"/>
      <c r="P1" s="35"/>
      <c r="Q1" s="35"/>
    </row>
    <row r="2" spans="1:18" ht="14.25" customHeight="1">
      <c r="A2" s="41" t="s">
        <v>616</v>
      </c>
      <c r="B2" s="41" t="s">
        <v>617</v>
      </c>
      <c r="C2" s="41" t="s">
        <v>442</v>
      </c>
      <c r="D2" s="41" t="s">
        <v>618</v>
      </c>
      <c r="E2" s="41" t="s">
        <v>619</v>
      </c>
      <c r="F2" s="61" t="s">
        <v>620</v>
      </c>
      <c r="G2" s="41" t="s">
        <v>443</v>
      </c>
      <c r="H2" s="41" t="s">
        <v>621</v>
      </c>
      <c r="I2" s="41" t="s">
        <v>24</v>
      </c>
      <c r="J2" s="41" t="s">
        <v>622</v>
      </c>
      <c r="K2" s="40"/>
      <c r="L2" s="41" t="s">
        <v>623</v>
      </c>
      <c r="M2" s="42"/>
      <c r="N2" s="35"/>
      <c r="O2" s="35"/>
      <c r="P2" s="35"/>
      <c r="Q2" s="35"/>
    </row>
    <row r="3" spans="1:18" ht="14.25" customHeight="1">
      <c r="A3" s="77">
        <v>39</v>
      </c>
      <c r="B3" s="78" t="s">
        <v>271</v>
      </c>
      <c r="C3" s="78" t="s">
        <v>38</v>
      </c>
      <c r="D3" s="79" t="s">
        <v>791</v>
      </c>
      <c r="E3" s="79" t="s">
        <v>663</v>
      </c>
      <c r="F3" s="80" t="s">
        <v>660</v>
      </c>
      <c r="G3" s="81">
        <v>0</v>
      </c>
      <c r="H3" s="82" t="s">
        <v>634</v>
      </c>
      <c r="I3" s="80"/>
      <c r="J3" s="78"/>
      <c r="K3" s="35"/>
      <c r="L3" s="48" t="s">
        <v>704</v>
      </c>
      <c r="Q3" s="35"/>
    </row>
    <row r="4" spans="1:18" ht="14.25" customHeight="1">
      <c r="A4" s="89">
        <v>28</v>
      </c>
      <c r="B4" s="80" t="s">
        <v>272</v>
      </c>
      <c r="C4" s="80" t="s">
        <v>40</v>
      </c>
      <c r="D4" s="90" t="s">
        <v>767</v>
      </c>
      <c r="E4" s="90" t="s">
        <v>659</v>
      </c>
      <c r="F4" s="80" t="s">
        <v>651</v>
      </c>
      <c r="G4" s="91">
        <v>1</v>
      </c>
      <c r="H4" s="80"/>
      <c r="I4" s="80"/>
      <c r="J4" s="80"/>
      <c r="K4" s="35"/>
      <c r="L4" s="48" t="s">
        <v>706</v>
      </c>
      <c r="M4" s="54"/>
      <c r="N4" s="54"/>
      <c r="O4" s="54"/>
      <c r="P4" s="54"/>
      <c r="Q4" s="54"/>
      <c r="R4" s="54"/>
    </row>
    <row r="5" spans="1:18" ht="14.25" customHeight="1">
      <c r="A5" s="89">
        <v>29</v>
      </c>
      <c r="B5" s="80" t="s">
        <v>273</v>
      </c>
      <c r="C5" s="80" t="s">
        <v>41</v>
      </c>
      <c r="D5" s="90" t="s">
        <v>769</v>
      </c>
      <c r="E5" s="90" t="s">
        <v>659</v>
      </c>
      <c r="F5" s="80" t="s">
        <v>651</v>
      </c>
      <c r="G5" s="91">
        <v>1</v>
      </c>
      <c r="H5" s="92"/>
      <c r="I5" s="94"/>
      <c r="J5" s="80"/>
      <c r="K5" s="35"/>
      <c r="L5" s="35" t="s">
        <v>632</v>
      </c>
      <c r="M5" s="35"/>
      <c r="N5" s="35"/>
      <c r="O5" s="35"/>
      <c r="P5" s="35"/>
      <c r="Q5" s="35"/>
    </row>
    <row r="6" spans="1:18" ht="14.25" customHeight="1">
      <c r="A6" s="89">
        <v>57</v>
      </c>
      <c r="B6" s="80" t="s">
        <v>274</v>
      </c>
      <c r="C6" s="80" t="s">
        <v>43</v>
      </c>
      <c r="D6" s="90" t="s">
        <v>835</v>
      </c>
      <c r="E6" s="90" t="s">
        <v>673</v>
      </c>
      <c r="F6" s="80" t="s">
        <v>674</v>
      </c>
      <c r="G6" s="91">
        <v>1</v>
      </c>
      <c r="H6" s="92"/>
      <c r="I6" s="95"/>
      <c r="J6" s="80"/>
      <c r="K6" s="35"/>
      <c r="L6" s="35"/>
      <c r="M6" s="35"/>
      <c r="N6" s="35"/>
      <c r="O6" s="35"/>
      <c r="P6" s="35"/>
      <c r="Q6" s="35"/>
    </row>
    <row r="7" spans="1:18" ht="14.25" customHeight="1">
      <c r="A7" s="89">
        <v>11</v>
      </c>
      <c r="B7" s="80" t="s">
        <v>275</v>
      </c>
      <c r="C7" s="80" t="s">
        <v>44</v>
      </c>
      <c r="D7" s="90" t="s">
        <v>726</v>
      </c>
      <c r="E7" s="90" t="s">
        <v>624</v>
      </c>
      <c r="F7" s="80" t="s">
        <v>687</v>
      </c>
      <c r="G7" s="91">
        <v>1</v>
      </c>
      <c r="H7" s="80"/>
      <c r="I7" s="83"/>
      <c r="J7" s="80"/>
      <c r="K7" s="35"/>
      <c r="L7" s="61" t="s">
        <v>635</v>
      </c>
      <c r="M7" s="61" t="s">
        <v>24</v>
      </c>
      <c r="N7" s="61"/>
      <c r="O7" s="61"/>
      <c r="P7" s="61"/>
      <c r="Q7" s="61"/>
      <c r="R7" s="61"/>
    </row>
    <row r="8" spans="1:18" ht="14.25" customHeight="1">
      <c r="A8" s="84">
        <v>86</v>
      </c>
      <c r="B8" s="85" t="s">
        <v>276</v>
      </c>
      <c r="C8" s="85" t="s">
        <v>45</v>
      </c>
      <c r="D8" s="86" t="s">
        <v>899</v>
      </c>
      <c r="E8" s="86" t="s">
        <v>686</v>
      </c>
      <c r="F8" s="85" t="s">
        <v>681</v>
      </c>
      <c r="G8" s="87">
        <v>0</v>
      </c>
      <c r="H8" s="88" t="s">
        <v>634</v>
      </c>
      <c r="I8" s="85"/>
      <c r="J8" s="85"/>
      <c r="K8" s="35"/>
      <c r="L8" s="35" t="s">
        <v>633</v>
      </c>
      <c r="M8" s="35" t="s">
        <v>636</v>
      </c>
      <c r="N8" s="35"/>
      <c r="O8" s="35"/>
      <c r="P8" s="35"/>
      <c r="Q8" s="35"/>
    </row>
    <row r="9" spans="1:18" ht="14.25" customHeight="1">
      <c r="A9" s="89">
        <v>50</v>
      </c>
      <c r="B9" s="80" t="s">
        <v>277</v>
      </c>
      <c r="C9" s="80" t="s">
        <v>46</v>
      </c>
      <c r="D9" s="90" t="s">
        <v>815</v>
      </c>
      <c r="E9" s="90" t="s">
        <v>669</v>
      </c>
      <c r="F9" s="80" t="s">
        <v>670</v>
      </c>
      <c r="G9" s="91">
        <v>0</v>
      </c>
      <c r="H9" s="92" t="s">
        <v>626</v>
      </c>
      <c r="I9" s="92" t="s">
        <v>816</v>
      </c>
      <c r="J9" s="80"/>
      <c r="K9" s="35"/>
      <c r="L9" s="35" t="s">
        <v>639</v>
      </c>
      <c r="M9" s="35" t="s">
        <v>636</v>
      </c>
      <c r="N9" s="35"/>
      <c r="O9" s="35"/>
      <c r="P9" s="35"/>
      <c r="Q9" s="35"/>
    </row>
    <row r="10" spans="1:18" ht="14.25" customHeight="1">
      <c r="A10" s="89">
        <v>37</v>
      </c>
      <c r="B10" s="80" t="s">
        <v>278</v>
      </c>
      <c r="C10" s="80" t="s">
        <v>47</v>
      </c>
      <c r="D10" s="90" t="s">
        <v>787</v>
      </c>
      <c r="E10" s="90" t="s">
        <v>663</v>
      </c>
      <c r="F10" s="80" t="s">
        <v>660</v>
      </c>
      <c r="G10" s="91">
        <v>1</v>
      </c>
      <c r="H10" s="80"/>
      <c r="I10" s="80"/>
      <c r="J10" s="80"/>
      <c r="K10" s="35"/>
      <c r="L10" s="35" t="s">
        <v>637</v>
      </c>
      <c r="M10" s="62" t="s">
        <v>640</v>
      </c>
      <c r="N10" s="62"/>
      <c r="O10" s="62"/>
      <c r="P10" s="62"/>
      <c r="Q10" s="62"/>
      <c r="R10" s="62"/>
    </row>
    <row r="11" spans="1:18" ht="14.25" customHeight="1">
      <c r="A11" s="84">
        <v>28</v>
      </c>
      <c r="B11" s="85" t="s">
        <v>279</v>
      </c>
      <c r="C11" s="85" t="s">
        <v>49</v>
      </c>
      <c r="D11" s="86" t="s">
        <v>768</v>
      </c>
      <c r="E11" s="86" t="s">
        <v>659</v>
      </c>
      <c r="F11" s="85" t="s">
        <v>651</v>
      </c>
      <c r="G11" s="87">
        <v>1</v>
      </c>
      <c r="H11" s="85"/>
      <c r="I11" s="85"/>
      <c r="J11" s="85"/>
      <c r="K11" s="35"/>
      <c r="L11" s="35" t="s">
        <v>626</v>
      </c>
      <c r="M11" s="62" t="s">
        <v>641</v>
      </c>
      <c r="N11" s="62"/>
      <c r="O11" s="62"/>
      <c r="P11" s="62"/>
      <c r="Q11" s="35"/>
    </row>
    <row r="12" spans="1:18" ht="14.25" customHeight="1">
      <c r="A12" s="89">
        <v>86</v>
      </c>
      <c r="B12" s="80" t="s">
        <v>280</v>
      </c>
      <c r="C12" s="80" t="s">
        <v>51</v>
      </c>
      <c r="D12" s="90" t="s">
        <v>900</v>
      </c>
      <c r="E12" s="90" t="s">
        <v>686</v>
      </c>
      <c r="F12" s="80" t="s">
        <v>681</v>
      </c>
      <c r="G12" s="91">
        <v>0</v>
      </c>
      <c r="H12" s="92" t="s">
        <v>634</v>
      </c>
      <c r="I12" s="83"/>
      <c r="J12" s="80"/>
      <c r="K12" s="35"/>
      <c r="L12" s="35" t="s">
        <v>642</v>
      </c>
      <c r="M12" s="62" t="s">
        <v>641</v>
      </c>
      <c r="N12" s="62"/>
      <c r="O12" s="62"/>
      <c r="P12" s="62"/>
      <c r="Q12" s="35"/>
    </row>
    <row r="13" spans="1:18" ht="14.25" customHeight="1">
      <c r="A13" s="89">
        <v>34</v>
      </c>
      <c r="B13" s="80" t="s">
        <v>281</v>
      </c>
      <c r="C13" s="80" t="s">
        <v>53</v>
      </c>
      <c r="D13" s="90" t="s">
        <v>781</v>
      </c>
      <c r="E13" s="90" t="s">
        <v>663</v>
      </c>
      <c r="F13" s="80" t="s">
        <v>660</v>
      </c>
      <c r="G13" s="91">
        <v>1</v>
      </c>
      <c r="H13" s="80"/>
      <c r="I13" s="80"/>
      <c r="J13" s="80"/>
      <c r="K13" s="35"/>
      <c r="L13" s="35" t="s">
        <v>634</v>
      </c>
      <c r="M13" s="35" t="s">
        <v>643</v>
      </c>
      <c r="N13" s="35"/>
      <c r="O13" s="35"/>
      <c r="P13" s="35"/>
      <c r="Q13" s="35"/>
    </row>
    <row r="14" spans="1:18" ht="14.25" customHeight="1">
      <c r="A14" s="84">
        <v>11</v>
      </c>
      <c r="B14" s="85" t="s">
        <v>282</v>
      </c>
      <c r="C14" s="85" t="s">
        <v>54</v>
      </c>
      <c r="D14" s="86" t="s">
        <v>727</v>
      </c>
      <c r="E14" s="86" t="s">
        <v>624</v>
      </c>
      <c r="F14" s="85" t="s">
        <v>687</v>
      </c>
      <c r="G14" s="87">
        <v>1</v>
      </c>
      <c r="H14" s="85"/>
      <c r="I14" s="85"/>
      <c r="J14" s="85"/>
      <c r="K14" s="35"/>
      <c r="M14" s="63" t="s">
        <v>644</v>
      </c>
      <c r="N14" s="35"/>
      <c r="O14" s="35"/>
      <c r="P14" s="35"/>
      <c r="Q14" s="35"/>
    </row>
    <row r="15" spans="1:18" ht="14.25" customHeight="1">
      <c r="A15" s="89">
        <v>44</v>
      </c>
      <c r="B15" s="80" t="s">
        <v>283</v>
      </c>
      <c r="C15" s="80" t="s">
        <v>55</v>
      </c>
      <c r="D15" s="90" t="s">
        <v>802</v>
      </c>
      <c r="E15" s="90" t="s">
        <v>663</v>
      </c>
      <c r="F15" s="80" t="s">
        <v>660</v>
      </c>
      <c r="G15" s="91">
        <v>1</v>
      </c>
      <c r="H15" s="80"/>
      <c r="I15" s="80"/>
      <c r="J15" s="80"/>
      <c r="K15" s="35"/>
      <c r="L15" s="35"/>
      <c r="N15" s="35"/>
      <c r="O15" s="35"/>
      <c r="P15" s="35"/>
      <c r="Q15" s="35"/>
    </row>
    <row r="16" spans="1:18" ht="14.25" customHeight="1">
      <c r="A16" s="84">
        <v>50</v>
      </c>
      <c r="B16" s="85" t="s">
        <v>284</v>
      </c>
      <c r="C16" s="85" t="s">
        <v>56</v>
      </c>
      <c r="D16" s="86" t="s">
        <v>817</v>
      </c>
      <c r="E16" s="86" t="s">
        <v>669</v>
      </c>
      <c r="F16" s="85" t="s">
        <v>670</v>
      </c>
      <c r="G16" s="87">
        <v>1</v>
      </c>
      <c r="H16" s="85"/>
      <c r="I16" s="85"/>
      <c r="J16" s="85"/>
      <c r="K16" s="35"/>
    </row>
    <row r="17" spans="1:17" ht="14.25" customHeight="1">
      <c r="A17" s="89">
        <v>74</v>
      </c>
      <c r="B17" s="80" t="s">
        <v>285</v>
      </c>
      <c r="C17" s="80" t="s">
        <v>57</v>
      </c>
      <c r="D17" s="90" t="s">
        <v>875</v>
      </c>
      <c r="E17" s="90" t="s">
        <v>680</v>
      </c>
      <c r="F17" s="80" t="s">
        <v>664</v>
      </c>
      <c r="G17" s="91">
        <v>0</v>
      </c>
      <c r="H17" s="92" t="s">
        <v>634</v>
      </c>
      <c r="I17" s="80"/>
      <c r="J17" s="80"/>
      <c r="K17" s="35"/>
    </row>
    <row r="18" spans="1:17" ht="14.25" customHeight="1">
      <c r="A18" s="89">
        <v>16</v>
      </c>
      <c r="B18" s="80" t="s">
        <v>286</v>
      </c>
      <c r="C18" s="80" t="s">
        <v>59</v>
      </c>
      <c r="D18" s="90" t="s">
        <v>739</v>
      </c>
      <c r="E18" s="90" t="s">
        <v>650</v>
      </c>
      <c r="F18" s="80" t="s">
        <v>625</v>
      </c>
      <c r="G18" s="91">
        <v>1</v>
      </c>
      <c r="H18" s="80"/>
      <c r="I18" s="80"/>
      <c r="J18" s="80"/>
      <c r="K18" s="35"/>
      <c r="L18" s="35"/>
      <c r="M18" s="35"/>
      <c r="N18" s="35"/>
      <c r="O18" s="35"/>
      <c r="P18" s="35"/>
      <c r="Q18" s="35"/>
    </row>
    <row r="19" spans="1:17" ht="14.25" customHeight="1">
      <c r="A19" s="89">
        <v>21</v>
      </c>
      <c r="B19" s="80" t="s">
        <v>287</v>
      </c>
      <c r="C19" s="80" t="s">
        <v>60</v>
      </c>
      <c r="D19" s="90" t="s">
        <v>750</v>
      </c>
      <c r="E19" s="90" t="s">
        <v>650</v>
      </c>
      <c r="F19" s="80" t="s">
        <v>625</v>
      </c>
      <c r="G19" s="91">
        <v>0</v>
      </c>
      <c r="H19" s="92" t="s">
        <v>634</v>
      </c>
      <c r="I19" s="83"/>
      <c r="J19" s="80"/>
      <c r="K19" s="35"/>
      <c r="L19" s="35"/>
      <c r="M19" s="35"/>
      <c r="N19" s="35"/>
      <c r="O19" s="35"/>
      <c r="P19" s="35"/>
      <c r="Q19" s="35"/>
    </row>
    <row r="20" spans="1:17" ht="14.25" customHeight="1">
      <c r="A20" s="89">
        <v>56</v>
      </c>
      <c r="B20" s="80" t="s">
        <v>288</v>
      </c>
      <c r="C20" s="80" t="s">
        <v>61</v>
      </c>
      <c r="D20" s="90" t="s">
        <v>833</v>
      </c>
      <c r="E20" s="90" t="s">
        <v>673</v>
      </c>
      <c r="F20" s="80" t="s">
        <v>674</v>
      </c>
      <c r="G20" s="91">
        <v>1</v>
      </c>
      <c r="H20" s="80"/>
      <c r="I20" s="83"/>
      <c r="J20" s="80"/>
      <c r="K20" s="35"/>
      <c r="L20" s="35"/>
      <c r="M20" s="35"/>
      <c r="N20" s="35"/>
      <c r="O20" s="35"/>
      <c r="P20" s="35"/>
      <c r="Q20" s="35"/>
    </row>
    <row r="21" spans="1:17" ht="14.25" customHeight="1">
      <c r="A21" s="89">
        <v>31</v>
      </c>
      <c r="B21" s="80" t="s">
        <v>289</v>
      </c>
      <c r="C21" s="80" t="s">
        <v>62</v>
      </c>
      <c r="D21" s="90" t="s">
        <v>775</v>
      </c>
      <c r="E21" s="90" t="s">
        <v>659</v>
      </c>
      <c r="F21" s="80" t="s">
        <v>651</v>
      </c>
      <c r="G21" s="91">
        <v>0</v>
      </c>
      <c r="H21" s="92" t="s">
        <v>637</v>
      </c>
      <c r="I21" s="92" t="s">
        <v>776</v>
      </c>
      <c r="J21" s="80"/>
      <c r="K21" s="35"/>
      <c r="L21" s="35"/>
      <c r="M21" s="35"/>
      <c r="N21" s="35"/>
      <c r="O21" s="35"/>
      <c r="P21" s="35"/>
      <c r="Q21" s="35"/>
    </row>
    <row r="22" spans="1:17" ht="14.25" customHeight="1">
      <c r="A22" s="89">
        <v>4</v>
      </c>
      <c r="B22" s="80" t="s">
        <v>290</v>
      </c>
      <c r="C22" s="80" t="s">
        <v>63</v>
      </c>
      <c r="D22" s="90" t="s">
        <v>710</v>
      </c>
      <c r="E22" s="90" t="s">
        <v>624</v>
      </c>
      <c r="F22" s="80" t="s">
        <v>687</v>
      </c>
      <c r="G22" s="91">
        <v>1</v>
      </c>
      <c r="H22" s="80"/>
      <c r="I22" s="80"/>
      <c r="J22" s="80"/>
      <c r="K22" s="35"/>
      <c r="L22" s="35"/>
      <c r="M22" s="35"/>
      <c r="N22" s="35"/>
      <c r="O22" s="35"/>
      <c r="P22" s="35"/>
      <c r="Q22" s="35"/>
    </row>
    <row r="23" spans="1:17" ht="14.25" customHeight="1">
      <c r="A23" s="89">
        <v>43</v>
      </c>
      <c r="B23" s="80" t="s">
        <v>291</v>
      </c>
      <c r="C23" s="80" t="s">
        <v>65</v>
      </c>
      <c r="D23" s="90" t="s">
        <v>800</v>
      </c>
      <c r="E23" s="90" t="s">
        <v>663</v>
      </c>
      <c r="F23" s="78" t="s">
        <v>660</v>
      </c>
      <c r="G23" s="91">
        <v>1</v>
      </c>
      <c r="H23" s="80"/>
      <c r="I23" s="83"/>
      <c r="J23" s="80"/>
      <c r="K23" s="35"/>
      <c r="L23" s="35"/>
      <c r="M23" s="35"/>
      <c r="N23" s="35"/>
      <c r="O23" s="35"/>
      <c r="P23" s="35"/>
      <c r="Q23" s="35"/>
    </row>
    <row r="24" spans="1:17" ht="14.25" customHeight="1">
      <c r="A24" s="89">
        <v>75</v>
      </c>
      <c r="B24" s="80" t="s">
        <v>292</v>
      </c>
      <c r="C24" s="80" t="s">
        <v>65</v>
      </c>
      <c r="D24" s="90" t="s">
        <v>877</v>
      </c>
      <c r="E24" s="90" t="s">
        <v>680</v>
      </c>
      <c r="F24" s="80" t="s">
        <v>664</v>
      </c>
      <c r="G24" s="91">
        <v>1</v>
      </c>
      <c r="H24" s="80"/>
      <c r="I24" s="83"/>
      <c r="J24" s="80"/>
      <c r="K24" s="35"/>
      <c r="L24" s="35"/>
      <c r="M24" s="35"/>
      <c r="N24" s="35"/>
      <c r="O24" s="35"/>
      <c r="P24" s="35"/>
      <c r="Q24" s="35"/>
    </row>
    <row r="25" spans="1:17" ht="14.25" customHeight="1">
      <c r="A25" s="89">
        <v>40</v>
      </c>
      <c r="B25" s="80" t="s">
        <v>293</v>
      </c>
      <c r="C25" s="80" t="s">
        <v>66</v>
      </c>
      <c r="D25" s="90" t="s">
        <v>793</v>
      </c>
      <c r="E25" s="90" t="s">
        <v>663</v>
      </c>
      <c r="F25" s="80" t="s">
        <v>660</v>
      </c>
      <c r="G25" s="91">
        <v>0</v>
      </c>
      <c r="H25" s="92" t="s">
        <v>634</v>
      </c>
      <c r="I25" s="80"/>
      <c r="J25" s="80"/>
      <c r="K25" s="35"/>
      <c r="L25" s="35"/>
      <c r="M25" s="35"/>
      <c r="N25" s="35"/>
      <c r="O25" s="35"/>
      <c r="P25" s="35"/>
      <c r="Q25" s="35"/>
    </row>
    <row r="26" spans="1:17" ht="14.25" customHeight="1">
      <c r="A26" s="89">
        <v>19</v>
      </c>
      <c r="B26" s="80" t="s">
        <v>294</v>
      </c>
      <c r="C26" s="80" t="s">
        <v>67</v>
      </c>
      <c r="D26" s="90" t="s">
        <v>745</v>
      </c>
      <c r="E26" s="90" t="s">
        <v>650</v>
      </c>
      <c r="F26" s="80" t="s">
        <v>625</v>
      </c>
      <c r="G26" s="91">
        <v>1</v>
      </c>
      <c r="H26" s="80"/>
      <c r="I26" s="80"/>
      <c r="J26" s="80"/>
      <c r="K26" s="35"/>
      <c r="L26" s="35"/>
      <c r="M26" s="35"/>
      <c r="N26" s="35"/>
      <c r="O26" s="35"/>
      <c r="P26" s="35"/>
      <c r="Q26" s="35"/>
    </row>
    <row r="27" spans="1:17" ht="14.25" customHeight="1">
      <c r="A27" s="89">
        <v>71</v>
      </c>
      <c r="B27" s="80" t="s">
        <v>295</v>
      </c>
      <c r="C27" s="80" t="s">
        <v>68</v>
      </c>
      <c r="D27" s="90" t="s">
        <v>869</v>
      </c>
      <c r="E27" s="90" t="s">
        <v>680</v>
      </c>
      <c r="F27" s="80" t="s">
        <v>664</v>
      </c>
      <c r="G27" s="91">
        <v>0</v>
      </c>
      <c r="H27" s="92" t="s">
        <v>634</v>
      </c>
      <c r="I27" s="80"/>
      <c r="J27" s="80"/>
      <c r="K27" s="35"/>
      <c r="L27" s="35"/>
      <c r="M27" s="35"/>
      <c r="N27" s="35"/>
      <c r="O27" s="35"/>
      <c r="P27" s="35"/>
      <c r="Q27" s="35"/>
    </row>
    <row r="28" spans="1:17" ht="14.25" customHeight="1">
      <c r="A28" s="89">
        <v>24</v>
      </c>
      <c r="B28" s="80" t="s">
        <v>296</v>
      </c>
      <c r="C28" s="80" t="s">
        <v>69</v>
      </c>
      <c r="D28" s="90" t="s">
        <v>757</v>
      </c>
      <c r="E28" s="90" t="s">
        <v>659</v>
      </c>
      <c r="F28" s="80" t="s">
        <v>651</v>
      </c>
      <c r="G28" s="91">
        <v>1</v>
      </c>
      <c r="H28" s="80"/>
      <c r="I28" s="237"/>
      <c r="J28" s="80"/>
      <c r="K28" s="35"/>
      <c r="L28" s="35"/>
      <c r="M28" s="35"/>
      <c r="N28" s="35"/>
      <c r="O28" s="35"/>
      <c r="P28" s="35"/>
      <c r="Q28" s="35"/>
    </row>
    <row r="29" spans="1:17" ht="14.25" customHeight="1">
      <c r="A29" s="84">
        <v>21</v>
      </c>
      <c r="B29" s="85" t="s">
        <v>297</v>
      </c>
      <c r="C29" s="85" t="s">
        <v>70</v>
      </c>
      <c r="D29" s="86" t="s">
        <v>751</v>
      </c>
      <c r="E29" s="86" t="s">
        <v>650</v>
      </c>
      <c r="F29" s="85" t="s">
        <v>625</v>
      </c>
      <c r="G29" s="87">
        <v>0</v>
      </c>
      <c r="H29" s="88" t="s">
        <v>634</v>
      </c>
      <c r="I29" s="85"/>
      <c r="J29" s="85"/>
      <c r="K29" s="35"/>
      <c r="L29" s="35"/>
      <c r="M29" s="35"/>
      <c r="N29" s="35"/>
      <c r="O29" s="35"/>
      <c r="P29" s="35"/>
      <c r="Q29" s="35"/>
    </row>
    <row r="30" spans="1:17" ht="14.25" customHeight="1">
      <c r="A30" s="89">
        <v>14</v>
      </c>
      <c r="B30" s="80" t="s">
        <v>298</v>
      </c>
      <c r="C30" s="80" t="s">
        <v>71</v>
      </c>
      <c r="D30" s="90" t="s">
        <v>732</v>
      </c>
      <c r="E30" s="90" t="s">
        <v>650</v>
      </c>
      <c r="F30" s="80" t="s">
        <v>625</v>
      </c>
      <c r="G30" s="91">
        <v>0</v>
      </c>
      <c r="H30" s="92" t="s">
        <v>626</v>
      </c>
      <c r="I30" s="92" t="s">
        <v>733</v>
      </c>
      <c r="J30" s="80"/>
      <c r="K30" s="35"/>
      <c r="L30" s="35"/>
      <c r="M30" s="35"/>
      <c r="N30" s="35"/>
      <c r="O30" s="35"/>
      <c r="P30" s="35"/>
      <c r="Q30" s="35"/>
    </row>
    <row r="31" spans="1:17" ht="14.25" customHeight="1">
      <c r="A31" s="84">
        <v>39</v>
      </c>
      <c r="B31" s="85" t="s">
        <v>299</v>
      </c>
      <c r="C31" s="85" t="s">
        <v>72</v>
      </c>
      <c r="D31" s="86" t="s">
        <v>792</v>
      </c>
      <c r="E31" s="86" t="s">
        <v>663</v>
      </c>
      <c r="F31" s="85" t="s">
        <v>660</v>
      </c>
      <c r="G31" s="87">
        <v>0</v>
      </c>
      <c r="H31" s="88" t="s">
        <v>634</v>
      </c>
      <c r="I31" s="85"/>
      <c r="J31" s="85"/>
      <c r="K31" s="35"/>
      <c r="L31" s="35"/>
      <c r="M31" s="35"/>
      <c r="N31" s="35"/>
      <c r="O31" s="35"/>
      <c r="P31" s="35"/>
      <c r="Q31" s="35"/>
    </row>
    <row r="32" spans="1:17" ht="14.25" customHeight="1">
      <c r="A32" s="84">
        <v>29</v>
      </c>
      <c r="B32" s="85" t="s">
        <v>300</v>
      </c>
      <c r="C32" s="85" t="s">
        <v>74</v>
      </c>
      <c r="D32" s="86" t="s">
        <v>770</v>
      </c>
      <c r="E32" s="86" t="s">
        <v>659</v>
      </c>
      <c r="F32" s="85" t="s">
        <v>651</v>
      </c>
      <c r="G32" s="87">
        <v>0</v>
      </c>
      <c r="H32" s="88" t="s">
        <v>626</v>
      </c>
      <c r="I32" s="88" t="s">
        <v>771</v>
      </c>
      <c r="J32" s="88" t="s">
        <v>772</v>
      </c>
      <c r="K32" s="35"/>
      <c r="L32" s="35"/>
      <c r="M32" s="35"/>
      <c r="N32" s="35"/>
      <c r="O32" s="35"/>
      <c r="P32" s="35"/>
      <c r="Q32" s="35"/>
    </row>
    <row r="33" spans="1:17" ht="14.25" customHeight="1">
      <c r="A33" s="84">
        <v>79</v>
      </c>
      <c r="B33" s="85" t="s">
        <v>301</v>
      </c>
      <c r="C33" s="85" t="s">
        <v>75</v>
      </c>
      <c r="D33" s="86" t="s">
        <v>884</v>
      </c>
      <c r="E33" s="86" t="s">
        <v>686</v>
      </c>
      <c r="F33" s="85" t="s">
        <v>681</v>
      </c>
      <c r="G33" s="87">
        <v>0</v>
      </c>
      <c r="H33" s="88" t="s">
        <v>626</v>
      </c>
      <c r="I33" s="88" t="s">
        <v>885</v>
      </c>
      <c r="J33" s="85"/>
      <c r="K33" s="35"/>
      <c r="L33" s="35"/>
      <c r="M33" s="35"/>
      <c r="N33" s="35"/>
      <c r="O33" s="35"/>
      <c r="P33" s="35"/>
      <c r="Q33" s="35"/>
    </row>
    <row r="34" spans="1:17" ht="14.25" customHeight="1">
      <c r="A34" s="84">
        <v>57</v>
      </c>
      <c r="B34" s="85" t="s">
        <v>302</v>
      </c>
      <c r="C34" s="85" t="s">
        <v>76</v>
      </c>
      <c r="D34" s="86" t="s">
        <v>836</v>
      </c>
      <c r="E34" s="86" t="s">
        <v>673</v>
      </c>
      <c r="F34" s="85" t="s">
        <v>674</v>
      </c>
      <c r="G34" s="87">
        <v>0</v>
      </c>
      <c r="H34" s="88" t="s">
        <v>626</v>
      </c>
      <c r="I34" s="88" t="s">
        <v>837</v>
      </c>
      <c r="J34" s="85"/>
      <c r="K34" s="35"/>
      <c r="L34" s="35"/>
      <c r="M34" s="35"/>
      <c r="N34" s="35"/>
      <c r="O34" s="35"/>
      <c r="P34" s="35"/>
      <c r="Q34" s="35"/>
    </row>
    <row r="35" spans="1:17" ht="14.25" customHeight="1">
      <c r="A35" s="89">
        <v>5</v>
      </c>
      <c r="B35" s="80" t="s">
        <v>303</v>
      </c>
      <c r="C35" s="80" t="s">
        <v>78</v>
      </c>
      <c r="D35" s="90" t="s">
        <v>712</v>
      </c>
      <c r="E35" s="90" t="s">
        <v>624</v>
      </c>
      <c r="F35" s="80" t="s">
        <v>687</v>
      </c>
      <c r="G35" s="91">
        <v>0</v>
      </c>
      <c r="H35" s="92" t="s">
        <v>637</v>
      </c>
      <c r="I35" s="92" t="s">
        <v>713</v>
      </c>
      <c r="J35" s="80"/>
      <c r="K35" s="35"/>
      <c r="L35" s="35"/>
      <c r="M35" s="35"/>
      <c r="N35" s="35"/>
      <c r="O35" s="35"/>
      <c r="P35" s="35"/>
      <c r="Q35" s="35"/>
    </row>
    <row r="36" spans="1:17" ht="14.25" customHeight="1">
      <c r="A36" s="89">
        <v>64</v>
      </c>
      <c r="B36" s="80" t="s">
        <v>304</v>
      </c>
      <c r="C36" s="80" t="s">
        <v>80</v>
      </c>
      <c r="D36" s="90" t="s">
        <v>853</v>
      </c>
      <c r="E36" s="90" t="s">
        <v>673</v>
      </c>
      <c r="F36" s="80" t="s">
        <v>674</v>
      </c>
      <c r="G36" s="91">
        <v>1</v>
      </c>
      <c r="H36" s="80"/>
      <c r="I36" s="80"/>
      <c r="J36" s="80"/>
      <c r="K36" s="35"/>
      <c r="L36" s="35"/>
      <c r="M36" s="35"/>
      <c r="N36" s="35"/>
      <c r="O36" s="35"/>
      <c r="P36" s="35"/>
      <c r="Q36" s="35"/>
    </row>
    <row r="37" spans="1:17" ht="14.25" customHeight="1">
      <c r="A37" s="84">
        <v>14</v>
      </c>
      <c r="B37" s="85" t="s">
        <v>305</v>
      </c>
      <c r="C37" s="85" t="s">
        <v>81</v>
      </c>
      <c r="D37" s="86" t="s">
        <v>734</v>
      </c>
      <c r="E37" s="86" t="s">
        <v>650</v>
      </c>
      <c r="F37" s="85" t="s">
        <v>625</v>
      </c>
      <c r="G37" s="87">
        <v>0</v>
      </c>
      <c r="H37" s="88" t="s">
        <v>626</v>
      </c>
      <c r="I37" s="85" t="s">
        <v>735</v>
      </c>
      <c r="J37" s="85"/>
      <c r="K37" s="35"/>
      <c r="L37" s="35"/>
      <c r="M37" s="35"/>
      <c r="N37" s="35"/>
      <c r="O37" s="35"/>
      <c r="P37" s="35"/>
      <c r="Q37" s="35"/>
    </row>
    <row r="38" spans="1:17" ht="14.25" customHeight="1">
      <c r="A38" s="89">
        <v>32</v>
      </c>
      <c r="B38" s="80" t="s">
        <v>306</v>
      </c>
      <c r="C38" s="80" t="s">
        <v>82</v>
      </c>
      <c r="D38" s="90" t="s">
        <v>778</v>
      </c>
      <c r="E38" s="90" t="s">
        <v>659</v>
      </c>
      <c r="F38" s="80" t="s">
        <v>651</v>
      </c>
      <c r="G38" s="91">
        <v>1</v>
      </c>
      <c r="H38" s="80"/>
      <c r="I38" s="92"/>
      <c r="J38" s="80"/>
      <c r="K38" s="35"/>
      <c r="L38" s="35"/>
      <c r="M38" s="35"/>
      <c r="N38" s="35"/>
      <c r="O38" s="35"/>
      <c r="P38" s="35"/>
      <c r="Q38" s="35"/>
    </row>
    <row r="39" spans="1:17" ht="14.25" customHeight="1">
      <c r="A39" s="84">
        <v>32</v>
      </c>
      <c r="B39" s="85" t="s">
        <v>307</v>
      </c>
      <c r="C39" s="85" t="s">
        <v>84</v>
      </c>
      <c r="D39" s="86" t="s">
        <v>779</v>
      </c>
      <c r="E39" s="86" t="s">
        <v>659</v>
      </c>
      <c r="F39" s="85" t="s">
        <v>651</v>
      </c>
      <c r="G39" s="87">
        <v>1</v>
      </c>
      <c r="H39" s="85"/>
      <c r="I39" s="92"/>
      <c r="J39" s="85"/>
      <c r="K39" s="35"/>
      <c r="L39" s="35"/>
      <c r="M39" s="35"/>
      <c r="N39" s="35"/>
      <c r="O39" s="35"/>
      <c r="P39" s="35"/>
      <c r="Q39" s="35"/>
    </row>
    <row r="40" spans="1:17" ht="14.25" customHeight="1">
      <c r="A40" s="89">
        <v>66</v>
      </c>
      <c r="B40" s="80" t="s">
        <v>308</v>
      </c>
      <c r="C40" s="80" t="s">
        <v>85</v>
      </c>
      <c r="D40" s="90" t="s">
        <v>857</v>
      </c>
      <c r="E40" s="90" t="s">
        <v>680</v>
      </c>
      <c r="F40" s="80" t="s">
        <v>664</v>
      </c>
      <c r="G40" s="91">
        <v>1</v>
      </c>
      <c r="H40" s="92"/>
      <c r="I40" s="83"/>
      <c r="J40" s="80"/>
      <c r="K40" s="35"/>
      <c r="L40" s="35"/>
      <c r="M40" s="35"/>
      <c r="N40" s="35"/>
      <c r="O40" s="35"/>
      <c r="P40" s="35"/>
      <c r="Q40" s="35"/>
    </row>
    <row r="41" spans="1:17" ht="14.25" customHeight="1">
      <c r="A41" s="89">
        <v>8</v>
      </c>
      <c r="B41" s="80" t="s">
        <v>309</v>
      </c>
      <c r="C41" s="80" t="s">
        <v>86</v>
      </c>
      <c r="D41" s="90" t="s">
        <v>719</v>
      </c>
      <c r="E41" s="90" t="s">
        <v>624</v>
      </c>
      <c r="F41" s="80" t="s">
        <v>687</v>
      </c>
      <c r="G41" s="91">
        <v>0</v>
      </c>
      <c r="H41" s="92" t="s">
        <v>637</v>
      </c>
      <c r="I41" s="92" t="s">
        <v>720</v>
      </c>
      <c r="J41" s="80"/>
      <c r="K41" s="35"/>
      <c r="L41" s="35"/>
      <c r="M41" s="35"/>
      <c r="N41" s="35"/>
      <c r="O41" s="35"/>
      <c r="P41" s="35"/>
      <c r="Q41" s="35"/>
    </row>
    <row r="42" spans="1:17" ht="14.25" customHeight="1">
      <c r="A42" s="89">
        <v>10</v>
      </c>
      <c r="B42" s="80" t="s">
        <v>310</v>
      </c>
      <c r="C42" s="80" t="s">
        <v>88</v>
      </c>
      <c r="D42" s="90" t="s">
        <v>724</v>
      </c>
      <c r="E42" s="90" t="s">
        <v>624</v>
      </c>
      <c r="F42" s="80" t="s">
        <v>687</v>
      </c>
      <c r="G42" s="91">
        <v>1</v>
      </c>
      <c r="H42" s="80"/>
      <c r="I42" s="80"/>
      <c r="J42" s="80"/>
      <c r="K42" s="35"/>
      <c r="L42" s="35"/>
      <c r="M42" s="35"/>
      <c r="N42" s="35"/>
      <c r="O42" s="35"/>
      <c r="P42" s="35"/>
      <c r="Q42" s="35"/>
    </row>
    <row r="43" spans="1:17" ht="14.25" customHeight="1">
      <c r="A43" s="89">
        <v>6</v>
      </c>
      <c r="B43" s="80" t="s">
        <v>311</v>
      </c>
      <c r="C43" s="80" t="s">
        <v>89</v>
      </c>
      <c r="D43" s="90" t="s">
        <v>715</v>
      </c>
      <c r="E43" s="90" t="s">
        <v>624</v>
      </c>
      <c r="F43" s="80" t="s">
        <v>687</v>
      </c>
      <c r="G43" s="91">
        <v>1</v>
      </c>
      <c r="H43" s="80"/>
      <c r="I43" s="80"/>
      <c r="J43" s="80"/>
      <c r="K43" s="35"/>
      <c r="L43" s="35"/>
      <c r="M43" s="35"/>
      <c r="N43" s="35"/>
      <c r="O43" s="35"/>
      <c r="P43" s="35"/>
      <c r="Q43" s="35"/>
    </row>
    <row r="44" spans="1:17" ht="14.25" customHeight="1">
      <c r="A44" s="89">
        <v>48</v>
      </c>
      <c r="B44" s="80" t="s">
        <v>312</v>
      </c>
      <c r="C44" s="80" t="s">
        <v>90</v>
      </c>
      <c r="D44" s="90" t="s">
        <v>811</v>
      </c>
      <c r="E44" s="90" t="s">
        <v>669</v>
      </c>
      <c r="F44" s="80" t="s">
        <v>670</v>
      </c>
      <c r="G44" s="91">
        <v>1</v>
      </c>
      <c r="H44" s="80"/>
      <c r="I44" s="80"/>
      <c r="J44" s="80"/>
      <c r="K44" s="35"/>
      <c r="L44" s="35"/>
      <c r="M44" s="35"/>
      <c r="N44" s="35"/>
      <c r="O44" s="35"/>
      <c r="P44" s="35"/>
      <c r="Q44" s="35"/>
    </row>
    <row r="45" spans="1:17" ht="14.25" customHeight="1">
      <c r="A45" s="89">
        <v>18</v>
      </c>
      <c r="B45" s="80" t="s">
        <v>313</v>
      </c>
      <c r="C45" s="80" t="s">
        <v>91</v>
      </c>
      <c r="D45" s="90" t="s">
        <v>743</v>
      </c>
      <c r="E45" s="90" t="s">
        <v>650</v>
      </c>
      <c r="F45" s="80" t="s">
        <v>625</v>
      </c>
      <c r="G45" s="91">
        <v>1</v>
      </c>
      <c r="H45" s="80"/>
      <c r="I45" s="80"/>
      <c r="J45" s="80"/>
      <c r="K45" s="35"/>
      <c r="L45" s="35"/>
      <c r="M45" s="35"/>
      <c r="N45" s="35"/>
      <c r="O45" s="35"/>
      <c r="P45" s="35"/>
      <c r="Q45" s="35"/>
    </row>
    <row r="46" spans="1:17" ht="14.25" customHeight="1">
      <c r="A46" s="89">
        <v>15</v>
      </c>
      <c r="B46" s="80" t="s">
        <v>314</v>
      </c>
      <c r="C46" s="80" t="s">
        <v>92</v>
      </c>
      <c r="D46" s="90" t="s">
        <v>736</v>
      </c>
      <c r="E46" s="90" t="s">
        <v>650</v>
      </c>
      <c r="F46" s="80" t="s">
        <v>625</v>
      </c>
      <c r="G46" s="91">
        <v>0</v>
      </c>
      <c r="H46" s="92" t="s">
        <v>637</v>
      </c>
      <c r="I46" s="92" t="s">
        <v>737</v>
      </c>
      <c r="J46" s="80"/>
      <c r="K46" s="35"/>
      <c r="L46" s="35"/>
      <c r="M46" s="35"/>
      <c r="N46" s="35"/>
      <c r="O46" s="35"/>
      <c r="P46" s="35"/>
      <c r="Q46" s="35"/>
    </row>
    <row r="47" spans="1:17" ht="14.25" customHeight="1">
      <c r="A47" s="87"/>
      <c r="B47" s="85" t="s">
        <v>315</v>
      </c>
      <c r="C47" s="85" t="s">
        <v>93</v>
      </c>
      <c r="D47" s="86" t="s">
        <v>782</v>
      </c>
      <c r="E47" s="86" t="s">
        <v>663</v>
      </c>
      <c r="F47" s="85" t="s">
        <v>660</v>
      </c>
      <c r="G47" s="87">
        <v>1</v>
      </c>
      <c r="H47" s="85"/>
      <c r="I47" s="85"/>
      <c r="J47" s="85"/>
      <c r="K47" s="35"/>
      <c r="L47" s="35"/>
      <c r="M47" s="35"/>
      <c r="N47" s="35"/>
      <c r="O47" s="35"/>
      <c r="P47" s="35"/>
      <c r="Q47" s="35"/>
    </row>
    <row r="48" spans="1:17" ht="14.25" customHeight="1">
      <c r="A48" s="84">
        <v>48</v>
      </c>
      <c r="B48" s="85" t="s">
        <v>316</v>
      </c>
      <c r="C48" s="85" t="s">
        <v>95</v>
      </c>
      <c r="D48" s="86" t="s">
        <v>812</v>
      </c>
      <c r="E48" s="86" t="s">
        <v>669</v>
      </c>
      <c r="F48" s="85" t="s">
        <v>670</v>
      </c>
      <c r="G48" s="87">
        <v>1</v>
      </c>
      <c r="H48" s="85"/>
      <c r="I48" s="85"/>
      <c r="J48" s="85"/>
      <c r="K48" s="35"/>
      <c r="L48" s="35"/>
      <c r="M48" s="35"/>
      <c r="N48" s="35"/>
      <c r="O48" s="35"/>
      <c r="P48" s="35"/>
      <c r="Q48" s="35"/>
    </row>
    <row r="49" spans="1:17" ht="14.25" customHeight="1">
      <c r="A49" s="84">
        <v>16</v>
      </c>
      <c r="B49" s="85" t="s">
        <v>317</v>
      </c>
      <c r="C49" s="85" t="s">
        <v>97</v>
      </c>
      <c r="D49" s="86" t="s">
        <v>740</v>
      </c>
      <c r="E49" s="86" t="s">
        <v>650</v>
      </c>
      <c r="F49" s="85" t="s">
        <v>625</v>
      </c>
      <c r="G49" s="87">
        <v>0</v>
      </c>
      <c r="H49" s="88" t="s">
        <v>639</v>
      </c>
      <c r="I49" s="85"/>
      <c r="J49" s="88"/>
      <c r="K49" s="35"/>
      <c r="L49" s="35"/>
      <c r="M49" s="35"/>
      <c r="N49" s="35"/>
      <c r="O49" s="35"/>
      <c r="P49" s="35"/>
      <c r="Q49" s="35"/>
    </row>
    <row r="50" spans="1:17" ht="14.25" customHeight="1">
      <c r="A50" s="89">
        <v>33</v>
      </c>
      <c r="B50" s="80" t="s">
        <v>318</v>
      </c>
      <c r="C50" s="80" t="s">
        <v>98</v>
      </c>
      <c r="D50" s="90" t="s">
        <v>99</v>
      </c>
      <c r="E50" s="90" t="s">
        <v>659</v>
      </c>
      <c r="F50" s="80" t="s">
        <v>651</v>
      </c>
      <c r="G50" s="91">
        <v>1</v>
      </c>
      <c r="H50" s="80"/>
      <c r="I50" s="92"/>
      <c r="J50" s="80"/>
      <c r="K50" s="35"/>
      <c r="L50" s="35"/>
      <c r="M50" s="35"/>
      <c r="N50" s="35"/>
      <c r="O50" s="35"/>
      <c r="P50" s="35"/>
      <c r="Q50" s="35"/>
    </row>
    <row r="51" spans="1:17" ht="14.25" customHeight="1">
      <c r="A51" s="84">
        <v>10</v>
      </c>
      <c r="B51" s="85" t="s">
        <v>319</v>
      </c>
      <c r="C51" s="85" t="s">
        <v>100</v>
      </c>
      <c r="D51" s="86" t="s">
        <v>725</v>
      </c>
      <c r="E51" s="86" t="s">
        <v>624</v>
      </c>
      <c r="F51" s="85" t="s">
        <v>687</v>
      </c>
      <c r="G51" s="87">
        <v>1</v>
      </c>
      <c r="H51" s="85"/>
      <c r="I51" s="85"/>
      <c r="J51" s="85"/>
      <c r="K51" s="35"/>
      <c r="L51" s="60"/>
      <c r="M51" s="35"/>
      <c r="N51" s="35"/>
      <c r="O51" s="35"/>
      <c r="P51" s="35"/>
      <c r="Q51" s="35"/>
    </row>
    <row r="52" spans="1:17" ht="14.25" customHeight="1">
      <c r="A52" s="89">
        <v>13</v>
      </c>
      <c r="B52" s="80" t="s">
        <v>320</v>
      </c>
      <c r="C52" s="80" t="s">
        <v>101</v>
      </c>
      <c r="D52" s="90" t="s">
        <v>730</v>
      </c>
      <c r="E52" s="90" t="s">
        <v>650</v>
      </c>
      <c r="F52" s="80" t="s">
        <v>625</v>
      </c>
      <c r="G52" s="91">
        <v>1</v>
      </c>
      <c r="H52" s="80"/>
      <c r="I52" s="83"/>
      <c r="J52" s="80"/>
      <c r="K52" s="35"/>
      <c r="L52" s="60"/>
      <c r="M52" s="35"/>
      <c r="N52" s="35"/>
      <c r="O52" s="35"/>
      <c r="P52" s="35"/>
      <c r="Q52" s="35"/>
    </row>
    <row r="53" spans="1:17" ht="14.25" customHeight="1">
      <c r="A53" s="84">
        <v>66</v>
      </c>
      <c r="B53" s="85" t="s">
        <v>321</v>
      </c>
      <c r="C53" s="85" t="s">
        <v>102</v>
      </c>
      <c r="D53" s="86" t="s">
        <v>858</v>
      </c>
      <c r="E53" s="86" t="s">
        <v>680</v>
      </c>
      <c r="F53" s="85" t="s">
        <v>664</v>
      </c>
      <c r="G53" s="87">
        <v>1</v>
      </c>
      <c r="H53" s="88"/>
      <c r="I53" s="85"/>
      <c r="J53" s="85"/>
      <c r="K53" s="35"/>
      <c r="L53" s="35"/>
      <c r="M53" s="35"/>
      <c r="N53" s="35"/>
      <c r="O53" s="35"/>
      <c r="P53" s="35"/>
      <c r="Q53" s="35"/>
    </row>
    <row r="54" spans="1:17" ht="14.25" customHeight="1">
      <c r="A54" s="84">
        <v>56</v>
      </c>
      <c r="B54" s="85" t="s">
        <v>322</v>
      </c>
      <c r="C54" s="85" t="s">
        <v>103</v>
      </c>
      <c r="D54" s="86" t="s">
        <v>834</v>
      </c>
      <c r="E54" s="86" t="s">
        <v>673</v>
      </c>
      <c r="F54" s="85" t="s">
        <v>674</v>
      </c>
      <c r="G54" s="87">
        <v>1</v>
      </c>
      <c r="H54" s="88"/>
      <c r="I54" s="88"/>
      <c r="J54" s="85"/>
      <c r="K54" s="35"/>
      <c r="L54" s="35"/>
      <c r="M54" s="35"/>
      <c r="N54" s="35"/>
      <c r="O54" s="35"/>
      <c r="P54" s="35"/>
      <c r="Q54" s="35"/>
    </row>
    <row r="55" spans="1:17" ht="14.25" customHeight="1">
      <c r="A55" s="89">
        <v>62</v>
      </c>
      <c r="B55" s="80" t="s">
        <v>323</v>
      </c>
      <c r="C55" s="80" t="s">
        <v>103</v>
      </c>
      <c r="D55" s="90" t="s">
        <v>848</v>
      </c>
      <c r="E55" s="90" t="s">
        <v>673</v>
      </c>
      <c r="F55" s="80" t="s">
        <v>674</v>
      </c>
      <c r="G55" s="91">
        <v>0</v>
      </c>
      <c r="H55" s="92" t="s">
        <v>626</v>
      </c>
      <c r="I55" s="92" t="s">
        <v>849</v>
      </c>
      <c r="J55" s="80"/>
      <c r="K55" s="35"/>
      <c r="L55" s="35"/>
      <c r="M55" s="35"/>
      <c r="N55" s="35"/>
      <c r="O55" s="35"/>
      <c r="P55" s="35"/>
      <c r="Q55" s="35"/>
    </row>
    <row r="56" spans="1:17" ht="14.25" customHeight="1">
      <c r="A56" s="84">
        <v>13</v>
      </c>
      <c r="B56" s="85" t="s">
        <v>324</v>
      </c>
      <c r="C56" s="85" t="s">
        <v>104</v>
      </c>
      <c r="D56" s="86" t="s">
        <v>731</v>
      </c>
      <c r="E56" s="86" t="s">
        <v>650</v>
      </c>
      <c r="F56" s="85" t="s">
        <v>625</v>
      </c>
      <c r="G56" s="87">
        <v>1</v>
      </c>
      <c r="H56" s="85"/>
      <c r="I56" s="85"/>
      <c r="J56" s="85"/>
      <c r="K56" s="35"/>
      <c r="L56" s="35"/>
      <c r="M56" s="35"/>
      <c r="N56" s="35"/>
      <c r="O56" s="35"/>
      <c r="P56" s="35"/>
      <c r="Q56" s="35"/>
    </row>
    <row r="57" spans="1:17" ht="14.25" customHeight="1">
      <c r="A57" s="89">
        <v>70</v>
      </c>
      <c r="B57" s="80" t="s">
        <v>325</v>
      </c>
      <c r="C57" s="80" t="s">
        <v>106</v>
      </c>
      <c r="D57" s="90" t="s">
        <v>866</v>
      </c>
      <c r="E57" s="90" t="s">
        <v>680</v>
      </c>
      <c r="F57" s="80" t="s">
        <v>664</v>
      </c>
      <c r="G57" s="91">
        <v>0</v>
      </c>
      <c r="H57" s="92" t="s">
        <v>637</v>
      </c>
      <c r="I57" s="92" t="s">
        <v>867</v>
      </c>
      <c r="J57" s="80"/>
      <c r="K57" s="35"/>
      <c r="L57" s="35"/>
      <c r="M57" s="35"/>
      <c r="N57" s="35"/>
      <c r="O57" s="35"/>
      <c r="P57" s="35"/>
      <c r="Q57" s="35"/>
    </row>
    <row r="58" spans="1:17" ht="14.25" customHeight="1">
      <c r="A58" s="89">
        <v>9</v>
      </c>
      <c r="B58" s="80" t="s">
        <v>326</v>
      </c>
      <c r="C58" s="80" t="s">
        <v>18</v>
      </c>
      <c r="D58" s="90" t="s">
        <v>722</v>
      </c>
      <c r="E58" s="90" t="s">
        <v>624</v>
      </c>
      <c r="F58" s="80" t="s">
        <v>687</v>
      </c>
      <c r="G58" s="91">
        <v>1</v>
      </c>
      <c r="H58" s="80"/>
      <c r="I58" s="80"/>
      <c r="J58" s="80"/>
      <c r="K58" s="35"/>
      <c r="L58" s="35"/>
      <c r="M58" s="35"/>
      <c r="N58" s="35"/>
      <c r="O58" s="35"/>
      <c r="P58" s="35"/>
      <c r="Q58" s="35"/>
    </row>
    <row r="59" spans="1:17" ht="14.25" customHeight="1">
      <c r="A59" s="84">
        <v>85</v>
      </c>
      <c r="B59" s="85" t="s">
        <v>327</v>
      </c>
      <c r="C59" s="85" t="s">
        <v>107</v>
      </c>
      <c r="D59" s="86" t="s">
        <v>896</v>
      </c>
      <c r="E59" s="86" t="s">
        <v>686</v>
      </c>
      <c r="F59" s="85" t="s">
        <v>681</v>
      </c>
      <c r="G59" s="87">
        <v>0</v>
      </c>
      <c r="H59" s="88" t="s">
        <v>642</v>
      </c>
      <c r="I59" s="88" t="s">
        <v>897</v>
      </c>
      <c r="J59" s="85"/>
      <c r="K59" s="35"/>
      <c r="L59" s="35"/>
      <c r="M59" s="35"/>
      <c r="N59" s="35"/>
      <c r="O59" s="35"/>
      <c r="P59" s="35"/>
      <c r="Q59" s="35"/>
    </row>
    <row r="60" spans="1:17" ht="14.25" customHeight="1">
      <c r="A60" s="89">
        <v>53</v>
      </c>
      <c r="B60" s="80" t="s">
        <v>328</v>
      </c>
      <c r="C60" s="80" t="s">
        <v>109</v>
      </c>
      <c r="D60" s="90" t="s">
        <v>825</v>
      </c>
      <c r="E60" s="90" t="s">
        <v>669</v>
      </c>
      <c r="F60" s="80" t="s">
        <v>670</v>
      </c>
      <c r="G60" s="91">
        <v>0</v>
      </c>
      <c r="H60" s="92" t="s">
        <v>626</v>
      </c>
      <c r="I60" s="92" t="s">
        <v>826</v>
      </c>
      <c r="J60" s="80"/>
      <c r="K60" s="35"/>
      <c r="L60" s="35"/>
      <c r="M60" s="35"/>
      <c r="N60" s="35"/>
      <c r="O60" s="35"/>
      <c r="P60" s="35"/>
      <c r="Q60" s="35"/>
    </row>
    <row r="61" spans="1:17" ht="14.25" customHeight="1">
      <c r="A61" s="89">
        <v>22</v>
      </c>
      <c r="B61" s="80" t="s">
        <v>330</v>
      </c>
      <c r="C61" s="80" t="s">
        <v>110</v>
      </c>
      <c r="D61" s="90" t="s">
        <v>752</v>
      </c>
      <c r="E61" s="90" t="s">
        <v>650</v>
      </c>
      <c r="F61" s="80" t="s">
        <v>625</v>
      </c>
      <c r="G61" s="91">
        <v>1</v>
      </c>
      <c r="H61" s="80"/>
      <c r="I61" s="83"/>
      <c r="J61" s="80"/>
      <c r="K61" s="35"/>
      <c r="L61" s="35"/>
      <c r="M61" s="35"/>
      <c r="N61" s="35"/>
      <c r="O61" s="35"/>
      <c r="P61" s="35"/>
      <c r="Q61" s="35"/>
    </row>
    <row r="62" spans="1:17" ht="14.25" customHeight="1">
      <c r="A62" s="84">
        <v>87</v>
      </c>
      <c r="B62" s="85" t="s">
        <v>331</v>
      </c>
      <c r="C62" s="85" t="s">
        <v>112</v>
      </c>
      <c r="D62" s="86">
        <v>2341547</v>
      </c>
      <c r="E62" s="86" t="s">
        <v>680</v>
      </c>
      <c r="F62" s="85" t="s">
        <v>664</v>
      </c>
      <c r="G62" s="87">
        <v>0</v>
      </c>
      <c r="H62" s="88" t="s">
        <v>626</v>
      </c>
      <c r="I62" s="88" t="s">
        <v>901</v>
      </c>
      <c r="J62" s="85"/>
      <c r="K62" s="35"/>
      <c r="L62" s="35"/>
      <c r="M62" s="35"/>
      <c r="N62" s="35"/>
      <c r="O62" s="35"/>
      <c r="P62" s="35"/>
      <c r="Q62" s="35"/>
    </row>
    <row r="63" spans="1:17" ht="14.25" customHeight="1">
      <c r="A63" s="89">
        <v>25</v>
      </c>
      <c r="B63" s="80" t="s">
        <v>332</v>
      </c>
      <c r="C63" s="80" t="s">
        <v>113</v>
      </c>
      <c r="D63" s="90" t="s">
        <v>759</v>
      </c>
      <c r="E63" s="90" t="s">
        <v>659</v>
      </c>
      <c r="F63" s="80" t="s">
        <v>651</v>
      </c>
      <c r="G63" s="91">
        <v>0</v>
      </c>
      <c r="H63" s="92" t="s">
        <v>634</v>
      </c>
      <c r="I63" s="80"/>
      <c r="J63" s="80"/>
      <c r="K63" s="35"/>
      <c r="L63" s="35"/>
      <c r="M63" s="35"/>
      <c r="N63" s="35"/>
      <c r="O63" s="35"/>
      <c r="P63" s="35"/>
      <c r="Q63" s="35"/>
    </row>
    <row r="64" spans="1:17" ht="14.25" customHeight="1">
      <c r="A64" s="84">
        <v>77</v>
      </c>
      <c r="B64" s="85" t="s">
        <v>333</v>
      </c>
      <c r="C64" s="85" t="s">
        <v>115</v>
      </c>
      <c r="D64" s="86" t="s">
        <v>878</v>
      </c>
      <c r="E64" s="86" t="s">
        <v>686</v>
      </c>
      <c r="F64" s="85" t="s">
        <v>681</v>
      </c>
      <c r="G64" s="87">
        <v>0</v>
      </c>
      <c r="H64" s="88" t="s">
        <v>642</v>
      </c>
      <c r="I64" s="60" t="s">
        <v>879</v>
      </c>
      <c r="J64" s="35"/>
      <c r="K64" s="35"/>
      <c r="L64" s="35"/>
      <c r="M64" s="35"/>
      <c r="N64" s="35"/>
      <c r="O64" s="35"/>
      <c r="P64" s="35"/>
      <c r="Q64" s="35"/>
    </row>
    <row r="65" spans="1:17" ht="14.25" customHeight="1">
      <c r="A65" s="84">
        <v>15</v>
      </c>
      <c r="B65" s="85" t="s">
        <v>334</v>
      </c>
      <c r="C65" s="85" t="s">
        <v>19</v>
      </c>
      <c r="D65" s="86" t="s">
        <v>738</v>
      </c>
      <c r="E65" s="86" t="s">
        <v>650</v>
      </c>
      <c r="F65" s="85" t="s">
        <v>625</v>
      </c>
      <c r="G65" s="87">
        <v>0</v>
      </c>
      <c r="H65" s="88" t="s">
        <v>633</v>
      </c>
      <c r="I65" s="85"/>
      <c r="J65" s="86"/>
      <c r="K65" s="35"/>
      <c r="L65" s="35"/>
      <c r="M65" s="35"/>
      <c r="N65" s="35"/>
      <c r="O65" s="35"/>
      <c r="P65" s="35"/>
      <c r="Q65" s="35"/>
    </row>
    <row r="66" spans="1:17" ht="14.25" customHeight="1">
      <c r="A66" s="89">
        <v>38</v>
      </c>
      <c r="B66" s="80" t="s">
        <v>335</v>
      </c>
      <c r="C66" s="80" t="s">
        <v>118</v>
      </c>
      <c r="D66" s="90" t="s">
        <v>789</v>
      </c>
      <c r="E66" s="90" t="s">
        <v>663</v>
      </c>
      <c r="F66" s="80" t="s">
        <v>660</v>
      </c>
      <c r="G66" s="91">
        <v>1</v>
      </c>
      <c r="H66" s="80"/>
      <c r="I66" s="80"/>
      <c r="J66" s="80"/>
      <c r="K66" s="35"/>
      <c r="L66" s="35"/>
      <c r="M66" s="35"/>
      <c r="N66" s="35"/>
      <c r="O66" s="35"/>
      <c r="P66" s="35"/>
      <c r="Q66" s="35"/>
    </row>
    <row r="67" spans="1:17" ht="14.25" customHeight="1">
      <c r="A67" s="89">
        <v>35</v>
      </c>
      <c r="B67" s="80" t="s">
        <v>336</v>
      </c>
      <c r="C67" s="80" t="s">
        <v>119</v>
      </c>
      <c r="D67" s="90" t="s">
        <v>783</v>
      </c>
      <c r="E67" s="90" t="s">
        <v>663</v>
      </c>
      <c r="F67" s="80" t="s">
        <v>660</v>
      </c>
      <c r="G67" s="91">
        <v>0</v>
      </c>
      <c r="H67" s="92" t="s">
        <v>637</v>
      </c>
      <c r="I67" s="80"/>
      <c r="J67" s="80"/>
      <c r="K67" s="35"/>
      <c r="L67" s="35"/>
      <c r="M67" s="35"/>
      <c r="N67" s="35"/>
      <c r="O67" s="35"/>
      <c r="P67" s="35"/>
      <c r="Q67" s="35"/>
    </row>
    <row r="68" spans="1:17" ht="14.25" customHeight="1">
      <c r="A68" s="89">
        <v>47</v>
      </c>
      <c r="B68" s="80" t="s">
        <v>337</v>
      </c>
      <c r="C68" s="80" t="s">
        <v>121</v>
      </c>
      <c r="D68" s="90" t="s">
        <v>809</v>
      </c>
      <c r="E68" s="90" t="s">
        <v>669</v>
      </c>
      <c r="F68" s="80" t="s">
        <v>670</v>
      </c>
      <c r="G68" s="91">
        <v>0</v>
      </c>
      <c r="H68" s="92" t="s">
        <v>626</v>
      </c>
      <c r="I68" s="92" t="s">
        <v>810</v>
      </c>
      <c r="J68" s="80"/>
      <c r="K68" s="35"/>
      <c r="L68" s="35"/>
      <c r="M68" s="35"/>
      <c r="N68" s="35"/>
      <c r="O68" s="35"/>
      <c r="P68" s="35"/>
      <c r="Q68" s="35"/>
    </row>
    <row r="69" spans="1:17" ht="14.25" customHeight="1">
      <c r="A69" s="84">
        <v>53</v>
      </c>
      <c r="B69" s="85" t="s">
        <v>338</v>
      </c>
      <c r="C69" s="85" t="s">
        <v>122</v>
      </c>
      <c r="D69" s="86" t="s">
        <v>827</v>
      </c>
      <c r="E69" s="86" t="s">
        <v>669</v>
      </c>
      <c r="F69" s="85" t="s">
        <v>670</v>
      </c>
      <c r="G69" s="87">
        <v>0</v>
      </c>
      <c r="H69" s="88" t="s">
        <v>626</v>
      </c>
      <c r="I69" s="93" t="s">
        <v>826</v>
      </c>
      <c r="J69" s="85"/>
      <c r="K69" s="35"/>
      <c r="L69" s="35"/>
      <c r="M69" s="35"/>
      <c r="N69" s="35"/>
      <c r="O69" s="35"/>
      <c r="P69" s="35"/>
      <c r="Q69" s="35"/>
    </row>
    <row r="70" spans="1:17" ht="14.25" customHeight="1">
      <c r="A70" s="89">
        <v>54</v>
      </c>
      <c r="B70" s="80" t="s">
        <v>339</v>
      </c>
      <c r="C70" s="80" t="s">
        <v>123</v>
      </c>
      <c r="D70" s="90" t="s">
        <v>828</v>
      </c>
      <c r="E70" s="90" t="s">
        <v>669</v>
      </c>
      <c r="F70" s="80" t="s">
        <v>670</v>
      </c>
      <c r="G70" s="91">
        <v>0</v>
      </c>
      <c r="H70" s="92" t="s">
        <v>634</v>
      </c>
      <c r="I70" s="80"/>
      <c r="J70" s="80"/>
      <c r="K70" s="35"/>
      <c r="L70" s="35"/>
      <c r="M70" s="35"/>
      <c r="N70" s="35"/>
      <c r="O70" s="35"/>
      <c r="P70" s="35"/>
      <c r="Q70" s="35"/>
    </row>
    <row r="71" spans="1:17" ht="14.25" customHeight="1">
      <c r="A71" s="89">
        <v>12</v>
      </c>
      <c r="B71" s="80" t="s">
        <v>340</v>
      </c>
      <c r="C71" s="80" t="s">
        <v>125</v>
      </c>
      <c r="D71" s="90" t="s">
        <v>728</v>
      </c>
      <c r="E71" s="90" t="s">
        <v>650</v>
      </c>
      <c r="F71" s="80" t="s">
        <v>625</v>
      </c>
      <c r="G71" s="91">
        <v>1</v>
      </c>
      <c r="H71" s="80"/>
      <c r="I71" s="83"/>
      <c r="J71" s="80"/>
      <c r="K71" s="35"/>
      <c r="L71" s="35"/>
      <c r="M71" s="35"/>
      <c r="N71" s="35"/>
      <c r="O71" s="35"/>
      <c r="P71" s="35"/>
      <c r="Q71" s="35"/>
    </row>
    <row r="72" spans="1:17" ht="14.25" customHeight="1">
      <c r="A72" s="89">
        <v>77</v>
      </c>
      <c r="B72" s="80" t="s">
        <v>341</v>
      </c>
      <c r="C72" s="80" t="s">
        <v>127</v>
      </c>
      <c r="D72" s="90" t="s">
        <v>880</v>
      </c>
      <c r="E72" s="90" t="s">
        <v>686</v>
      </c>
      <c r="F72" s="80" t="s">
        <v>681</v>
      </c>
      <c r="G72" s="91">
        <v>0</v>
      </c>
      <c r="H72" s="92" t="s">
        <v>642</v>
      </c>
      <c r="I72" s="60" t="s">
        <v>879</v>
      </c>
      <c r="J72" s="35"/>
      <c r="K72" s="35"/>
      <c r="L72" s="35"/>
      <c r="M72" s="35"/>
      <c r="N72" s="35"/>
      <c r="O72" s="35"/>
      <c r="P72" s="35"/>
      <c r="Q72" s="35"/>
    </row>
    <row r="73" spans="1:17" ht="14.25" customHeight="1">
      <c r="A73" s="89">
        <v>58</v>
      </c>
      <c r="B73" s="80" t="s">
        <v>342</v>
      </c>
      <c r="C73" s="80" t="s">
        <v>128</v>
      </c>
      <c r="D73" s="90" t="s">
        <v>838</v>
      </c>
      <c r="E73" s="90" t="s">
        <v>673</v>
      </c>
      <c r="F73" s="80" t="s">
        <v>674</v>
      </c>
      <c r="G73" s="91">
        <v>0</v>
      </c>
      <c r="H73" s="92" t="s">
        <v>634</v>
      </c>
      <c r="I73" s="80"/>
      <c r="J73" s="80"/>
      <c r="K73" s="35"/>
      <c r="L73" s="35"/>
      <c r="M73" s="35"/>
      <c r="N73" s="35"/>
      <c r="O73" s="35"/>
      <c r="P73" s="35"/>
      <c r="Q73" s="35"/>
    </row>
    <row r="74" spans="1:17" ht="14.25" customHeight="1">
      <c r="A74" s="89">
        <v>72</v>
      </c>
      <c r="B74" s="80" t="s">
        <v>343</v>
      </c>
      <c r="C74" s="80" t="s">
        <v>130</v>
      </c>
      <c r="D74" s="90" t="s">
        <v>871</v>
      </c>
      <c r="E74" s="90" t="s">
        <v>680</v>
      </c>
      <c r="F74" s="80" t="s">
        <v>664</v>
      </c>
      <c r="G74" s="91">
        <v>0</v>
      </c>
      <c r="H74" s="92" t="s">
        <v>634</v>
      </c>
      <c r="I74" s="80"/>
      <c r="J74" s="80"/>
      <c r="K74" s="35"/>
      <c r="L74" s="35"/>
      <c r="M74" s="35"/>
      <c r="N74" s="35"/>
      <c r="O74" s="35"/>
      <c r="P74" s="35"/>
      <c r="Q74" s="35"/>
    </row>
    <row r="75" spans="1:17" ht="14.25" customHeight="1">
      <c r="A75" s="84">
        <v>72</v>
      </c>
      <c r="B75" s="85" t="s">
        <v>344</v>
      </c>
      <c r="C75" s="85" t="s">
        <v>131</v>
      </c>
      <c r="D75" s="86" t="s">
        <v>872</v>
      </c>
      <c r="E75" s="86" t="s">
        <v>680</v>
      </c>
      <c r="F75" s="85" t="s">
        <v>664</v>
      </c>
      <c r="G75" s="87">
        <v>0</v>
      </c>
      <c r="H75" s="88" t="s">
        <v>634</v>
      </c>
      <c r="I75" s="85"/>
      <c r="J75" s="85"/>
      <c r="K75" s="35"/>
      <c r="L75" s="35"/>
      <c r="M75" s="35"/>
      <c r="N75" s="35"/>
      <c r="O75" s="35"/>
      <c r="P75" s="35"/>
      <c r="Q75" s="35"/>
    </row>
    <row r="76" spans="1:17" ht="14.25" customHeight="1">
      <c r="A76" s="89">
        <v>41</v>
      </c>
      <c r="B76" s="80" t="s">
        <v>345</v>
      </c>
      <c r="C76" s="80" t="s">
        <v>133</v>
      </c>
      <c r="D76" s="90" t="s">
        <v>795</v>
      </c>
      <c r="E76" s="90" t="s">
        <v>663</v>
      </c>
      <c r="F76" s="80" t="s">
        <v>660</v>
      </c>
      <c r="G76" s="91">
        <v>0</v>
      </c>
      <c r="H76" s="92" t="s">
        <v>634</v>
      </c>
      <c r="I76" s="83"/>
      <c r="J76" s="80"/>
      <c r="K76" s="35"/>
      <c r="L76" s="35"/>
      <c r="M76" s="35"/>
      <c r="N76" s="35"/>
      <c r="O76" s="35"/>
      <c r="P76" s="35"/>
      <c r="Q76" s="35"/>
    </row>
    <row r="77" spans="1:17" ht="14.25" customHeight="1">
      <c r="A77" s="89">
        <v>51</v>
      </c>
      <c r="B77" s="80" t="s">
        <v>346</v>
      </c>
      <c r="C77" s="80" t="s">
        <v>134</v>
      </c>
      <c r="D77" s="90" t="s">
        <v>818</v>
      </c>
      <c r="E77" s="90" t="s">
        <v>669</v>
      </c>
      <c r="F77" s="80" t="s">
        <v>670</v>
      </c>
      <c r="G77" s="91">
        <v>0</v>
      </c>
      <c r="H77" s="92" t="s">
        <v>637</v>
      </c>
      <c r="I77" s="95" t="s">
        <v>819</v>
      </c>
      <c r="J77" s="80"/>
      <c r="K77" s="35"/>
      <c r="L77" s="35"/>
      <c r="M77" s="35"/>
      <c r="N77" s="35"/>
      <c r="O77" s="35"/>
      <c r="P77" s="35"/>
      <c r="Q77" s="35"/>
    </row>
    <row r="78" spans="1:17" ht="14.25" customHeight="1">
      <c r="A78" s="89">
        <v>30</v>
      </c>
      <c r="B78" s="80" t="s">
        <v>347</v>
      </c>
      <c r="C78" s="80" t="s">
        <v>136</v>
      </c>
      <c r="D78" s="90" t="s">
        <v>773</v>
      </c>
      <c r="E78" s="90" t="s">
        <v>659</v>
      </c>
      <c r="F78" s="80" t="s">
        <v>651</v>
      </c>
      <c r="G78" s="91">
        <v>0</v>
      </c>
      <c r="H78" s="92" t="s">
        <v>634</v>
      </c>
      <c r="I78" s="92"/>
      <c r="J78" s="80"/>
      <c r="K78" s="35"/>
      <c r="L78" s="35"/>
      <c r="M78" s="35"/>
      <c r="N78" s="35"/>
      <c r="O78" s="35"/>
      <c r="P78" s="35"/>
      <c r="Q78" s="35"/>
    </row>
    <row r="79" spans="1:17" ht="14.25" customHeight="1">
      <c r="A79" s="84">
        <v>78</v>
      </c>
      <c r="B79" s="85" t="s">
        <v>348</v>
      </c>
      <c r="C79" s="85" t="s">
        <v>137</v>
      </c>
      <c r="D79" s="86" t="s">
        <v>881</v>
      </c>
      <c r="E79" s="86" t="s">
        <v>686</v>
      </c>
      <c r="F79" s="85" t="s">
        <v>681</v>
      </c>
      <c r="G79" s="87">
        <v>0</v>
      </c>
      <c r="H79" s="85"/>
      <c r="I79" s="88" t="s">
        <v>882</v>
      </c>
      <c r="J79" s="85"/>
      <c r="K79" s="35"/>
      <c r="L79" s="35"/>
      <c r="M79" s="35"/>
      <c r="N79" s="35"/>
      <c r="O79" s="35"/>
      <c r="P79" s="35"/>
      <c r="Q79" s="35"/>
    </row>
    <row r="80" spans="1:17" ht="14.25" customHeight="1">
      <c r="A80" s="84">
        <v>24</v>
      </c>
      <c r="B80" s="85" t="s">
        <v>349</v>
      </c>
      <c r="C80" s="85" t="s">
        <v>138</v>
      </c>
      <c r="D80" s="86" t="s">
        <v>758</v>
      </c>
      <c r="E80" s="86" t="s">
        <v>659</v>
      </c>
      <c r="F80" s="85" t="s">
        <v>651</v>
      </c>
      <c r="G80" s="87">
        <v>1</v>
      </c>
      <c r="H80" s="85"/>
      <c r="I80" s="85"/>
      <c r="J80" s="85"/>
      <c r="K80" s="35"/>
      <c r="L80" s="35"/>
      <c r="M80" s="35"/>
      <c r="N80" s="35"/>
      <c r="O80" s="35"/>
      <c r="P80" s="35"/>
      <c r="Q80" s="35"/>
    </row>
    <row r="81" spans="1:17" ht="14.25" customHeight="1">
      <c r="A81" s="89">
        <v>1</v>
      </c>
      <c r="B81" s="80" t="s">
        <v>350</v>
      </c>
      <c r="C81" s="80" t="s">
        <v>139</v>
      </c>
      <c r="D81" s="90" t="s">
        <v>703</v>
      </c>
      <c r="E81" s="90" t="s">
        <v>624</v>
      </c>
      <c r="F81" s="80" t="s">
        <v>687</v>
      </c>
      <c r="G81" s="91">
        <v>0</v>
      </c>
      <c r="H81" s="92" t="s">
        <v>634</v>
      </c>
      <c r="I81" s="83"/>
      <c r="J81" s="80"/>
      <c r="K81" s="35"/>
      <c r="L81" s="35"/>
      <c r="M81" s="35"/>
      <c r="N81" s="35"/>
      <c r="O81" s="35"/>
      <c r="P81" s="35"/>
      <c r="Q81" s="35"/>
    </row>
    <row r="82" spans="1:17" ht="14.25" customHeight="1">
      <c r="A82" s="84">
        <v>41</v>
      </c>
      <c r="B82" s="85" t="s">
        <v>351</v>
      </c>
      <c r="C82" s="85" t="s">
        <v>140</v>
      </c>
      <c r="D82" s="86" t="s">
        <v>796</v>
      </c>
      <c r="E82" s="86" t="s">
        <v>663</v>
      </c>
      <c r="F82" s="85" t="s">
        <v>660</v>
      </c>
      <c r="G82" s="87">
        <v>0</v>
      </c>
      <c r="H82" s="88" t="s">
        <v>634</v>
      </c>
      <c r="I82" s="85"/>
      <c r="J82" s="85"/>
      <c r="K82" s="35"/>
      <c r="L82" s="35"/>
      <c r="M82" s="35"/>
      <c r="N82" s="35"/>
      <c r="O82" s="35"/>
      <c r="P82" s="35"/>
      <c r="Q82" s="35"/>
    </row>
    <row r="83" spans="1:17" ht="14.25" customHeight="1">
      <c r="A83" s="84">
        <v>1</v>
      </c>
      <c r="B83" s="85" t="s">
        <v>352</v>
      </c>
      <c r="C83" s="85" t="s">
        <v>142</v>
      </c>
      <c r="D83" s="86" t="s">
        <v>705</v>
      </c>
      <c r="E83" s="86" t="s">
        <v>624</v>
      </c>
      <c r="F83" s="85" t="s">
        <v>687</v>
      </c>
      <c r="G83" s="87">
        <v>0</v>
      </c>
      <c r="H83" s="88" t="s">
        <v>634</v>
      </c>
      <c r="I83" s="85"/>
      <c r="J83" s="85"/>
      <c r="K83" s="35"/>
      <c r="L83" s="35"/>
      <c r="M83" s="35"/>
      <c r="N83" s="35"/>
      <c r="O83" s="35"/>
      <c r="P83" s="35"/>
      <c r="Q83" s="35"/>
    </row>
    <row r="84" spans="1:17" ht="14.25" customHeight="1">
      <c r="A84" s="84">
        <v>80</v>
      </c>
      <c r="B84" s="85" t="s">
        <v>353</v>
      </c>
      <c r="C84" s="85" t="s">
        <v>20</v>
      </c>
      <c r="D84" s="86" t="s">
        <v>887</v>
      </c>
      <c r="E84" s="86" t="s">
        <v>686</v>
      </c>
      <c r="F84" s="85" t="s">
        <v>681</v>
      </c>
      <c r="G84" s="87">
        <v>1</v>
      </c>
      <c r="H84" s="85"/>
      <c r="I84" s="85"/>
      <c r="J84" s="85"/>
      <c r="K84" s="35"/>
      <c r="L84" s="35"/>
      <c r="M84" s="35"/>
      <c r="N84" s="35"/>
      <c r="O84" s="35"/>
      <c r="P84" s="35"/>
      <c r="Q84" s="35"/>
    </row>
    <row r="85" spans="1:17" ht="14.25" customHeight="1">
      <c r="A85" s="89">
        <v>80</v>
      </c>
      <c r="B85" s="80" t="s">
        <v>354</v>
      </c>
      <c r="C85" s="80" t="s">
        <v>143</v>
      </c>
      <c r="D85" s="90" t="s">
        <v>888</v>
      </c>
      <c r="E85" s="90" t="s">
        <v>686</v>
      </c>
      <c r="F85" s="80" t="s">
        <v>681</v>
      </c>
      <c r="G85" s="91">
        <v>1</v>
      </c>
      <c r="H85" s="80"/>
      <c r="I85" s="80"/>
      <c r="J85" s="80"/>
      <c r="K85" s="35"/>
      <c r="L85" s="35"/>
      <c r="M85" s="35"/>
      <c r="N85" s="35"/>
      <c r="O85" s="35"/>
      <c r="P85" s="35"/>
      <c r="Q85" s="35"/>
    </row>
    <row r="86" spans="1:17" ht="14.25" customHeight="1">
      <c r="A86" s="89">
        <v>20</v>
      </c>
      <c r="B86" s="80" t="s">
        <v>355</v>
      </c>
      <c r="C86" s="80" t="s">
        <v>144</v>
      </c>
      <c r="D86" s="90" t="s">
        <v>747</v>
      </c>
      <c r="E86" s="90" t="s">
        <v>650</v>
      </c>
      <c r="F86" s="80" t="s">
        <v>625</v>
      </c>
      <c r="G86" s="91">
        <v>0</v>
      </c>
      <c r="H86" s="92" t="s">
        <v>626</v>
      </c>
      <c r="I86" s="80" t="s">
        <v>748</v>
      </c>
      <c r="J86" s="92"/>
      <c r="K86" s="35"/>
      <c r="L86" s="35"/>
      <c r="M86" s="35"/>
      <c r="N86" s="35"/>
      <c r="O86" s="35"/>
      <c r="P86" s="35"/>
      <c r="Q86" s="35"/>
    </row>
    <row r="87" spans="1:17" ht="14.25" customHeight="1">
      <c r="A87" s="89">
        <v>68</v>
      </c>
      <c r="B87" s="80" t="s">
        <v>356</v>
      </c>
      <c r="C87" s="80" t="s">
        <v>145</v>
      </c>
      <c r="D87" s="90" t="s">
        <v>861</v>
      </c>
      <c r="E87" s="90" t="s">
        <v>680</v>
      </c>
      <c r="F87" s="80" t="s">
        <v>664</v>
      </c>
      <c r="G87" s="91">
        <v>1</v>
      </c>
      <c r="H87" s="80"/>
      <c r="I87" s="80"/>
      <c r="J87" s="80"/>
      <c r="K87" s="35"/>
      <c r="L87" s="35"/>
      <c r="M87" s="35"/>
      <c r="N87" s="35"/>
      <c r="O87" s="35"/>
      <c r="P87" s="35"/>
      <c r="Q87" s="35"/>
    </row>
    <row r="88" spans="1:17" ht="14.25" customHeight="1">
      <c r="A88" s="84">
        <v>9</v>
      </c>
      <c r="B88" s="85" t="s">
        <v>357</v>
      </c>
      <c r="C88" s="85" t="s">
        <v>146</v>
      </c>
      <c r="D88" s="86" t="s">
        <v>723</v>
      </c>
      <c r="E88" s="86" t="s">
        <v>624</v>
      </c>
      <c r="F88" s="85" t="s">
        <v>687</v>
      </c>
      <c r="G88" s="87">
        <v>1</v>
      </c>
      <c r="H88" s="85"/>
      <c r="I88" s="85"/>
      <c r="J88" s="85"/>
      <c r="K88" s="35"/>
      <c r="L88" s="35"/>
      <c r="M88" s="35"/>
      <c r="N88" s="35"/>
      <c r="O88" s="35"/>
      <c r="P88" s="35"/>
      <c r="Q88" s="35"/>
    </row>
    <row r="89" spans="1:17" ht="14.25" customHeight="1">
      <c r="A89" s="89">
        <v>79</v>
      </c>
      <c r="B89" s="80" t="s">
        <v>359</v>
      </c>
      <c r="C89" s="80" t="s">
        <v>147</v>
      </c>
      <c r="D89" s="90" t="s">
        <v>886</v>
      </c>
      <c r="E89" s="90" t="s">
        <v>686</v>
      </c>
      <c r="F89" s="80" t="s">
        <v>681</v>
      </c>
      <c r="G89" s="91">
        <v>0</v>
      </c>
      <c r="H89" s="92" t="s">
        <v>626</v>
      </c>
      <c r="I89" s="92" t="s">
        <v>885</v>
      </c>
      <c r="J89" s="80"/>
      <c r="K89" s="35"/>
      <c r="L89" s="35"/>
      <c r="M89" s="35"/>
      <c r="N89" s="35"/>
      <c r="O89" s="35"/>
      <c r="P89" s="35"/>
      <c r="Q89" s="35"/>
    </row>
    <row r="90" spans="1:17" ht="14.25" customHeight="1">
      <c r="A90" s="89">
        <v>85</v>
      </c>
      <c r="B90" s="80" t="s">
        <v>358</v>
      </c>
      <c r="C90" s="80" t="s">
        <v>147</v>
      </c>
      <c r="D90" s="90" t="s">
        <v>898</v>
      </c>
      <c r="E90" s="90" t="s">
        <v>686</v>
      </c>
      <c r="F90" s="80" t="s">
        <v>681</v>
      </c>
      <c r="G90" s="91">
        <v>0</v>
      </c>
      <c r="H90" s="92" t="s">
        <v>642</v>
      </c>
      <c r="I90" s="88" t="s">
        <v>897</v>
      </c>
      <c r="J90" s="80"/>
      <c r="K90" s="35"/>
      <c r="L90" s="35"/>
      <c r="M90" s="35"/>
      <c r="N90" s="35"/>
      <c r="O90" s="35"/>
      <c r="P90" s="35"/>
      <c r="Q90" s="35"/>
    </row>
    <row r="91" spans="1:17" ht="14.25" customHeight="1">
      <c r="A91" s="89">
        <v>87</v>
      </c>
      <c r="B91" s="80" t="s">
        <v>360</v>
      </c>
      <c r="C91" s="80" t="s">
        <v>149</v>
      </c>
      <c r="D91" s="90" t="s">
        <v>902</v>
      </c>
      <c r="E91" s="90" t="s">
        <v>680</v>
      </c>
      <c r="F91" s="80" t="s">
        <v>664</v>
      </c>
      <c r="G91" s="91">
        <v>1</v>
      </c>
      <c r="H91" s="80"/>
      <c r="I91" s="83"/>
      <c r="J91" s="80"/>
      <c r="K91" s="35"/>
      <c r="L91" s="35"/>
      <c r="M91" s="35"/>
      <c r="N91" s="35"/>
      <c r="O91" s="35"/>
      <c r="P91" s="35"/>
      <c r="Q91" s="35"/>
    </row>
    <row r="92" spans="1:17" ht="14.25" customHeight="1">
      <c r="A92" s="84">
        <v>30</v>
      </c>
      <c r="B92" s="85" t="s">
        <v>362</v>
      </c>
      <c r="C92" s="85" t="s">
        <v>151</v>
      </c>
      <c r="D92" s="86" t="s">
        <v>774</v>
      </c>
      <c r="E92" s="86" t="s">
        <v>659</v>
      </c>
      <c r="F92" s="85" t="s">
        <v>651</v>
      </c>
      <c r="G92" s="87">
        <v>0</v>
      </c>
      <c r="H92" s="88" t="s">
        <v>634</v>
      </c>
      <c r="I92" s="92"/>
      <c r="J92" s="85"/>
      <c r="K92" s="35"/>
      <c r="L92" s="35"/>
      <c r="M92" s="35"/>
      <c r="N92" s="35"/>
      <c r="O92" s="35"/>
      <c r="P92" s="35"/>
      <c r="Q92" s="35"/>
    </row>
    <row r="93" spans="1:17" ht="14.25" customHeight="1">
      <c r="A93" s="84">
        <v>54</v>
      </c>
      <c r="B93" s="85" t="s">
        <v>363</v>
      </c>
      <c r="C93" s="85" t="s">
        <v>152</v>
      </c>
      <c r="D93" s="86" t="s">
        <v>829</v>
      </c>
      <c r="E93" s="86" t="s">
        <v>669</v>
      </c>
      <c r="F93" s="85" t="s">
        <v>670</v>
      </c>
      <c r="G93" s="87">
        <v>0</v>
      </c>
      <c r="H93" s="88" t="s">
        <v>634</v>
      </c>
      <c r="I93" s="85"/>
      <c r="J93" s="85"/>
      <c r="K93" s="35"/>
      <c r="L93" s="35"/>
      <c r="M93" s="35"/>
      <c r="N93" s="35"/>
      <c r="O93" s="35"/>
      <c r="P93" s="35"/>
      <c r="Q93" s="35"/>
    </row>
    <row r="94" spans="1:17" ht="14.25" customHeight="1">
      <c r="A94" s="84">
        <v>71</v>
      </c>
      <c r="B94" s="85" t="s">
        <v>364</v>
      </c>
      <c r="C94" s="85" t="s">
        <v>154</v>
      </c>
      <c r="D94" s="86" t="s">
        <v>870</v>
      </c>
      <c r="E94" s="86" t="s">
        <v>680</v>
      </c>
      <c r="F94" s="85" t="s">
        <v>664</v>
      </c>
      <c r="G94" s="87">
        <v>0</v>
      </c>
      <c r="H94" s="88" t="s">
        <v>634</v>
      </c>
      <c r="I94" s="85"/>
      <c r="J94" s="85"/>
      <c r="K94" s="35"/>
      <c r="L94" s="35"/>
      <c r="M94" s="35"/>
      <c r="N94" s="35"/>
      <c r="O94" s="35"/>
      <c r="P94" s="35"/>
      <c r="Q94" s="35"/>
    </row>
    <row r="95" spans="1:17" ht="14.25" customHeight="1">
      <c r="A95" s="89">
        <v>45</v>
      </c>
      <c r="B95" s="80" t="s">
        <v>365</v>
      </c>
      <c r="C95" s="80" t="s">
        <v>155</v>
      </c>
      <c r="D95" s="90" t="s">
        <v>804</v>
      </c>
      <c r="E95" s="90" t="s">
        <v>669</v>
      </c>
      <c r="F95" s="80" t="s">
        <v>670</v>
      </c>
      <c r="G95" s="91">
        <v>0</v>
      </c>
      <c r="H95" s="92" t="s">
        <v>642</v>
      </c>
      <c r="I95" s="92" t="s">
        <v>805</v>
      </c>
      <c r="J95" s="80"/>
      <c r="K95" s="35"/>
      <c r="L95" s="35"/>
      <c r="M95" s="35"/>
      <c r="N95" s="35"/>
      <c r="O95" s="35"/>
      <c r="P95" s="35"/>
      <c r="Q95" s="35"/>
    </row>
    <row r="96" spans="1:17" ht="14.25" customHeight="1">
      <c r="A96" s="84">
        <v>43</v>
      </c>
      <c r="B96" s="85" t="s">
        <v>366</v>
      </c>
      <c r="C96" s="85" t="s">
        <v>157</v>
      </c>
      <c r="D96" s="86" t="s">
        <v>801</v>
      </c>
      <c r="E96" s="86" t="s">
        <v>663</v>
      </c>
      <c r="F96" s="85" t="s">
        <v>660</v>
      </c>
      <c r="G96" s="87">
        <v>1</v>
      </c>
      <c r="H96" s="85"/>
      <c r="I96" s="85"/>
      <c r="J96" s="85"/>
      <c r="K96" s="35"/>
      <c r="L96" s="35"/>
      <c r="M96" s="35"/>
      <c r="N96" s="35"/>
      <c r="O96" s="35"/>
      <c r="P96" s="35"/>
      <c r="Q96" s="35"/>
    </row>
    <row r="97" spans="1:17" ht="14.25" customHeight="1">
      <c r="A97" s="89">
        <v>2</v>
      </c>
      <c r="B97" s="80" t="s">
        <v>367</v>
      </c>
      <c r="C97" s="80" t="s">
        <v>159</v>
      </c>
      <c r="D97" s="90" t="s">
        <v>707</v>
      </c>
      <c r="E97" s="90" t="s">
        <v>624</v>
      </c>
      <c r="F97" s="80" t="s">
        <v>687</v>
      </c>
      <c r="G97" s="91">
        <v>1</v>
      </c>
      <c r="H97" s="80"/>
      <c r="I97" s="83"/>
      <c r="J97" s="80"/>
      <c r="K97" s="35"/>
      <c r="L97" s="35"/>
      <c r="M97" s="35"/>
      <c r="N97" s="35"/>
      <c r="O97" s="35"/>
      <c r="P97" s="35"/>
      <c r="Q97" s="35"/>
    </row>
    <row r="98" spans="1:17" ht="14.25" customHeight="1">
      <c r="A98" s="89">
        <v>7</v>
      </c>
      <c r="B98" s="80" t="s">
        <v>368</v>
      </c>
      <c r="C98" s="80" t="s">
        <v>161</v>
      </c>
      <c r="D98" s="90" t="s">
        <v>717</v>
      </c>
      <c r="E98" s="90" t="s">
        <v>624</v>
      </c>
      <c r="F98" s="80" t="s">
        <v>687</v>
      </c>
      <c r="G98" s="91">
        <v>1</v>
      </c>
      <c r="H98" s="80"/>
      <c r="I98" s="80"/>
      <c r="J98" s="80"/>
      <c r="K98" s="35"/>
      <c r="L98" s="35"/>
      <c r="M98" s="35"/>
      <c r="N98" s="35"/>
      <c r="O98" s="35"/>
      <c r="P98" s="35"/>
      <c r="Q98" s="35"/>
    </row>
    <row r="99" spans="1:17" ht="14.25" customHeight="1">
      <c r="A99" s="89">
        <v>23</v>
      </c>
      <c r="B99" s="80" t="s">
        <v>369</v>
      </c>
      <c r="C99" s="80" t="s">
        <v>163</v>
      </c>
      <c r="D99" s="90" t="s">
        <v>754</v>
      </c>
      <c r="E99" s="90" t="s">
        <v>659</v>
      </c>
      <c r="F99" s="80" t="s">
        <v>651</v>
      </c>
      <c r="G99" s="91">
        <v>0</v>
      </c>
      <c r="H99" s="92" t="s">
        <v>626</v>
      </c>
      <c r="I99" s="92" t="s">
        <v>755</v>
      </c>
      <c r="J99" s="80"/>
      <c r="K99" s="35"/>
      <c r="L99" s="35"/>
      <c r="M99" s="35"/>
      <c r="N99" s="35"/>
      <c r="O99" s="35"/>
      <c r="P99" s="35"/>
      <c r="Q99" s="35"/>
    </row>
    <row r="100" spans="1:17" ht="14.25" customHeight="1">
      <c r="A100" s="84">
        <v>4</v>
      </c>
      <c r="B100" s="85" t="s">
        <v>370</v>
      </c>
      <c r="C100" s="85" t="s">
        <v>164</v>
      </c>
      <c r="D100" s="86" t="s">
        <v>711</v>
      </c>
      <c r="E100" s="86" t="s">
        <v>624</v>
      </c>
      <c r="F100" s="85" t="s">
        <v>687</v>
      </c>
      <c r="G100" s="87">
        <v>1</v>
      </c>
      <c r="H100" s="85"/>
      <c r="I100" s="85"/>
      <c r="J100" s="85"/>
      <c r="K100" s="35"/>
      <c r="L100" s="35"/>
      <c r="M100" s="35"/>
      <c r="N100" s="35"/>
      <c r="O100" s="35"/>
      <c r="P100" s="35"/>
      <c r="Q100" s="35"/>
    </row>
    <row r="101" spans="1:17" ht="14.25" customHeight="1">
      <c r="A101" s="89">
        <v>27</v>
      </c>
      <c r="B101" s="80" t="s">
        <v>371</v>
      </c>
      <c r="C101" s="80" t="s">
        <v>166</v>
      </c>
      <c r="D101" s="90" t="s">
        <v>765</v>
      </c>
      <c r="E101" s="90" t="s">
        <v>659</v>
      </c>
      <c r="F101" s="80" t="s">
        <v>651</v>
      </c>
      <c r="G101" s="91">
        <v>1</v>
      </c>
      <c r="H101" s="80"/>
      <c r="I101" s="80"/>
      <c r="J101" s="80"/>
      <c r="K101" s="35"/>
      <c r="L101" s="35"/>
      <c r="M101" s="35"/>
      <c r="N101" s="35"/>
      <c r="O101" s="35"/>
      <c r="P101" s="35"/>
      <c r="Q101" s="35"/>
    </row>
    <row r="102" spans="1:17" ht="14.25" customHeight="1">
      <c r="A102" s="89">
        <v>69</v>
      </c>
      <c r="B102" s="80" t="s">
        <v>372</v>
      </c>
      <c r="C102" s="80" t="s">
        <v>168</v>
      </c>
      <c r="D102" s="90" t="s">
        <v>863</v>
      </c>
      <c r="E102" s="90" t="s">
        <v>680</v>
      </c>
      <c r="F102" s="80" t="s">
        <v>664</v>
      </c>
      <c r="G102" s="91">
        <v>0</v>
      </c>
      <c r="H102" s="92" t="s">
        <v>637</v>
      </c>
      <c r="I102" s="92" t="s">
        <v>864</v>
      </c>
      <c r="J102" s="80"/>
      <c r="K102" s="35"/>
      <c r="L102" s="35"/>
      <c r="M102" s="35"/>
      <c r="N102" s="35"/>
      <c r="O102" s="35"/>
      <c r="P102" s="35"/>
      <c r="Q102" s="35"/>
    </row>
    <row r="103" spans="1:17" ht="14.25" customHeight="1">
      <c r="A103" s="84">
        <v>19</v>
      </c>
      <c r="B103" s="85" t="s">
        <v>373</v>
      </c>
      <c r="C103" s="85" t="s">
        <v>169</v>
      </c>
      <c r="D103" s="86" t="s">
        <v>746</v>
      </c>
      <c r="E103" s="86" t="s">
        <v>650</v>
      </c>
      <c r="F103" s="85" t="s">
        <v>625</v>
      </c>
      <c r="G103" s="87">
        <v>1</v>
      </c>
      <c r="H103" s="85"/>
      <c r="I103" s="85"/>
      <c r="J103" s="85"/>
      <c r="K103" s="35"/>
      <c r="L103" s="35"/>
      <c r="M103" s="35"/>
      <c r="N103" s="35"/>
      <c r="O103" s="35"/>
      <c r="P103" s="35"/>
      <c r="Q103" s="35"/>
    </row>
    <row r="104" spans="1:17" ht="14.25" customHeight="1">
      <c r="A104" s="84">
        <v>44</v>
      </c>
      <c r="B104" s="85" t="s">
        <v>374</v>
      </c>
      <c r="C104" s="85" t="s">
        <v>170</v>
      </c>
      <c r="D104" s="86" t="s">
        <v>803</v>
      </c>
      <c r="E104" s="86" t="s">
        <v>663</v>
      </c>
      <c r="F104" s="85" t="s">
        <v>660</v>
      </c>
      <c r="G104" s="87">
        <v>1</v>
      </c>
      <c r="H104" s="85"/>
      <c r="I104" s="85"/>
      <c r="J104" s="85"/>
      <c r="K104" s="35"/>
      <c r="L104" s="35"/>
      <c r="M104" s="35"/>
      <c r="N104" s="35"/>
      <c r="O104" s="35"/>
      <c r="P104" s="35"/>
      <c r="Q104" s="35"/>
    </row>
    <row r="105" spans="1:17" ht="14.25" customHeight="1">
      <c r="A105" s="84">
        <v>7</v>
      </c>
      <c r="B105" s="85" t="s">
        <v>375</v>
      </c>
      <c r="C105" s="85" t="s">
        <v>171</v>
      </c>
      <c r="D105" s="86" t="s">
        <v>718</v>
      </c>
      <c r="E105" s="86" t="s">
        <v>624</v>
      </c>
      <c r="F105" s="85" t="s">
        <v>687</v>
      </c>
      <c r="G105" s="87">
        <v>1</v>
      </c>
      <c r="H105" s="85"/>
      <c r="I105" s="85"/>
      <c r="J105" s="85"/>
      <c r="K105" s="35"/>
      <c r="L105" s="35"/>
      <c r="M105" s="35"/>
      <c r="N105" s="35"/>
      <c r="O105" s="35"/>
      <c r="P105" s="35"/>
      <c r="Q105" s="35"/>
    </row>
    <row r="106" spans="1:17" ht="14.25" customHeight="1">
      <c r="A106" s="89">
        <v>46</v>
      </c>
      <c r="B106" s="80" t="s">
        <v>376</v>
      </c>
      <c r="C106" s="80" t="s">
        <v>173</v>
      </c>
      <c r="D106" s="90" t="s">
        <v>807</v>
      </c>
      <c r="E106" s="90" t="s">
        <v>669</v>
      </c>
      <c r="F106" s="80" t="s">
        <v>670</v>
      </c>
      <c r="G106" s="91">
        <v>1</v>
      </c>
      <c r="H106" s="80"/>
      <c r="I106" s="80"/>
      <c r="J106" s="80"/>
      <c r="K106" s="35"/>
      <c r="L106" s="35"/>
      <c r="M106" s="35"/>
      <c r="N106" s="35"/>
      <c r="O106" s="35"/>
      <c r="P106" s="35"/>
      <c r="Q106" s="35"/>
    </row>
    <row r="107" spans="1:17" ht="14.25" customHeight="1">
      <c r="A107" s="89">
        <v>73</v>
      </c>
      <c r="B107" s="80" t="s">
        <v>377</v>
      </c>
      <c r="C107" s="80" t="s">
        <v>175</v>
      </c>
      <c r="D107" s="90" t="s">
        <v>873</v>
      </c>
      <c r="E107" s="90" t="s">
        <v>680</v>
      </c>
      <c r="F107" s="80" t="s">
        <v>664</v>
      </c>
      <c r="G107" s="91">
        <v>0</v>
      </c>
      <c r="H107" s="92" t="s">
        <v>634</v>
      </c>
      <c r="I107" s="80"/>
      <c r="J107" s="80"/>
      <c r="K107" s="35"/>
      <c r="L107" s="35"/>
      <c r="M107" s="35"/>
      <c r="N107" s="35"/>
      <c r="O107" s="35"/>
      <c r="P107" s="35"/>
      <c r="Q107" s="35"/>
    </row>
    <row r="108" spans="1:17" ht="14.25" customHeight="1">
      <c r="A108" s="89">
        <v>59</v>
      </c>
      <c r="B108" s="80" t="s">
        <v>378</v>
      </c>
      <c r="C108" s="80" t="s">
        <v>177</v>
      </c>
      <c r="D108" s="90" t="s">
        <v>840</v>
      </c>
      <c r="E108" s="90" t="s">
        <v>673</v>
      </c>
      <c r="F108" s="80" t="s">
        <v>674</v>
      </c>
      <c r="G108" s="91">
        <v>0</v>
      </c>
      <c r="H108" s="92" t="s">
        <v>637</v>
      </c>
      <c r="I108" s="92" t="s">
        <v>841</v>
      </c>
      <c r="J108" s="80"/>
      <c r="K108" s="35"/>
      <c r="L108" s="35"/>
      <c r="M108" s="35"/>
      <c r="N108" s="35"/>
      <c r="O108" s="35"/>
      <c r="P108" s="35"/>
      <c r="Q108" s="35"/>
    </row>
    <row r="109" spans="1:17" ht="14.25" customHeight="1">
      <c r="A109" s="89">
        <v>42</v>
      </c>
      <c r="B109" s="80" t="s">
        <v>379</v>
      </c>
      <c r="C109" s="80" t="s">
        <v>179</v>
      </c>
      <c r="D109" s="90" t="s">
        <v>797</v>
      </c>
      <c r="E109" s="90" t="s">
        <v>663</v>
      </c>
      <c r="F109" s="80" t="s">
        <v>660</v>
      </c>
      <c r="G109" s="91">
        <v>0</v>
      </c>
      <c r="H109" s="92" t="s">
        <v>626</v>
      </c>
      <c r="I109" s="95" t="s">
        <v>798</v>
      </c>
      <c r="J109" s="80"/>
      <c r="K109" s="35"/>
      <c r="L109" s="35"/>
      <c r="M109" s="35"/>
      <c r="N109" s="35"/>
      <c r="O109" s="35"/>
      <c r="P109" s="35"/>
      <c r="Q109" s="35"/>
    </row>
    <row r="110" spans="1:17" ht="14.25" customHeight="1">
      <c r="A110" s="89">
        <v>61</v>
      </c>
      <c r="B110" s="80" t="s">
        <v>380</v>
      </c>
      <c r="C110" s="80" t="s">
        <v>180</v>
      </c>
      <c r="D110" s="90" t="s">
        <v>846</v>
      </c>
      <c r="E110" s="90" t="s">
        <v>673</v>
      </c>
      <c r="F110" s="80" t="s">
        <v>674</v>
      </c>
      <c r="G110" s="91">
        <v>0</v>
      </c>
      <c r="H110" s="92" t="s">
        <v>634</v>
      </c>
      <c r="I110" s="80"/>
      <c r="J110" s="80"/>
      <c r="K110" s="35"/>
      <c r="L110" s="35"/>
      <c r="M110" s="35"/>
      <c r="N110" s="35"/>
      <c r="O110" s="35"/>
      <c r="P110" s="35"/>
      <c r="Q110" s="35"/>
    </row>
    <row r="111" spans="1:17" ht="14.25" customHeight="1">
      <c r="A111" s="89">
        <v>26</v>
      </c>
      <c r="B111" s="80" t="s">
        <v>381</v>
      </c>
      <c r="C111" s="80" t="s">
        <v>181</v>
      </c>
      <c r="D111" s="90" t="s">
        <v>761</v>
      </c>
      <c r="E111" s="90" t="s">
        <v>659</v>
      </c>
      <c r="F111" s="80" t="s">
        <v>651</v>
      </c>
      <c r="G111" s="91">
        <v>0</v>
      </c>
      <c r="H111" s="92" t="s">
        <v>637</v>
      </c>
      <c r="I111" s="92" t="s">
        <v>762</v>
      </c>
      <c r="J111" s="80"/>
      <c r="K111" s="35"/>
      <c r="L111" s="35"/>
      <c r="M111" s="35"/>
      <c r="N111" s="35"/>
      <c r="O111" s="35"/>
      <c r="P111" s="35"/>
      <c r="Q111" s="35"/>
    </row>
    <row r="112" spans="1:17" ht="14.25" customHeight="1">
      <c r="A112" s="84">
        <v>27</v>
      </c>
      <c r="B112" s="85" t="s">
        <v>382</v>
      </c>
      <c r="C112" s="85" t="s">
        <v>183</v>
      </c>
      <c r="D112" s="86" t="s">
        <v>766</v>
      </c>
      <c r="E112" s="86" t="s">
        <v>659</v>
      </c>
      <c r="F112" s="85" t="s">
        <v>651</v>
      </c>
      <c r="G112" s="91">
        <v>1</v>
      </c>
      <c r="H112" s="85"/>
      <c r="I112" s="85"/>
      <c r="J112" s="85"/>
      <c r="K112" s="35"/>
      <c r="L112" s="35"/>
      <c r="M112" s="35"/>
      <c r="N112" s="35"/>
      <c r="O112" s="35"/>
      <c r="P112" s="35"/>
      <c r="Q112" s="35"/>
    </row>
    <row r="113" spans="1:17" ht="14.25" customHeight="1">
      <c r="A113" s="84">
        <v>45</v>
      </c>
      <c r="B113" s="85" t="s">
        <v>383</v>
      </c>
      <c r="C113" s="85" t="s">
        <v>184</v>
      </c>
      <c r="D113" s="86" t="s">
        <v>806</v>
      </c>
      <c r="E113" s="86" t="s">
        <v>669</v>
      </c>
      <c r="F113" s="85" t="s">
        <v>670</v>
      </c>
      <c r="G113" s="87">
        <v>0</v>
      </c>
      <c r="H113" s="88" t="s">
        <v>642</v>
      </c>
      <c r="I113" s="88" t="s">
        <v>805</v>
      </c>
      <c r="J113" s="85"/>
      <c r="K113" s="35"/>
      <c r="L113" s="35"/>
      <c r="M113" s="35"/>
      <c r="N113" s="35"/>
      <c r="O113" s="35"/>
      <c r="P113" s="35"/>
      <c r="Q113" s="35"/>
    </row>
    <row r="114" spans="1:17" ht="14.25" customHeight="1">
      <c r="A114" s="89">
        <v>49</v>
      </c>
      <c r="B114" s="80" t="s">
        <v>384</v>
      </c>
      <c r="C114" s="80" t="s">
        <v>186</v>
      </c>
      <c r="D114" s="90" t="s">
        <v>813</v>
      </c>
      <c r="E114" s="90" t="s">
        <v>669</v>
      </c>
      <c r="F114" s="80" t="s">
        <v>670</v>
      </c>
      <c r="G114" s="91">
        <v>0</v>
      </c>
      <c r="H114" s="92" t="s">
        <v>634</v>
      </c>
      <c r="I114" s="80"/>
      <c r="J114" s="80"/>
      <c r="K114" s="35"/>
      <c r="L114" s="35"/>
      <c r="M114" s="35"/>
      <c r="N114" s="35"/>
      <c r="O114" s="35"/>
      <c r="P114" s="35"/>
      <c r="Q114" s="35"/>
    </row>
    <row r="115" spans="1:17" ht="14.25" customHeight="1">
      <c r="A115" s="89">
        <v>52</v>
      </c>
      <c r="B115" s="80" t="s">
        <v>385</v>
      </c>
      <c r="C115" s="80" t="s">
        <v>187</v>
      </c>
      <c r="D115" s="90" t="s">
        <v>821</v>
      </c>
      <c r="E115" s="90" t="s">
        <v>669</v>
      </c>
      <c r="F115" s="80" t="s">
        <v>670</v>
      </c>
      <c r="G115" s="91">
        <v>0</v>
      </c>
      <c r="H115" s="92" t="s">
        <v>626</v>
      </c>
      <c r="I115" s="92" t="s">
        <v>822</v>
      </c>
      <c r="J115" s="80"/>
      <c r="K115" s="35"/>
      <c r="L115" s="35"/>
      <c r="M115" s="35"/>
      <c r="N115" s="35"/>
      <c r="O115" s="35"/>
      <c r="P115" s="35"/>
      <c r="Q115" s="35"/>
    </row>
    <row r="116" spans="1:17" ht="14.25" customHeight="1">
      <c r="A116" s="84">
        <v>38</v>
      </c>
      <c r="B116" s="85" t="s">
        <v>386</v>
      </c>
      <c r="C116" s="85" t="s">
        <v>188</v>
      </c>
      <c r="D116" s="86" t="s">
        <v>790</v>
      </c>
      <c r="E116" s="86" t="s">
        <v>663</v>
      </c>
      <c r="F116" s="85" t="s">
        <v>660</v>
      </c>
      <c r="G116" s="87">
        <v>1</v>
      </c>
      <c r="H116" s="85"/>
      <c r="I116" s="85"/>
      <c r="J116" s="85"/>
      <c r="K116" s="35"/>
      <c r="L116" s="35"/>
      <c r="M116" s="35"/>
      <c r="N116" s="35"/>
      <c r="O116" s="35"/>
      <c r="P116" s="35"/>
      <c r="Q116" s="35"/>
    </row>
    <row r="117" spans="1:17" ht="14.25" customHeight="1">
      <c r="A117" s="89">
        <v>63</v>
      </c>
      <c r="B117" s="80" t="s">
        <v>387</v>
      </c>
      <c r="C117" s="80" t="s">
        <v>190</v>
      </c>
      <c r="D117" s="90" t="s">
        <v>851</v>
      </c>
      <c r="E117" s="90" t="s">
        <v>673</v>
      </c>
      <c r="F117" s="80" t="s">
        <v>674</v>
      </c>
      <c r="G117" s="91">
        <v>1</v>
      </c>
      <c r="H117" s="80"/>
      <c r="I117" s="80"/>
      <c r="J117" s="80"/>
      <c r="K117" s="35"/>
      <c r="L117" s="35"/>
      <c r="M117" s="35"/>
      <c r="N117" s="35"/>
      <c r="O117" s="35"/>
      <c r="P117" s="35"/>
      <c r="Q117" s="35"/>
    </row>
    <row r="118" spans="1:17" ht="14.25" customHeight="1">
      <c r="A118" s="84">
        <v>88</v>
      </c>
      <c r="B118" s="85" t="s">
        <v>388</v>
      </c>
      <c r="C118" s="85" t="s">
        <v>269</v>
      </c>
      <c r="D118" s="86" t="s">
        <v>903</v>
      </c>
      <c r="E118" s="86" t="s">
        <v>673</v>
      </c>
      <c r="F118" s="85" t="s">
        <v>674</v>
      </c>
      <c r="G118" s="87">
        <v>0</v>
      </c>
      <c r="H118" s="88" t="s">
        <v>626</v>
      </c>
      <c r="I118" s="88" t="s">
        <v>904</v>
      </c>
      <c r="J118" s="85"/>
      <c r="K118" s="35"/>
      <c r="L118" s="35"/>
      <c r="M118" s="35"/>
      <c r="N118" s="35"/>
      <c r="O118" s="35"/>
      <c r="P118" s="35"/>
      <c r="Q118" s="35"/>
    </row>
    <row r="119" spans="1:17" ht="14.25" customHeight="1">
      <c r="A119" s="89">
        <v>67</v>
      </c>
      <c r="B119" s="80" t="s">
        <v>389</v>
      </c>
      <c r="C119" s="80" t="s">
        <v>21</v>
      </c>
      <c r="D119" s="90" t="s">
        <v>859</v>
      </c>
      <c r="E119" s="90" t="s">
        <v>680</v>
      </c>
      <c r="F119" s="80" t="s">
        <v>664</v>
      </c>
      <c r="G119" s="91">
        <v>0</v>
      </c>
      <c r="H119" s="92" t="s">
        <v>634</v>
      </c>
      <c r="I119" s="83"/>
      <c r="J119" s="80"/>
      <c r="K119" s="35"/>
      <c r="L119" s="35"/>
      <c r="M119" s="35"/>
      <c r="N119" s="35"/>
      <c r="O119" s="35"/>
      <c r="P119" s="35"/>
      <c r="Q119" s="35"/>
    </row>
    <row r="120" spans="1:17" ht="14.25" customHeight="1">
      <c r="A120" s="84">
        <v>82</v>
      </c>
      <c r="B120" s="85" t="s">
        <v>391</v>
      </c>
      <c r="C120" s="85" t="s">
        <v>193</v>
      </c>
      <c r="D120" s="86" t="s">
        <v>889</v>
      </c>
      <c r="E120" s="86" t="s">
        <v>686</v>
      </c>
      <c r="F120" s="85" t="s">
        <v>681</v>
      </c>
      <c r="G120" s="87">
        <v>0</v>
      </c>
      <c r="H120" s="88" t="s">
        <v>637</v>
      </c>
      <c r="I120" s="60" t="s">
        <v>890</v>
      </c>
      <c r="J120" s="85"/>
      <c r="K120" s="35"/>
      <c r="L120" s="35"/>
      <c r="M120" s="35"/>
      <c r="N120" s="35"/>
      <c r="O120" s="35"/>
      <c r="P120" s="35"/>
      <c r="Q120" s="35"/>
    </row>
    <row r="121" spans="1:17" ht="14.25" customHeight="1">
      <c r="A121" s="84">
        <v>52</v>
      </c>
      <c r="B121" s="85" t="s">
        <v>392</v>
      </c>
      <c r="C121" s="85" t="s">
        <v>22</v>
      </c>
      <c r="D121" s="86" t="s">
        <v>823</v>
      </c>
      <c r="E121" s="86" t="s">
        <v>669</v>
      </c>
      <c r="F121" s="85" t="s">
        <v>670</v>
      </c>
      <c r="G121" s="87">
        <v>0</v>
      </c>
      <c r="H121" s="88" t="s">
        <v>626</v>
      </c>
      <c r="I121" s="97" t="s">
        <v>824</v>
      </c>
      <c r="J121" s="85"/>
      <c r="K121" s="35"/>
      <c r="L121" s="35"/>
      <c r="M121" s="35"/>
      <c r="N121" s="35"/>
      <c r="O121" s="35"/>
      <c r="P121" s="35"/>
      <c r="Q121" s="35"/>
    </row>
    <row r="122" spans="1:17" ht="14.25" customHeight="1">
      <c r="A122" s="84">
        <v>47</v>
      </c>
      <c r="B122" s="85" t="s">
        <v>393</v>
      </c>
      <c r="C122" s="85" t="s">
        <v>194</v>
      </c>
      <c r="D122" s="86" t="s">
        <v>195</v>
      </c>
      <c r="E122" s="86" t="s">
        <v>669</v>
      </c>
      <c r="F122" s="85" t="s">
        <v>670</v>
      </c>
      <c r="G122" s="87">
        <v>0</v>
      </c>
      <c r="H122" s="88" t="s">
        <v>626</v>
      </c>
      <c r="I122" s="88" t="s">
        <v>810</v>
      </c>
      <c r="J122" s="85"/>
      <c r="K122" s="35"/>
      <c r="L122" s="35"/>
      <c r="M122" s="35"/>
      <c r="N122" s="35"/>
      <c r="O122" s="35"/>
      <c r="P122" s="35"/>
      <c r="Q122" s="35"/>
    </row>
    <row r="123" spans="1:17" ht="14.25" customHeight="1">
      <c r="A123" s="84">
        <v>63</v>
      </c>
      <c r="B123" s="85" t="s">
        <v>394</v>
      </c>
      <c r="C123" s="85" t="s">
        <v>197</v>
      </c>
      <c r="D123" s="86" t="s">
        <v>852</v>
      </c>
      <c r="E123" s="86" t="s">
        <v>673</v>
      </c>
      <c r="F123" s="85" t="s">
        <v>674</v>
      </c>
      <c r="G123" s="87">
        <v>1</v>
      </c>
      <c r="H123" s="85"/>
      <c r="I123" s="85"/>
      <c r="J123" s="85"/>
      <c r="K123" s="35"/>
      <c r="L123" s="35"/>
      <c r="M123" s="35"/>
      <c r="N123" s="35"/>
      <c r="O123" s="35"/>
      <c r="P123" s="35"/>
      <c r="Q123" s="35"/>
    </row>
    <row r="124" spans="1:17" ht="14.25" customHeight="1">
      <c r="A124" s="84">
        <v>51</v>
      </c>
      <c r="B124" s="85" t="s">
        <v>395</v>
      </c>
      <c r="C124" s="85" t="s">
        <v>198</v>
      </c>
      <c r="D124" s="86" t="s">
        <v>820</v>
      </c>
      <c r="E124" s="86" t="s">
        <v>669</v>
      </c>
      <c r="F124" s="85" t="s">
        <v>670</v>
      </c>
      <c r="G124" s="87">
        <v>0</v>
      </c>
      <c r="H124" s="88" t="s">
        <v>637</v>
      </c>
      <c r="I124" s="96" t="s">
        <v>819</v>
      </c>
      <c r="J124" s="85"/>
      <c r="K124" s="35"/>
      <c r="L124" s="35"/>
      <c r="M124" s="35"/>
      <c r="N124" s="35"/>
      <c r="O124" s="35"/>
      <c r="P124" s="35"/>
      <c r="Q124" s="35"/>
    </row>
    <row r="125" spans="1:17" ht="14.25" customHeight="1">
      <c r="A125" s="84">
        <v>40</v>
      </c>
      <c r="B125" s="85" t="s">
        <v>396</v>
      </c>
      <c r="C125" s="85" t="s">
        <v>200</v>
      </c>
      <c r="D125" s="86" t="s">
        <v>794</v>
      </c>
      <c r="E125" s="86" t="s">
        <v>663</v>
      </c>
      <c r="F125" s="85" t="s">
        <v>660</v>
      </c>
      <c r="G125" s="87">
        <v>0</v>
      </c>
      <c r="H125" s="88" t="s">
        <v>634</v>
      </c>
      <c r="I125" s="85"/>
      <c r="J125" s="85"/>
      <c r="K125" s="35"/>
      <c r="L125" s="35"/>
      <c r="M125" s="35"/>
      <c r="N125" s="35"/>
      <c r="O125" s="35"/>
      <c r="P125" s="35"/>
      <c r="Q125" s="35"/>
    </row>
    <row r="126" spans="1:17" ht="14.25" customHeight="1">
      <c r="A126" s="84">
        <v>37</v>
      </c>
      <c r="B126" s="85" t="s">
        <v>397</v>
      </c>
      <c r="C126" s="85" t="s">
        <v>202</v>
      </c>
      <c r="D126" s="86" t="s">
        <v>788</v>
      </c>
      <c r="E126" s="86" t="s">
        <v>663</v>
      </c>
      <c r="F126" s="85" t="s">
        <v>660</v>
      </c>
      <c r="G126" s="87">
        <v>1</v>
      </c>
      <c r="H126" s="85"/>
      <c r="I126" s="85"/>
      <c r="J126" s="85"/>
      <c r="K126" s="35"/>
      <c r="L126" s="35"/>
      <c r="M126" s="35"/>
      <c r="N126" s="35"/>
      <c r="O126" s="35"/>
      <c r="P126" s="35"/>
      <c r="Q126" s="35"/>
    </row>
    <row r="127" spans="1:17" ht="14.25" customHeight="1">
      <c r="A127" s="89">
        <v>55</v>
      </c>
      <c r="B127" s="80" t="s">
        <v>398</v>
      </c>
      <c r="C127" s="80" t="s">
        <v>204</v>
      </c>
      <c r="D127" s="90" t="s">
        <v>830</v>
      </c>
      <c r="E127" s="90" t="s">
        <v>669</v>
      </c>
      <c r="F127" s="80" t="s">
        <v>670</v>
      </c>
      <c r="G127" s="91">
        <v>0</v>
      </c>
      <c r="H127" s="92" t="s">
        <v>642</v>
      </c>
      <c r="I127" s="92" t="s">
        <v>831</v>
      </c>
      <c r="J127" s="80"/>
      <c r="K127" s="35"/>
      <c r="L127" s="35"/>
      <c r="M127" s="35"/>
      <c r="N127" s="35"/>
      <c r="O127" s="35"/>
      <c r="P127" s="35"/>
      <c r="Q127" s="35"/>
    </row>
    <row r="128" spans="1:17" ht="14.25" customHeight="1">
      <c r="A128" s="84">
        <v>25</v>
      </c>
      <c r="B128" s="85" t="s">
        <v>399</v>
      </c>
      <c r="C128" s="85" t="s">
        <v>206</v>
      </c>
      <c r="D128" s="86" t="s">
        <v>760</v>
      </c>
      <c r="E128" s="86" t="s">
        <v>659</v>
      </c>
      <c r="F128" s="85" t="s">
        <v>651</v>
      </c>
      <c r="G128" s="87">
        <v>0</v>
      </c>
      <c r="H128" s="88" t="s">
        <v>634</v>
      </c>
      <c r="I128" s="85"/>
      <c r="J128" s="85"/>
      <c r="K128" s="35"/>
      <c r="L128" s="35"/>
      <c r="M128" s="35"/>
      <c r="N128" s="35"/>
      <c r="O128" s="35"/>
      <c r="P128" s="35"/>
      <c r="Q128" s="35"/>
    </row>
    <row r="129" spans="1:17" ht="14.25" customHeight="1">
      <c r="A129" s="84">
        <v>58</v>
      </c>
      <c r="B129" s="85" t="s">
        <v>400</v>
      </c>
      <c r="C129" s="85" t="s">
        <v>208</v>
      </c>
      <c r="D129" s="86" t="s">
        <v>839</v>
      </c>
      <c r="E129" s="86" t="s">
        <v>673</v>
      </c>
      <c r="F129" s="85" t="s">
        <v>674</v>
      </c>
      <c r="G129" s="87">
        <v>0</v>
      </c>
      <c r="H129" s="88" t="s">
        <v>634</v>
      </c>
      <c r="I129" s="85"/>
      <c r="J129" s="85"/>
      <c r="K129" s="35"/>
      <c r="L129" s="35"/>
      <c r="M129" s="35"/>
      <c r="N129" s="35"/>
      <c r="O129" s="35"/>
      <c r="P129" s="35"/>
      <c r="Q129" s="35"/>
    </row>
    <row r="130" spans="1:17" ht="14.25" customHeight="1">
      <c r="A130" s="84">
        <v>49</v>
      </c>
      <c r="B130" s="85" t="s">
        <v>401</v>
      </c>
      <c r="C130" s="85" t="s">
        <v>209</v>
      </c>
      <c r="D130" s="86" t="s">
        <v>814</v>
      </c>
      <c r="E130" s="86" t="s">
        <v>669</v>
      </c>
      <c r="F130" s="85" t="s">
        <v>670</v>
      </c>
      <c r="G130" s="87">
        <v>0</v>
      </c>
      <c r="H130" s="88" t="s">
        <v>634</v>
      </c>
      <c r="I130" s="85"/>
      <c r="J130" s="85"/>
      <c r="K130" s="35"/>
      <c r="L130" s="35"/>
      <c r="M130" s="35"/>
      <c r="N130" s="35"/>
      <c r="O130" s="35"/>
      <c r="P130" s="35"/>
      <c r="Q130" s="35"/>
    </row>
    <row r="131" spans="1:17" ht="14.25" customHeight="1">
      <c r="A131" s="84">
        <v>23</v>
      </c>
      <c r="B131" s="85" t="s">
        <v>402</v>
      </c>
      <c r="C131" s="85" t="s">
        <v>210</v>
      </c>
      <c r="D131" s="86" t="s">
        <v>756</v>
      </c>
      <c r="E131" s="86" t="s">
        <v>659</v>
      </c>
      <c r="F131" s="85" t="s">
        <v>651</v>
      </c>
      <c r="G131" s="87">
        <v>0</v>
      </c>
      <c r="H131" s="88" t="s">
        <v>626</v>
      </c>
      <c r="I131" s="85" t="s">
        <v>755</v>
      </c>
      <c r="J131" s="85"/>
      <c r="K131" s="35"/>
      <c r="L131" s="35"/>
      <c r="M131" s="35"/>
      <c r="N131" s="35"/>
      <c r="O131" s="35"/>
      <c r="P131" s="35"/>
      <c r="Q131" s="35"/>
    </row>
    <row r="132" spans="1:17" ht="14.25" customHeight="1">
      <c r="A132" s="84">
        <v>70</v>
      </c>
      <c r="B132" s="85" t="s">
        <v>403</v>
      </c>
      <c r="C132" s="85" t="s">
        <v>212</v>
      </c>
      <c r="D132" s="86" t="s">
        <v>868</v>
      </c>
      <c r="E132" s="86" t="s">
        <v>680</v>
      </c>
      <c r="F132" s="85" t="s">
        <v>664</v>
      </c>
      <c r="G132" s="87">
        <v>1</v>
      </c>
      <c r="H132" s="85"/>
      <c r="I132" s="85"/>
      <c r="J132" s="85"/>
      <c r="K132" s="35"/>
      <c r="L132" s="35"/>
      <c r="M132" s="35"/>
      <c r="N132" s="35"/>
      <c r="O132" s="35"/>
      <c r="P132" s="35"/>
      <c r="Q132" s="35"/>
    </row>
    <row r="133" spans="1:17" ht="14.25" customHeight="1">
      <c r="A133" s="89">
        <v>60</v>
      </c>
      <c r="B133" s="80" t="s">
        <v>404</v>
      </c>
      <c r="C133" s="80" t="s">
        <v>214</v>
      </c>
      <c r="D133" s="90" t="s">
        <v>843</v>
      </c>
      <c r="E133" s="90" t="s">
        <v>673</v>
      </c>
      <c r="F133" s="80" t="s">
        <v>674</v>
      </c>
      <c r="G133" s="91">
        <v>1</v>
      </c>
      <c r="H133" s="80"/>
      <c r="I133" s="80"/>
      <c r="J133" s="80"/>
      <c r="K133" s="35"/>
      <c r="L133" s="35"/>
      <c r="M133" s="35"/>
      <c r="N133" s="35"/>
      <c r="O133" s="35"/>
      <c r="P133" s="35"/>
      <c r="Q133" s="35"/>
    </row>
    <row r="134" spans="1:17" ht="14.25" customHeight="1">
      <c r="A134" s="84">
        <v>2</v>
      </c>
      <c r="B134" s="85" t="s">
        <v>405</v>
      </c>
      <c r="C134" s="85" t="s">
        <v>215</v>
      </c>
      <c r="D134" s="86" t="s">
        <v>708</v>
      </c>
      <c r="E134" s="86" t="s">
        <v>624</v>
      </c>
      <c r="F134" s="85" t="s">
        <v>687</v>
      </c>
      <c r="G134" s="87">
        <v>0</v>
      </c>
      <c r="H134" s="88" t="s">
        <v>633</v>
      </c>
      <c r="I134" s="88" t="s">
        <v>709</v>
      </c>
      <c r="J134" s="85"/>
      <c r="K134" s="35"/>
      <c r="L134" s="35"/>
      <c r="M134" s="35"/>
      <c r="N134" s="35"/>
      <c r="O134" s="35"/>
      <c r="P134" s="35"/>
      <c r="Q134" s="35"/>
    </row>
    <row r="135" spans="1:17" ht="14.25" customHeight="1">
      <c r="A135" s="84">
        <v>64</v>
      </c>
      <c r="B135" s="85" t="s">
        <v>406</v>
      </c>
      <c r="C135" s="85" t="s">
        <v>217</v>
      </c>
      <c r="D135" s="86" t="s">
        <v>854</v>
      </c>
      <c r="E135" s="86" t="s">
        <v>673</v>
      </c>
      <c r="F135" s="85" t="s">
        <v>674</v>
      </c>
      <c r="G135" s="87">
        <v>1</v>
      </c>
      <c r="H135" s="85"/>
      <c r="I135" s="85"/>
      <c r="J135" s="85"/>
      <c r="K135" s="35"/>
      <c r="L135" s="35"/>
      <c r="M135" s="35"/>
      <c r="N135" s="35"/>
      <c r="O135" s="35"/>
      <c r="P135" s="35"/>
      <c r="Q135" s="35"/>
    </row>
    <row r="136" spans="1:17" ht="14.25" customHeight="1">
      <c r="A136" s="84">
        <v>67</v>
      </c>
      <c r="B136" s="85" t="s">
        <v>407</v>
      </c>
      <c r="C136" s="85" t="s">
        <v>218</v>
      </c>
      <c r="D136" s="86" t="s">
        <v>860</v>
      </c>
      <c r="E136" s="86" t="s">
        <v>680</v>
      </c>
      <c r="F136" s="85" t="s">
        <v>664</v>
      </c>
      <c r="G136" s="87">
        <v>0</v>
      </c>
      <c r="H136" s="88" t="s">
        <v>634</v>
      </c>
      <c r="I136" s="85"/>
      <c r="J136" s="85"/>
      <c r="K136" s="35"/>
      <c r="L136" s="35"/>
      <c r="M136" s="35"/>
      <c r="N136" s="35"/>
      <c r="O136" s="35"/>
      <c r="P136" s="35"/>
      <c r="Q136" s="35"/>
    </row>
    <row r="137" spans="1:17" ht="14.25" customHeight="1">
      <c r="A137" s="84">
        <v>5</v>
      </c>
      <c r="B137" s="85" t="s">
        <v>408</v>
      </c>
      <c r="C137" s="85" t="s">
        <v>220</v>
      </c>
      <c r="D137" s="86" t="s">
        <v>714</v>
      </c>
      <c r="E137" s="86" t="s">
        <v>624</v>
      </c>
      <c r="F137" s="85" t="s">
        <v>687</v>
      </c>
      <c r="G137" s="87">
        <v>1</v>
      </c>
      <c r="H137" s="85"/>
      <c r="I137" s="85"/>
      <c r="J137" s="85"/>
      <c r="K137" s="35"/>
      <c r="L137" s="35"/>
      <c r="M137" s="35"/>
      <c r="N137" s="35"/>
      <c r="O137" s="35"/>
      <c r="P137" s="35"/>
      <c r="Q137" s="35"/>
    </row>
    <row r="138" spans="1:17" ht="14.25" customHeight="1">
      <c r="A138" s="84">
        <v>84</v>
      </c>
      <c r="B138" s="85" t="s">
        <v>409</v>
      </c>
      <c r="C138" s="85" t="s">
        <v>221</v>
      </c>
      <c r="D138" s="86" t="s">
        <v>895</v>
      </c>
      <c r="E138" s="86" t="s">
        <v>686</v>
      </c>
      <c r="F138" s="85" t="s">
        <v>681</v>
      </c>
      <c r="G138" s="87">
        <v>0</v>
      </c>
      <c r="H138" s="88" t="s">
        <v>634</v>
      </c>
      <c r="I138" s="85"/>
      <c r="J138" s="85"/>
      <c r="K138" s="35"/>
      <c r="L138" s="35"/>
      <c r="M138" s="35"/>
      <c r="N138" s="35"/>
      <c r="O138" s="35"/>
      <c r="P138" s="35"/>
      <c r="Q138" s="35"/>
    </row>
    <row r="139" spans="1:17" ht="14.25" customHeight="1">
      <c r="A139" s="84">
        <v>42</v>
      </c>
      <c r="B139" s="85" t="s">
        <v>410</v>
      </c>
      <c r="C139" s="85" t="s">
        <v>223</v>
      </c>
      <c r="D139" s="86" t="s">
        <v>799</v>
      </c>
      <c r="E139" s="86" t="s">
        <v>663</v>
      </c>
      <c r="F139" s="85" t="s">
        <v>660</v>
      </c>
      <c r="G139" s="87">
        <v>1</v>
      </c>
      <c r="H139" s="85"/>
      <c r="I139" s="85"/>
      <c r="J139" s="85"/>
      <c r="K139" s="35"/>
      <c r="L139" s="35"/>
      <c r="M139" s="35"/>
      <c r="N139" s="35"/>
      <c r="O139" s="35"/>
      <c r="P139" s="35"/>
      <c r="Q139" s="35"/>
    </row>
    <row r="140" spans="1:17" ht="14.25" customHeight="1">
      <c r="A140" s="84">
        <v>60</v>
      </c>
      <c r="B140" s="85" t="s">
        <v>411</v>
      </c>
      <c r="C140" s="85" t="s">
        <v>224</v>
      </c>
      <c r="D140" s="86" t="s">
        <v>844</v>
      </c>
      <c r="E140" s="86" t="s">
        <v>673</v>
      </c>
      <c r="F140" s="85" t="s">
        <v>674</v>
      </c>
      <c r="G140" s="87">
        <v>0</v>
      </c>
      <c r="H140" s="88" t="s">
        <v>626</v>
      </c>
      <c r="I140" s="88" t="s">
        <v>845</v>
      </c>
      <c r="J140" s="85"/>
      <c r="K140" s="35"/>
      <c r="L140" s="35"/>
      <c r="M140" s="35"/>
      <c r="N140" s="35"/>
      <c r="O140" s="35"/>
      <c r="P140" s="35"/>
      <c r="Q140" s="35"/>
    </row>
    <row r="141" spans="1:17" ht="14.25" customHeight="1">
      <c r="A141" s="84">
        <v>12</v>
      </c>
      <c r="B141" s="85" t="s">
        <v>412</v>
      </c>
      <c r="C141" s="85" t="s">
        <v>226</v>
      </c>
      <c r="D141" s="86" t="s">
        <v>729</v>
      </c>
      <c r="E141" s="86" t="s">
        <v>650</v>
      </c>
      <c r="F141" s="85" t="s">
        <v>625</v>
      </c>
      <c r="G141" s="87">
        <v>1</v>
      </c>
      <c r="H141" s="85"/>
      <c r="I141" s="85"/>
      <c r="J141" s="85"/>
      <c r="K141" s="35"/>
      <c r="L141" s="35"/>
      <c r="M141" s="35"/>
      <c r="N141" s="35"/>
      <c r="O141" s="35"/>
      <c r="P141" s="35"/>
      <c r="Q141" s="35"/>
    </row>
    <row r="142" spans="1:17" ht="14.25" customHeight="1">
      <c r="A142" s="84">
        <v>69</v>
      </c>
      <c r="B142" s="85" t="s">
        <v>413</v>
      </c>
      <c r="C142" s="85" t="s">
        <v>227</v>
      </c>
      <c r="D142" s="86" t="s">
        <v>865</v>
      </c>
      <c r="E142" s="86" t="s">
        <v>680</v>
      </c>
      <c r="F142" s="85" t="s">
        <v>664</v>
      </c>
      <c r="G142" s="87">
        <v>1</v>
      </c>
      <c r="H142" s="85"/>
      <c r="I142" s="85"/>
      <c r="J142" s="85"/>
      <c r="K142" s="35"/>
      <c r="L142" s="35"/>
      <c r="M142" s="35"/>
      <c r="N142" s="35"/>
      <c r="O142" s="35"/>
      <c r="P142" s="35"/>
      <c r="Q142" s="35"/>
    </row>
    <row r="143" spans="1:17" ht="14.25" customHeight="1">
      <c r="A143" s="89">
        <v>82</v>
      </c>
      <c r="B143" s="80" t="s">
        <v>414</v>
      </c>
      <c r="C143" s="80" t="s">
        <v>228</v>
      </c>
      <c r="D143" s="90" t="s">
        <v>891</v>
      </c>
      <c r="E143" s="90" t="s">
        <v>686</v>
      </c>
      <c r="F143" s="80" t="s">
        <v>681</v>
      </c>
      <c r="G143" s="91">
        <v>0</v>
      </c>
      <c r="H143" s="92" t="s">
        <v>626</v>
      </c>
      <c r="I143" s="60" t="s">
        <v>892</v>
      </c>
      <c r="J143" s="80"/>
      <c r="K143" s="35"/>
      <c r="L143" s="35"/>
      <c r="M143" s="35"/>
      <c r="N143" s="35"/>
      <c r="O143" s="35"/>
      <c r="P143" s="35"/>
      <c r="Q143" s="35"/>
    </row>
    <row r="144" spans="1:17" ht="14.25" customHeight="1">
      <c r="A144" s="84">
        <v>6</v>
      </c>
      <c r="B144" s="85" t="s">
        <v>415</v>
      </c>
      <c r="C144" s="85" t="s">
        <v>229</v>
      </c>
      <c r="D144" s="86" t="s">
        <v>716</v>
      </c>
      <c r="E144" s="86" t="s">
        <v>624</v>
      </c>
      <c r="F144" s="85" t="s">
        <v>687</v>
      </c>
      <c r="G144" s="87">
        <v>1</v>
      </c>
      <c r="H144" s="85"/>
      <c r="I144" s="85"/>
      <c r="J144" s="85"/>
      <c r="K144" s="35"/>
      <c r="L144" s="35"/>
      <c r="M144" s="35"/>
      <c r="N144" s="35"/>
      <c r="O144" s="35"/>
      <c r="P144" s="35"/>
      <c r="Q144" s="35"/>
    </row>
    <row r="145" spans="1:17" ht="14.25" customHeight="1">
      <c r="A145" s="84">
        <v>68</v>
      </c>
      <c r="B145" s="85" t="s">
        <v>416</v>
      </c>
      <c r="C145" s="85" t="s">
        <v>230</v>
      </c>
      <c r="D145" s="86" t="s">
        <v>862</v>
      </c>
      <c r="E145" s="86" t="s">
        <v>680</v>
      </c>
      <c r="F145" s="85" t="s">
        <v>664</v>
      </c>
      <c r="G145" s="87">
        <v>1</v>
      </c>
      <c r="H145" s="88"/>
      <c r="I145" s="85"/>
      <c r="J145" s="85"/>
      <c r="K145" s="35"/>
      <c r="L145" s="35"/>
      <c r="M145" s="35"/>
      <c r="N145" s="35"/>
      <c r="O145" s="35"/>
      <c r="P145" s="35"/>
      <c r="Q145" s="35"/>
    </row>
    <row r="146" spans="1:17" ht="14.25" customHeight="1">
      <c r="A146" s="89">
        <v>36</v>
      </c>
      <c r="B146" s="80" t="s">
        <v>417</v>
      </c>
      <c r="C146" s="80" t="s">
        <v>23</v>
      </c>
      <c r="D146" s="90" t="s">
        <v>785</v>
      </c>
      <c r="E146" s="90" t="s">
        <v>663</v>
      </c>
      <c r="F146" s="80" t="s">
        <v>660</v>
      </c>
      <c r="G146" s="91">
        <v>1</v>
      </c>
      <c r="H146" s="80"/>
      <c r="I146" s="80"/>
      <c r="J146" s="80"/>
      <c r="K146" s="35"/>
      <c r="L146" s="35"/>
      <c r="M146" s="35"/>
      <c r="N146" s="35"/>
      <c r="O146" s="35"/>
      <c r="P146" s="35"/>
      <c r="Q146" s="35"/>
    </row>
    <row r="147" spans="1:17" ht="14.25" customHeight="1">
      <c r="A147" s="89">
        <v>88</v>
      </c>
      <c r="B147" s="80" t="s">
        <v>418</v>
      </c>
      <c r="C147" s="80" t="s">
        <v>232</v>
      </c>
      <c r="D147" s="90" t="s">
        <v>905</v>
      </c>
      <c r="E147" s="90" t="s">
        <v>673</v>
      </c>
      <c r="F147" s="80" t="s">
        <v>674</v>
      </c>
      <c r="G147" s="91">
        <v>1</v>
      </c>
      <c r="H147" s="92"/>
      <c r="I147" s="95"/>
      <c r="J147" s="80"/>
      <c r="K147" s="35"/>
      <c r="L147" s="35"/>
      <c r="M147" s="35"/>
      <c r="N147" s="35"/>
      <c r="O147" s="35"/>
      <c r="P147" s="35"/>
      <c r="Q147" s="35"/>
    </row>
    <row r="148" spans="1:17" ht="14.25" customHeight="1">
      <c r="A148" s="84">
        <v>31</v>
      </c>
      <c r="B148" s="85" t="s">
        <v>419</v>
      </c>
      <c r="C148" s="85" t="s">
        <v>233</v>
      </c>
      <c r="D148" s="86" t="s">
        <v>234</v>
      </c>
      <c r="E148" s="86" t="s">
        <v>659</v>
      </c>
      <c r="F148" s="85" t="s">
        <v>651</v>
      </c>
      <c r="G148" s="87">
        <v>0</v>
      </c>
      <c r="H148" s="88" t="s">
        <v>637</v>
      </c>
      <c r="I148" s="93" t="s">
        <v>777</v>
      </c>
      <c r="J148" s="85"/>
      <c r="K148" s="35"/>
      <c r="L148" s="35"/>
      <c r="M148" s="35"/>
      <c r="N148" s="35"/>
      <c r="O148" s="35"/>
      <c r="P148" s="35"/>
      <c r="Q148" s="35"/>
    </row>
    <row r="149" spans="1:17" ht="14.25" customHeight="1">
      <c r="A149" s="89">
        <v>17</v>
      </c>
      <c r="B149" s="80" t="s">
        <v>420</v>
      </c>
      <c r="C149" s="80" t="s">
        <v>236</v>
      </c>
      <c r="D149" s="90" t="s">
        <v>741</v>
      </c>
      <c r="E149" s="90" t="s">
        <v>650</v>
      </c>
      <c r="F149" s="80" t="s">
        <v>625</v>
      </c>
      <c r="G149" s="91">
        <v>1</v>
      </c>
      <c r="H149" s="80"/>
      <c r="I149" s="80"/>
      <c r="J149" s="92"/>
      <c r="K149" s="35"/>
      <c r="L149" s="35"/>
      <c r="M149" s="35"/>
      <c r="N149" s="35"/>
      <c r="O149" s="35"/>
      <c r="P149" s="35"/>
      <c r="Q149" s="35"/>
    </row>
    <row r="150" spans="1:17" ht="14.25" customHeight="1">
      <c r="A150" s="84">
        <v>22</v>
      </c>
      <c r="B150" s="85" t="s">
        <v>421</v>
      </c>
      <c r="C150" s="85" t="s">
        <v>237</v>
      </c>
      <c r="D150" s="86" t="s">
        <v>753</v>
      </c>
      <c r="E150" s="86" t="s">
        <v>650</v>
      </c>
      <c r="F150" s="85" t="s">
        <v>625</v>
      </c>
      <c r="G150" s="87">
        <v>1</v>
      </c>
      <c r="H150" s="85"/>
      <c r="I150" s="85"/>
      <c r="J150" s="85"/>
      <c r="K150" s="35"/>
      <c r="L150" s="60"/>
      <c r="M150" s="35"/>
      <c r="N150" s="35"/>
      <c r="O150" s="35"/>
      <c r="P150" s="35"/>
      <c r="Q150" s="35"/>
    </row>
    <row r="151" spans="1:17" ht="14.25" customHeight="1">
      <c r="A151" s="84">
        <v>36</v>
      </c>
      <c r="B151" s="85" t="s">
        <v>422</v>
      </c>
      <c r="C151" s="85" t="s">
        <v>239</v>
      </c>
      <c r="D151" s="86" t="s">
        <v>786</v>
      </c>
      <c r="E151" s="86" t="s">
        <v>663</v>
      </c>
      <c r="F151" s="85" t="s">
        <v>660</v>
      </c>
      <c r="G151" s="87">
        <v>1</v>
      </c>
      <c r="H151" s="85"/>
      <c r="I151" s="85"/>
      <c r="J151" s="85"/>
      <c r="K151" s="35"/>
      <c r="L151" s="96"/>
      <c r="M151" s="35"/>
      <c r="N151" s="35"/>
      <c r="O151" s="35"/>
      <c r="P151" s="35"/>
      <c r="Q151" s="35"/>
    </row>
    <row r="152" spans="1:17" ht="14.25" customHeight="1">
      <c r="A152" s="84">
        <v>62</v>
      </c>
      <c r="B152" s="85" t="s">
        <v>423</v>
      </c>
      <c r="C152" s="85" t="s">
        <v>240</v>
      </c>
      <c r="D152" s="86" t="s">
        <v>850</v>
      </c>
      <c r="E152" s="86" t="s">
        <v>673</v>
      </c>
      <c r="F152" s="85" t="s">
        <v>674</v>
      </c>
      <c r="G152" s="87">
        <v>1</v>
      </c>
      <c r="H152" s="85"/>
      <c r="I152" s="85"/>
      <c r="J152" s="85"/>
      <c r="K152" s="35"/>
      <c r="L152" s="35"/>
      <c r="M152" s="35"/>
      <c r="N152" s="35"/>
      <c r="O152" s="35"/>
      <c r="P152" s="35"/>
      <c r="Q152" s="35"/>
    </row>
    <row r="153" spans="1:17" ht="14.25" customHeight="1">
      <c r="A153" s="89">
        <v>78</v>
      </c>
      <c r="B153" s="80" t="s">
        <v>424</v>
      </c>
      <c r="C153" s="80" t="s">
        <v>241</v>
      </c>
      <c r="D153" s="90" t="s">
        <v>883</v>
      </c>
      <c r="E153" s="90" t="s">
        <v>686</v>
      </c>
      <c r="F153" s="80" t="s">
        <v>681</v>
      </c>
      <c r="G153" s="91">
        <v>0</v>
      </c>
      <c r="H153" s="80"/>
      <c r="I153" s="98" t="s">
        <v>882</v>
      </c>
      <c r="J153" s="80"/>
      <c r="K153" s="35"/>
      <c r="L153" s="35"/>
      <c r="M153" s="35"/>
      <c r="N153" s="35"/>
      <c r="O153" s="35"/>
      <c r="P153" s="35"/>
      <c r="Q153" s="35"/>
    </row>
    <row r="154" spans="1:17" ht="14.25" customHeight="1">
      <c r="A154" s="84">
        <v>20</v>
      </c>
      <c r="B154" s="85" t="s">
        <v>425</v>
      </c>
      <c r="C154" s="85" t="s">
        <v>242</v>
      </c>
      <c r="D154" s="86" t="s">
        <v>749</v>
      </c>
      <c r="E154" s="86" t="s">
        <v>650</v>
      </c>
      <c r="F154" s="85" t="s">
        <v>625</v>
      </c>
      <c r="G154" s="87">
        <v>0</v>
      </c>
      <c r="H154" s="88" t="s">
        <v>626</v>
      </c>
      <c r="I154" s="88" t="s">
        <v>748</v>
      </c>
      <c r="J154" s="88"/>
      <c r="K154" s="35"/>
      <c r="L154" s="35"/>
      <c r="M154" s="35"/>
      <c r="N154" s="35"/>
      <c r="O154" s="35"/>
      <c r="P154" s="35"/>
      <c r="Q154" s="35"/>
    </row>
    <row r="155" spans="1:17" ht="14.25" customHeight="1">
      <c r="A155" s="84">
        <v>55</v>
      </c>
      <c r="B155" s="85" t="s">
        <v>426</v>
      </c>
      <c r="C155" s="85" t="s">
        <v>242</v>
      </c>
      <c r="D155" s="86" t="s">
        <v>832</v>
      </c>
      <c r="E155" s="86" t="s">
        <v>669</v>
      </c>
      <c r="F155" s="85" t="s">
        <v>670</v>
      </c>
      <c r="G155" s="87">
        <v>0</v>
      </c>
      <c r="H155" s="88" t="s">
        <v>642</v>
      </c>
      <c r="I155" s="97" t="s">
        <v>831</v>
      </c>
      <c r="J155" s="85"/>
      <c r="K155" s="35"/>
      <c r="L155" s="35"/>
      <c r="M155" s="35"/>
      <c r="N155" s="35"/>
      <c r="O155" s="35"/>
      <c r="P155" s="35"/>
      <c r="Q155" s="35"/>
    </row>
    <row r="156" spans="1:17" ht="14.25" customHeight="1">
      <c r="A156" s="89">
        <v>65</v>
      </c>
      <c r="B156" s="80" t="s">
        <v>427</v>
      </c>
      <c r="C156" s="80" t="s">
        <v>244</v>
      </c>
      <c r="D156" s="90" t="s">
        <v>855</v>
      </c>
      <c r="E156" s="90" t="s">
        <v>673</v>
      </c>
      <c r="F156" s="80" t="s">
        <v>674</v>
      </c>
      <c r="G156" s="91">
        <v>1</v>
      </c>
      <c r="H156" s="80"/>
      <c r="I156" s="83"/>
      <c r="J156" s="80"/>
      <c r="K156" s="35"/>
      <c r="L156" s="35"/>
      <c r="M156" s="35"/>
      <c r="N156" s="35"/>
      <c r="O156" s="35"/>
      <c r="P156" s="35"/>
      <c r="Q156" s="35"/>
    </row>
    <row r="157" spans="1:17" ht="14.25" customHeight="1">
      <c r="A157" s="84">
        <v>59</v>
      </c>
      <c r="B157" s="85" t="s">
        <v>428</v>
      </c>
      <c r="C157" s="85" t="s">
        <v>246</v>
      </c>
      <c r="D157" s="86" t="s">
        <v>842</v>
      </c>
      <c r="E157" s="86" t="s">
        <v>673</v>
      </c>
      <c r="F157" s="85" t="s">
        <v>674</v>
      </c>
      <c r="G157" s="87">
        <v>0</v>
      </c>
      <c r="H157" s="88" t="s">
        <v>637</v>
      </c>
      <c r="I157" s="88" t="s">
        <v>841</v>
      </c>
      <c r="J157" s="85"/>
      <c r="K157" s="35"/>
      <c r="L157" s="35"/>
      <c r="M157" s="35"/>
      <c r="N157" s="35"/>
      <c r="O157" s="35"/>
      <c r="P157" s="35"/>
      <c r="Q157" s="35"/>
    </row>
    <row r="158" spans="1:17" ht="14.25" customHeight="1">
      <c r="A158" s="84">
        <v>18</v>
      </c>
      <c r="B158" s="85" t="s">
        <v>429</v>
      </c>
      <c r="C158" s="85" t="s">
        <v>247</v>
      </c>
      <c r="D158" s="86" t="s">
        <v>744</v>
      </c>
      <c r="E158" s="86" t="s">
        <v>650</v>
      </c>
      <c r="F158" s="85" t="s">
        <v>625</v>
      </c>
      <c r="G158" s="87">
        <v>1</v>
      </c>
      <c r="H158" s="85"/>
      <c r="I158" s="85"/>
      <c r="J158" s="85"/>
      <c r="K158" s="35"/>
      <c r="L158" s="60"/>
      <c r="M158" s="35"/>
      <c r="N158" s="35"/>
      <c r="O158" s="35"/>
      <c r="P158" s="35"/>
      <c r="Q158" s="35"/>
    </row>
    <row r="159" spans="1:17" ht="14.25" customHeight="1">
      <c r="A159" s="84">
        <v>33</v>
      </c>
      <c r="B159" s="85" t="s">
        <v>430</v>
      </c>
      <c r="C159" s="85" t="s">
        <v>248</v>
      </c>
      <c r="D159" s="86" t="s">
        <v>780</v>
      </c>
      <c r="E159" s="86" t="s">
        <v>659</v>
      </c>
      <c r="F159" s="85" t="s">
        <v>651</v>
      </c>
      <c r="G159" s="87">
        <v>1</v>
      </c>
      <c r="H159" s="85"/>
      <c r="I159" s="92"/>
      <c r="J159" s="85"/>
      <c r="K159" s="35"/>
      <c r="L159" s="60"/>
      <c r="M159" s="35"/>
      <c r="N159" s="35"/>
      <c r="O159" s="35"/>
      <c r="P159" s="35"/>
      <c r="Q159" s="35"/>
    </row>
    <row r="160" spans="1:17" ht="14.25" customHeight="1">
      <c r="A160" s="84">
        <v>73</v>
      </c>
      <c r="B160" s="85" t="s">
        <v>431</v>
      </c>
      <c r="C160" s="85" t="s">
        <v>249</v>
      </c>
      <c r="D160" s="86" t="s">
        <v>874</v>
      </c>
      <c r="E160" s="86" t="s">
        <v>680</v>
      </c>
      <c r="F160" s="85" t="s">
        <v>664</v>
      </c>
      <c r="G160" s="87">
        <v>0</v>
      </c>
      <c r="H160" s="88" t="s">
        <v>634</v>
      </c>
      <c r="I160" s="85"/>
      <c r="J160" s="85"/>
      <c r="K160" s="35"/>
      <c r="L160" s="35"/>
      <c r="M160" s="35"/>
      <c r="N160" s="35"/>
      <c r="O160" s="35"/>
      <c r="P160" s="35"/>
      <c r="Q160" s="35"/>
    </row>
    <row r="161" spans="1:17" ht="14.25" customHeight="1">
      <c r="A161" s="84">
        <v>83</v>
      </c>
      <c r="B161" s="85" t="s">
        <v>433</v>
      </c>
      <c r="C161" s="85" t="s">
        <v>251</v>
      </c>
      <c r="D161" s="86" t="s">
        <v>893</v>
      </c>
      <c r="E161" s="86" t="s">
        <v>686</v>
      </c>
      <c r="F161" s="85" t="s">
        <v>681</v>
      </c>
      <c r="G161" s="87">
        <v>0</v>
      </c>
      <c r="H161" s="88" t="s">
        <v>634</v>
      </c>
      <c r="I161" s="85"/>
      <c r="J161" s="85"/>
      <c r="K161" s="35"/>
      <c r="L161" s="35"/>
      <c r="M161" s="35"/>
      <c r="N161" s="35"/>
      <c r="O161" s="35"/>
      <c r="P161" s="35"/>
      <c r="Q161" s="35"/>
    </row>
    <row r="162" spans="1:17" ht="14.25" customHeight="1">
      <c r="A162" s="84">
        <v>35</v>
      </c>
      <c r="B162" s="85" t="s">
        <v>434</v>
      </c>
      <c r="C162" s="85" t="s">
        <v>252</v>
      </c>
      <c r="D162" s="86" t="s">
        <v>784</v>
      </c>
      <c r="E162" s="86" t="s">
        <v>663</v>
      </c>
      <c r="F162" s="85" t="s">
        <v>660</v>
      </c>
      <c r="G162" s="87">
        <v>0</v>
      </c>
      <c r="H162" s="88" t="s">
        <v>637</v>
      </c>
      <c r="I162" s="85"/>
      <c r="J162" s="85"/>
      <c r="K162" s="35"/>
      <c r="L162" s="35"/>
      <c r="M162" s="35"/>
      <c r="N162" s="35"/>
      <c r="O162" s="35"/>
      <c r="P162" s="35"/>
      <c r="Q162" s="35"/>
    </row>
    <row r="163" spans="1:17" ht="14.25" customHeight="1">
      <c r="A163" s="84">
        <v>65</v>
      </c>
      <c r="B163" s="85" t="s">
        <v>435</v>
      </c>
      <c r="C163" s="85" t="s">
        <v>253</v>
      </c>
      <c r="D163" s="86" t="s">
        <v>856</v>
      </c>
      <c r="E163" s="86" t="s">
        <v>673</v>
      </c>
      <c r="F163" s="85" t="s">
        <v>674</v>
      </c>
      <c r="G163" s="87">
        <v>1</v>
      </c>
      <c r="H163" s="85"/>
      <c r="I163" s="85"/>
      <c r="J163" s="85"/>
      <c r="K163" s="35"/>
      <c r="L163" s="35"/>
      <c r="M163" s="35"/>
      <c r="N163" s="35"/>
      <c r="O163" s="35"/>
      <c r="P163" s="35"/>
      <c r="Q163" s="35"/>
    </row>
    <row r="164" spans="1:17" ht="14.25" customHeight="1">
      <c r="A164" s="84">
        <v>74</v>
      </c>
      <c r="B164" s="85" t="s">
        <v>436</v>
      </c>
      <c r="C164" s="85" t="s">
        <v>255</v>
      </c>
      <c r="D164" s="86" t="s">
        <v>876</v>
      </c>
      <c r="E164" s="86" t="s">
        <v>680</v>
      </c>
      <c r="F164" s="85" t="s">
        <v>664</v>
      </c>
      <c r="G164" s="87">
        <v>0</v>
      </c>
      <c r="H164" s="88" t="s">
        <v>634</v>
      </c>
      <c r="I164" s="85"/>
      <c r="J164" s="85"/>
      <c r="K164" s="35"/>
      <c r="L164" s="35"/>
      <c r="M164" s="35"/>
      <c r="N164" s="35"/>
      <c r="O164" s="35"/>
      <c r="P164" s="35"/>
      <c r="Q164" s="35"/>
    </row>
    <row r="165" spans="1:17" ht="14.25" customHeight="1">
      <c r="A165" s="84">
        <v>8</v>
      </c>
      <c r="B165" s="85" t="s">
        <v>437</v>
      </c>
      <c r="C165" s="85" t="s">
        <v>257</v>
      </c>
      <c r="D165" s="86" t="s">
        <v>721</v>
      </c>
      <c r="E165" s="86" t="s">
        <v>624</v>
      </c>
      <c r="F165" s="85" t="s">
        <v>687</v>
      </c>
      <c r="G165" s="87">
        <v>1</v>
      </c>
      <c r="H165" s="85"/>
      <c r="I165" s="85"/>
      <c r="J165" s="85"/>
      <c r="K165" s="35"/>
      <c r="L165" s="35"/>
      <c r="M165" s="35"/>
      <c r="N165" s="35"/>
      <c r="O165" s="35"/>
      <c r="P165" s="35"/>
      <c r="Q165" s="35"/>
    </row>
    <row r="166" spans="1:17" ht="14.25" customHeight="1">
      <c r="A166" s="89">
        <v>83</v>
      </c>
      <c r="B166" s="80" t="s">
        <v>438</v>
      </c>
      <c r="C166" s="80" t="s">
        <v>258</v>
      </c>
      <c r="D166" s="90" t="s">
        <v>894</v>
      </c>
      <c r="E166" s="90" t="s">
        <v>686</v>
      </c>
      <c r="F166" s="80" t="s">
        <v>681</v>
      </c>
      <c r="G166" s="91">
        <v>0</v>
      </c>
      <c r="H166" s="92" t="s">
        <v>634</v>
      </c>
      <c r="I166" s="80"/>
      <c r="J166" s="80"/>
      <c r="K166" s="35"/>
      <c r="L166" s="35"/>
      <c r="M166" s="35"/>
      <c r="N166" s="35"/>
      <c r="O166" s="35"/>
      <c r="P166" s="35"/>
      <c r="Q166" s="35"/>
    </row>
    <row r="167" spans="1:17" ht="14.25" customHeight="1">
      <c r="A167" s="84">
        <v>17</v>
      </c>
      <c r="B167" s="85" t="s">
        <v>439</v>
      </c>
      <c r="C167" s="85" t="s">
        <v>259</v>
      </c>
      <c r="D167" s="86" t="s">
        <v>742</v>
      </c>
      <c r="E167" s="86" t="s">
        <v>650</v>
      </c>
      <c r="F167" s="85" t="s">
        <v>625</v>
      </c>
      <c r="G167" s="87">
        <v>1</v>
      </c>
      <c r="H167" s="85"/>
      <c r="I167" s="85"/>
      <c r="J167" s="88"/>
      <c r="K167" s="35"/>
      <c r="L167" s="35"/>
      <c r="M167" s="35"/>
      <c r="N167" s="35"/>
      <c r="O167" s="35"/>
      <c r="P167" s="35"/>
      <c r="Q167" s="35"/>
    </row>
    <row r="168" spans="1:17" ht="14.25" customHeight="1">
      <c r="A168" s="84">
        <v>46</v>
      </c>
      <c r="B168" s="85" t="s">
        <v>440</v>
      </c>
      <c r="C168" s="85" t="s">
        <v>260</v>
      </c>
      <c r="D168" s="86" t="s">
        <v>808</v>
      </c>
      <c r="E168" s="86" t="s">
        <v>669</v>
      </c>
      <c r="F168" s="85" t="s">
        <v>670</v>
      </c>
      <c r="G168" s="87">
        <v>1</v>
      </c>
      <c r="H168" s="85"/>
      <c r="I168" s="85"/>
      <c r="J168" s="85"/>
      <c r="K168" s="35"/>
      <c r="L168" s="35"/>
      <c r="M168" s="35"/>
      <c r="N168" s="35"/>
      <c r="O168" s="35"/>
      <c r="P168" s="35"/>
      <c r="Q168" s="35"/>
    </row>
    <row r="169" spans="1:17" ht="14.25" customHeight="1">
      <c r="A169" s="84">
        <v>61</v>
      </c>
      <c r="B169" s="85" t="s">
        <v>441</v>
      </c>
      <c r="C169" s="85" t="s">
        <v>261</v>
      </c>
      <c r="D169" s="86" t="s">
        <v>847</v>
      </c>
      <c r="E169" s="86" t="s">
        <v>673</v>
      </c>
      <c r="F169" s="85" t="s">
        <v>674</v>
      </c>
      <c r="G169" s="87">
        <v>0</v>
      </c>
      <c r="H169" s="88" t="s">
        <v>634</v>
      </c>
      <c r="I169" s="85"/>
      <c r="J169" s="85"/>
      <c r="K169" s="35"/>
      <c r="L169" s="35"/>
      <c r="M169" s="35"/>
      <c r="N169" s="35"/>
      <c r="O169" s="35"/>
      <c r="P169" s="35"/>
      <c r="Q169" s="35"/>
    </row>
    <row r="170" spans="1:17" ht="14.25" customHeight="1">
      <c r="A170" s="246">
        <v>26</v>
      </c>
      <c r="B170" s="247" t="s">
        <v>447</v>
      </c>
      <c r="C170" s="247" t="s">
        <v>262</v>
      </c>
      <c r="D170" s="248" t="s">
        <v>763</v>
      </c>
      <c r="E170" s="248" t="s">
        <v>659</v>
      </c>
      <c r="F170" s="247" t="s">
        <v>651</v>
      </c>
      <c r="G170" s="249">
        <v>0</v>
      </c>
      <c r="H170" s="250" t="s">
        <v>637</v>
      </c>
      <c r="I170" s="93" t="s">
        <v>764</v>
      </c>
      <c r="J170" s="247"/>
      <c r="K170" s="35"/>
      <c r="L170" s="35"/>
      <c r="M170" s="35"/>
      <c r="N170" s="35"/>
      <c r="O170" s="35"/>
      <c r="P170" s="35"/>
      <c r="Q170" s="35"/>
    </row>
    <row r="171" spans="1:17" ht="14.25" customHeight="1">
      <c r="A171" s="35"/>
      <c r="B171" s="35"/>
      <c r="C171" s="35"/>
      <c r="D171" s="35"/>
      <c r="E171" s="36"/>
      <c r="F171" s="36"/>
      <c r="G171" s="36">
        <f>SUM(G3:G170)</f>
        <v>79</v>
      </c>
      <c r="H171" s="35"/>
      <c r="I171" s="35"/>
      <c r="J171" s="35"/>
      <c r="K171" s="35"/>
      <c r="L171" s="35"/>
      <c r="M171" s="35"/>
      <c r="N171" s="35"/>
      <c r="O171" s="35"/>
      <c r="P171" s="35"/>
    </row>
    <row r="172" spans="1:17" ht="14.25" customHeight="1">
      <c r="A172" s="35"/>
      <c r="B172" s="35"/>
      <c r="C172" s="35"/>
      <c r="D172" s="35"/>
      <c r="E172" s="36"/>
      <c r="F172" s="36"/>
      <c r="G172" s="36"/>
      <c r="H172" s="35"/>
      <c r="I172" s="35"/>
      <c r="J172" s="35"/>
      <c r="K172" s="35"/>
      <c r="L172" s="35"/>
      <c r="M172" s="35"/>
      <c r="N172" s="35"/>
      <c r="O172" s="35"/>
      <c r="P172" s="35"/>
    </row>
    <row r="173" spans="1:17" ht="14.25" customHeight="1">
      <c r="A173" s="35"/>
      <c r="B173" s="35"/>
      <c r="C173" s="35"/>
      <c r="D173" s="35"/>
      <c r="E173" s="36"/>
      <c r="F173" s="36"/>
      <c r="G173" s="36"/>
      <c r="H173" s="35"/>
      <c r="I173" s="35"/>
      <c r="J173" s="35"/>
      <c r="K173" s="35"/>
      <c r="L173" s="35"/>
      <c r="M173" s="35"/>
      <c r="N173" s="35"/>
      <c r="O173" s="35"/>
      <c r="P173" s="35"/>
    </row>
    <row r="174" spans="1:17" ht="14.25" customHeight="1">
      <c r="A174" s="35"/>
      <c r="B174" s="35"/>
      <c r="C174" s="35"/>
      <c r="D174" s="35"/>
      <c r="E174" s="36"/>
      <c r="F174" s="35"/>
      <c r="G174" s="35"/>
      <c r="H174" s="35"/>
      <c r="I174" s="35"/>
      <c r="J174" s="35"/>
      <c r="K174" s="35"/>
      <c r="L174" s="35"/>
      <c r="M174" s="35"/>
      <c r="N174" s="35"/>
      <c r="O174" s="35"/>
      <c r="P174" s="35"/>
    </row>
    <row r="175" spans="1:17" ht="14.25" customHeight="1">
      <c r="A175" s="35"/>
      <c r="B175" s="35"/>
      <c r="C175" s="35"/>
      <c r="D175" s="35"/>
      <c r="E175" s="36"/>
      <c r="F175" s="35"/>
      <c r="G175" s="35"/>
      <c r="H175" s="35"/>
      <c r="I175" s="35"/>
      <c r="J175" s="35"/>
      <c r="K175" s="35"/>
      <c r="L175" s="35"/>
      <c r="M175" s="35"/>
      <c r="N175" s="35"/>
      <c r="O175" s="35"/>
      <c r="P175" s="35"/>
    </row>
    <row r="176" spans="1:17" ht="14.25" customHeight="1">
      <c r="A176" s="35"/>
      <c r="B176" s="35"/>
      <c r="C176" s="35"/>
      <c r="D176" s="35"/>
      <c r="E176" s="36"/>
      <c r="F176" s="36"/>
      <c r="G176" s="36"/>
      <c r="H176" s="35"/>
      <c r="I176" s="35"/>
      <c r="J176" s="35"/>
      <c r="K176" s="35"/>
      <c r="L176" s="35"/>
      <c r="M176" s="35"/>
      <c r="N176" s="35"/>
      <c r="O176" s="35"/>
      <c r="P176" s="35"/>
    </row>
    <row r="177" spans="1:17" ht="14.25" customHeight="1">
      <c r="A177" s="35"/>
      <c r="B177" s="35"/>
      <c r="C177" s="35"/>
      <c r="D177" s="35"/>
      <c r="E177" s="36"/>
      <c r="F177" s="36"/>
      <c r="G177" s="36"/>
      <c r="H177" s="35"/>
      <c r="I177" s="35"/>
      <c r="J177" s="35"/>
      <c r="K177" s="35"/>
      <c r="L177" s="35"/>
      <c r="M177" s="35"/>
      <c r="N177" s="35"/>
      <c r="O177" s="35"/>
      <c r="P177" s="35"/>
    </row>
    <row r="178" spans="1:17" ht="14.25" customHeight="1">
      <c r="A178" s="35"/>
      <c r="B178" s="35"/>
      <c r="C178" s="35"/>
      <c r="D178" s="35"/>
      <c r="E178" s="36"/>
      <c r="F178" s="36"/>
      <c r="G178" s="36"/>
      <c r="H178" s="35"/>
      <c r="I178" s="35"/>
      <c r="J178" s="35"/>
      <c r="K178" s="35"/>
      <c r="L178" s="35"/>
      <c r="M178" s="35"/>
      <c r="N178" s="35"/>
      <c r="O178" s="35"/>
      <c r="P178" s="35"/>
    </row>
    <row r="179" spans="1:17" ht="14.25" customHeight="1">
      <c r="A179" s="35"/>
      <c r="B179" s="35"/>
      <c r="C179" s="35"/>
      <c r="D179" s="35"/>
      <c r="E179" s="36"/>
      <c r="F179" s="36"/>
      <c r="G179" s="36"/>
      <c r="H179" s="35"/>
      <c r="I179" s="35"/>
      <c r="J179" s="35"/>
      <c r="K179" s="35"/>
      <c r="L179" s="35"/>
      <c r="M179" s="35"/>
      <c r="N179" s="35"/>
      <c r="O179" s="35"/>
      <c r="P179" s="35"/>
    </row>
    <row r="180" spans="1:17" ht="14.25" customHeight="1">
      <c r="A180" s="35"/>
      <c r="B180" s="35"/>
      <c r="C180" s="35"/>
      <c r="D180" s="35"/>
      <c r="E180" s="36"/>
      <c r="F180" s="36"/>
      <c r="G180" s="36"/>
      <c r="H180" s="35"/>
      <c r="I180" s="35"/>
      <c r="J180" s="35"/>
      <c r="K180" s="35"/>
      <c r="L180" s="35"/>
      <c r="M180" s="35"/>
      <c r="N180" s="35"/>
      <c r="O180" s="35"/>
      <c r="P180" s="35"/>
    </row>
    <row r="181" spans="1:17" ht="14.25" customHeight="1">
      <c r="A181" s="35"/>
      <c r="B181" s="35"/>
      <c r="C181" s="35"/>
      <c r="D181" s="35"/>
      <c r="E181" s="36"/>
      <c r="F181" s="36"/>
      <c r="G181" s="36"/>
      <c r="H181" s="35"/>
      <c r="I181" s="35"/>
      <c r="J181" s="35"/>
      <c r="K181" s="35"/>
      <c r="L181" s="35"/>
      <c r="M181" s="35"/>
      <c r="N181" s="35"/>
      <c r="O181" s="35"/>
      <c r="P181" s="35"/>
    </row>
    <row r="182" spans="1:17" ht="14.25" customHeight="1">
      <c r="A182" s="35"/>
      <c r="B182" s="35"/>
      <c r="C182" s="35"/>
      <c r="D182" s="35"/>
      <c r="E182" s="36"/>
      <c r="F182" s="36"/>
      <c r="G182" s="36"/>
      <c r="H182" s="35"/>
      <c r="I182" s="35"/>
      <c r="J182" s="35"/>
      <c r="K182" s="35"/>
      <c r="L182" s="35"/>
      <c r="M182" s="35"/>
      <c r="N182" s="35"/>
      <c r="O182" s="35"/>
      <c r="P182" s="35"/>
    </row>
    <row r="183" spans="1:17" ht="14.25" customHeight="1">
      <c r="A183" s="35"/>
      <c r="B183" s="35"/>
      <c r="C183" s="35"/>
      <c r="D183" s="35"/>
      <c r="E183" s="36"/>
      <c r="F183" s="36"/>
      <c r="G183" s="36"/>
      <c r="H183" s="35"/>
      <c r="I183" s="35"/>
      <c r="J183" s="35"/>
      <c r="K183" s="35"/>
      <c r="L183" s="35"/>
      <c r="M183" s="35"/>
      <c r="N183" s="35"/>
      <c r="O183" s="35"/>
      <c r="P183" s="35"/>
    </row>
    <row r="184" spans="1:17" ht="14.25" customHeight="1">
      <c r="A184" s="35"/>
      <c r="B184" s="35"/>
      <c r="C184" s="35"/>
      <c r="D184" s="35"/>
      <c r="E184" s="36"/>
      <c r="F184" s="36"/>
      <c r="G184" s="36"/>
      <c r="H184" s="35"/>
      <c r="I184" s="35"/>
      <c r="J184" s="35"/>
      <c r="K184" s="35"/>
      <c r="L184" s="35"/>
      <c r="M184" s="35"/>
      <c r="N184" s="35"/>
      <c r="O184" s="35"/>
      <c r="P184" s="35"/>
    </row>
    <row r="185" spans="1:17" ht="14.25" customHeight="1">
      <c r="A185" s="35"/>
      <c r="B185" s="35"/>
      <c r="C185" s="35"/>
      <c r="D185" s="35"/>
      <c r="E185" s="36"/>
      <c r="F185" s="36"/>
      <c r="G185" s="36"/>
      <c r="H185" s="35"/>
      <c r="I185" s="35"/>
      <c r="J185" s="35"/>
      <c r="K185" s="35"/>
      <c r="L185" s="35"/>
      <c r="M185" s="35"/>
      <c r="N185" s="35"/>
      <c r="O185" s="35"/>
      <c r="P185" s="35"/>
    </row>
    <row r="186" spans="1:17" ht="14.25" customHeight="1">
      <c r="A186" s="35"/>
      <c r="B186" s="35"/>
      <c r="C186" s="35"/>
      <c r="D186" s="35"/>
      <c r="E186" s="36"/>
      <c r="F186" s="36"/>
      <c r="G186" s="36"/>
      <c r="H186" s="35"/>
      <c r="I186" s="35"/>
      <c r="J186" s="35"/>
      <c r="K186" s="35"/>
      <c r="L186" s="35"/>
      <c r="M186" s="35"/>
      <c r="N186" s="35"/>
      <c r="O186" s="35"/>
      <c r="P186" s="35"/>
    </row>
    <row r="187" spans="1:17" ht="14.25" customHeight="1">
      <c r="A187" s="35"/>
      <c r="B187" s="35"/>
      <c r="C187" s="35"/>
      <c r="D187" s="35"/>
      <c r="E187" s="36"/>
      <c r="F187" s="36"/>
      <c r="G187" s="36"/>
      <c r="H187" s="35"/>
      <c r="I187" s="35"/>
      <c r="J187" s="35"/>
      <c r="K187" s="35"/>
      <c r="L187" s="35"/>
      <c r="M187" s="35"/>
      <c r="N187" s="35"/>
      <c r="O187" s="35"/>
      <c r="P187" s="35"/>
    </row>
    <row r="188" spans="1:17" ht="14.25" customHeight="1">
      <c r="A188" s="35"/>
      <c r="B188" s="35"/>
      <c r="C188" s="35"/>
      <c r="D188" s="35"/>
      <c r="E188" s="36"/>
      <c r="F188" s="36"/>
      <c r="G188" s="36"/>
      <c r="H188" s="35"/>
      <c r="I188" s="35"/>
      <c r="J188" s="35"/>
      <c r="K188" s="35"/>
      <c r="L188" s="35"/>
      <c r="M188" s="35"/>
      <c r="N188" s="35"/>
      <c r="O188" s="35"/>
      <c r="P188" s="35"/>
      <c r="Q188" s="35"/>
    </row>
    <row r="189" spans="1:17" ht="14.25" customHeight="1">
      <c r="A189" s="35"/>
      <c r="B189" s="35"/>
      <c r="C189" s="35"/>
      <c r="D189" s="35"/>
      <c r="E189" s="36"/>
      <c r="F189" s="36"/>
      <c r="G189" s="36"/>
      <c r="H189" s="35"/>
      <c r="I189" s="35"/>
      <c r="J189" s="35"/>
      <c r="K189" s="35"/>
      <c r="L189" s="35"/>
      <c r="M189" s="35"/>
      <c r="N189" s="35"/>
      <c r="O189" s="35"/>
      <c r="P189" s="35"/>
      <c r="Q189" s="35"/>
    </row>
    <row r="190" spans="1:17" ht="14.25" customHeight="1">
      <c r="A190" s="35"/>
      <c r="B190" s="35"/>
      <c r="C190" s="35"/>
      <c r="D190" s="35"/>
      <c r="E190" s="36"/>
      <c r="F190" s="36"/>
      <c r="G190" s="36"/>
      <c r="H190" s="35"/>
      <c r="I190" s="35"/>
      <c r="J190" s="35"/>
      <c r="K190" s="35"/>
      <c r="L190" s="35"/>
      <c r="M190" s="35"/>
      <c r="N190" s="35"/>
      <c r="O190" s="35"/>
      <c r="P190" s="35"/>
      <c r="Q190" s="35"/>
    </row>
    <row r="191" spans="1:17" ht="14.25" customHeight="1">
      <c r="A191" s="35"/>
      <c r="B191" s="35"/>
      <c r="C191" s="35"/>
      <c r="D191" s="35"/>
      <c r="E191" s="36"/>
      <c r="F191" s="36"/>
      <c r="G191" s="36"/>
      <c r="H191" s="35"/>
      <c r="I191" s="35"/>
      <c r="J191" s="35"/>
      <c r="K191" s="35"/>
      <c r="L191" s="35"/>
      <c r="M191" s="35"/>
      <c r="N191" s="35"/>
      <c r="O191" s="35"/>
      <c r="P191" s="35"/>
      <c r="Q191" s="35"/>
    </row>
    <row r="192" spans="1:17" ht="14.25" customHeight="1">
      <c r="A192" s="35"/>
      <c r="B192" s="35"/>
      <c r="C192" s="35"/>
      <c r="D192" s="35"/>
      <c r="E192" s="36"/>
      <c r="F192" s="36"/>
      <c r="G192" s="36"/>
      <c r="H192" s="35"/>
      <c r="I192" s="35"/>
      <c r="J192" s="35"/>
      <c r="K192" s="35"/>
      <c r="L192" s="35"/>
      <c r="M192" s="35"/>
      <c r="N192" s="35"/>
      <c r="O192" s="35"/>
      <c r="P192" s="35"/>
      <c r="Q192" s="35"/>
    </row>
    <row r="193" spans="1:17" ht="14.25" customHeight="1">
      <c r="A193" s="35"/>
      <c r="B193" s="35"/>
      <c r="C193" s="35"/>
      <c r="D193" s="35"/>
      <c r="E193" s="36"/>
      <c r="F193" s="36"/>
      <c r="G193" s="36"/>
      <c r="H193" s="35"/>
      <c r="I193" s="35"/>
      <c r="J193" s="35"/>
      <c r="K193" s="35"/>
      <c r="L193" s="35"/>
      <c r="M193" s="35"/>
      <c r="N193" s="35"/>
      <c r="O193" s="35"/>
      <c r="P193" s="35"/>
      <c r="Q193" s="35"/>
    </row>
    <row r="194" spans="1:17" ht="14.25" customHeight="1">
      <c r="A194" s="35"/>
      <c r="B194" s="35"/>
      <c r="C194" s="35"/>
      <c r="D194" s="35"/>
      <c r="E194" s="36"/>
      <c r="F194" s="36"/>
      <c r="G194" s="36"/>
      <c r="H194" s="35"/>
      <c r="I194" s="35"/>
      <c r="J194" s="35"/>
      <c r="K194" s="35"/>
      <c r="L194" s="35"/>
      <c r="M194" s="35"/>
      <c r="N194" s="35"/>
      <c r="O194" s="35"/>
      <c r="P194" s="35"/>
      <c r="Q194" s="35"/>
    </row>
    <row r="195" spans="1:17" ht="14.25" customHeight="1">
      <c r="A195" s="35"/>
      <c r="B195" s="35"/>
      <c r="C195" s="35"/>
      <c r="D195" s="35"/>
      <c r="E195" s="36"/>
      <c r="F195" s="36"/>
      <c r="G195" s="36"/>
      <c r="H195" s="35"/>
      <c r="I195" s="35"/>
      <c r="J195" s="35"/>
      <c r="K195" s="35"/>
      <c r="L195" s="35"/>
      <c r="M195" s="35"/>
      <c r="N195" s="35"/>
      <c r="O195" s="35"/>
      <c r="P195" s="35"/>
      <c r="Q195" s="35"/>
    </row>
    <row r="196" spans="1:17" ht="14.25" customHeight="1">
      <c r="A196" s="35"/>
      <c r="B196" s="35"/>
      <c r="C196" s="35"/>
      <c r="D196" s="35"/>
      <c r="E196" s="36"/>
      <c r="F196" s="36"/>
      <c r="G196" s="36"/>
      <c r="H196" s="35"/>
      <c r="I196" s="35"/>
      <c r="J196" s="35"/>
      <c r="K196" s="35"/>
      <c r="L196" s="35"/>
      <c r="M196" s="35"/>
      <c r="N196" s="35"/>
      <c r="O196" s="35"/>
      <c r="P196" s="35"/>
      <c r="Q196" s="35"/>
    </row>
    <row r="197" spans="1:17" ht="14.25" customHeight="1">
      <c r="A197" s="35"/>
      <c r="B197" s="35"/>
      <c r="C197" s="35"/>
      <c r="D197" s="35"/>
      <c r="E197" s="36"/>
      <c r="F197" s="36"/>
      <c r="G197" s="36"/>
      <c r="H197" s="35"/>
      <c r="I197" s="35"/>
      <c r="J197" s="35"/>
      <c r="K197" s="35"/>
      <c r="L197" s="35"/>
      <c r="M197" s="35"/>
      <c r="N197" s="35"/>
      <c r="O197" s="35"/>
      <c r="P197" s="35"/>
      <c r="Q197" s="35"/>
    </row>
    <row r="198" spans="1:17" ht="14.25" customHeight="1">
      <c r="A198" s="35"/>
      <c r="B198" s="35"/>
      <c r="C198" s="35"/>
      <c r="D198" s="35"/>
      <c r="E198" s="36"/>
      <c r="F198" s="36"/>
      <c r="G198" s="36"/>
      <c r="H198" s="35"/>
      <c r="I198" s="35"/>
      <c r="J198" s="35"/>
      <c r="K198" s="35"/>
      <c r="L198" s="35"/>
      <c r="M198" s="35"/>
      <c r="N198" s="35"/>
      <c r="O198" s="35"/>
      <c r="P198" s="35"/>
      <c r="Q198" s="35"/>
    </row>
    <row r="199" spans="1:17" ht="14.25" customHeight="1">
      <c r="A199" s="35"/>
      <c r="B199" s="35"/>
      <c r="C199" s="35"/>
      <c r="D199" s="35"/>
      <c r="E199" s="36"/>
      <c r="F199" s="36"/>
      <c r="G199" s="36"/>
      <c r="H199" s="35"/>
      <c r="I199" s="35"/>
      <c r="J199" s="35"/>
      <c r="K199" s="35"/>
      <c r="L199" s="35"/>
      <c r="M199" s="35"/>
      <c r="N199" s="35"/>
      <c r="O199" s="35"/>
      <c r="P199" s="35"/>
      <c r="Q199" s="35"/>
    </row>
    <row r="200" spans="1:17" ht="14.25" customHeight="1">
      <c r="A200" s="35"/>
      <c r="B200" s="35"/>
      <c r="C200" s="35"/>
      <c r="D200" s="35"/>
      <c r="E200" s="36"/>
      <c r="F200" s="36"/>
      <c r="G200" s="36"/>
      <c r="H200" s="35"/>
      <c r="I200" s="35"/>
      <c r="J200" s="35"/>
      <c r="K200" s="35"/>
      <c r="L200" s="35"/>
      <c r="M200" s="35"/>
      <c r="N200" s="35"/>
      <c r="O200" s="35"/>
      <c r="P200" s="35"/>
      <c r="Q200" s="35"/>
    </row>
    <row r="201" spans="1:17" ht="14.25" customHeight="1">
      <c r="A201" s="35"/>
      <c r="B201" s="35"/>
      <c r="C201" s="35"/>
      <c r="D201" s="35"/>
      <c r="E201" s="36"/>
      <c r="F201" s="36"/>
      <c r="G201" s="36"/>
      <c r="H201" s="35"/>
      <c r="I201" s="35"/>
      <c r="J201" s="35"/>
      <c r="K201" s="35"/>
      <c r="L201" s="35"/>
      <c r="M201" s="35"/>
      <c r="N201" s="35"/>
      <c r="O201" s="35"/>
      <c r="P201" s="35"/>
      <c r="Q201" s="35"/>
    </row>
    <row r="202" spans="1:17" ht="14.25" customHeight="1">
      <c r="A202" s="35"/>
      <c r="B202" s="35"/>
      <c r="C202" s="35"/>
      <c r="D202" s="35"/>
      <c r="E202" s="36"/>
      <c r="F202" s="36"/>
      <c r="G202" s="36"/>
      <c r="H202" s="35"/>
      <c r="I202" s="35"/>
      <c r="J202" s="35"/>
      <c r="K202" s="35"/>
      <c r="L202" s="35"/>
      <c r="M202" s="35"/>
      <c r="N202" s="35"/>
      <c r="O202" s="35"/>
      <c r="P202" s="35"/>
      <c r="Q202" s="35"/>
    </row>
    <row r="203" spans="1:17" ht="14.25" customHeight="1">
      <c r="A203" s="35"/>
      <c r="B203" s="35"/>
      <c r="C203" s="35"/>
      <c r="D203" s="35"/>
      <c r="E203" s="36"/>
      <c r="F203" s="36"/>
      <c r="G203" s="36"/>
      <c r="H203" s="35"/>
      <c r="I203" s="35"/>
      <c r="J203" s="35"/>
      <c r="K203" s="35"/>
      <c r="L203" s="35"/>
      <c r="M203" s="35"/>
      <c r="N203" s="35"/>
      <c r="O203" s="35"/>
      <c r="P203" s="35"/>
      <c r="Q203" s="35"/>
    </row>
    <row r="204" spans="1:17" ht="14.25" customHeight="1">
      <c r="A204" s="35"/>
      <c r="B204" s="35"/>
      <c r="C204" s="35"/>
      <c r="D204" s="35"/>
      <c r="E204" s="36"/>
      <c r="F204" s="36"/>
      <c r="G204" s="36"/>
      <c r="H204" s="35"/>
      <c r="I204" s="35"/>
      <c r="J204" s="35"/>
      <c r="K204" s="35"/>
      <c r="L204" s="35"/>
      <c r="M204" s="35"/>
      <c r="N204" s="35"/>
      <c r="O204" s="35"/>
      <c r="P204" s="35"/>
      <c r="Q204" s="35"/>
    </row>
    <row r="205" spans="1:17" ht="14.25" customHeight="1">
      <c r="A205" s="35"/>
      <c r="B205" s="35"/>
      <c r="C205" s="35"/>
      <c r="D205" s="35"/>
      <c r="E205" s="36"/>
      <c r="F205" s="36"/>
      <c r="G205" s="36"/>
      <c r="H205" s="35"/>
      <c r="I205" s="35"/>
      <c r="J205" s="35"/>
      <c r="K205" s="35"/>
      <c r="L205" s="35"/>
      <c r="M205" s="35"/>
      <c r="N205" s="35"/>
      <c r="O205" s="35"/>
      <c r="P205" s="35"/>
      <c r="Q205" s="35"/>
    </row>
    <row r="206" spans="1:17" ht="14.25" customHeight="1">
      <c r="A206" s="35"/>
      <c r="B206" s="35"/>
      <c r="C206" s="35"/>
      <c r="D206" s="35"/>
      <c r="E206" s="36"/>
      <c r="F206" s="36"/>
      <c r="G206" s="36"/>
      <c r="H206" s="35"/>
      <c r="I206" s="35"/>
      <c r="J206" s="35"/>
      <c r="K206" s="35"/>
      <c r="L206" s="35"/>
      <c r="M206" s="35"/>
      <c r="N206" s="35"/>
      <c r="O206" s="35"/>
      <c r="P206" s="35"/>
      <c r="Q206" s="35"/>
    </row>
    <row r="207" spans="1:17" ht="14.25" customHeight="1">
      <c r="A207" s="35"/>
      <c r="B207" s="35"/>
      <c r="C207" s="35"/>
      <c r="D207" s="35"/>
      <c r="E207" s="36"/>
      <c r="F207" s="36"/>
      <c r="G207" s="36"/>
      <c r="H207" s="35"/>
      <c r="I207" s="35"/>
      <c r="J207" s="35"/>
      <c r="K207" s="35"/>
      <c r="L207" s="35"/>
      <c r="M207" s="35"/>
      <c r="N207" s="35"/>
      <c r="O207" s="35"/>
      <c r="P207" s="35"/>
      <c r="Q207" s="35"/>
    </row>
    <row r="208" spans="1:17" ht="14.25" customHeight="1">
      <c r="A208" s="35"/>
      <c r="B208" s="35"/>
      <c r="C208" s="35"/>
      <c r="D208" s="35"/>
      <c r="E208" s="36"/>
      <c r="F208" s="36"/>
      <c r="G208" s="36"/>
      <c r="H208" s="35"/>
      <c r="I208" s="35"/>
      <c r="J208" s="35"/>
      <c r="K208" s="35"/>
      <c r="L208" s="35"/>
      <c r="M208" s="35"/>
      <c r="N208" s="35"/>
      <c r="O208" s="35"/>
      <c r="P208" s="35"/>
      <c r="Q208" s="35"/>
    </row>
    <row r="209" spans="1:17" ht="14.25" customHeight="1">
      <c r="A209" s="35"/>
      <c r="B209" s="35"/>
      <c r="C209" s="35"/>
      <c r="D209" s="35"/>
      <c r="E209" s="36"/>
      <c r="F209" s="36"/>
      <c r="G209" s="36"/>
      <c r="H209" s="35"/>
      <c r="I209" s="35"/>
      <c r="J209" s="35"/>
      <c r="K209" s="35"/>
      <c r="L209" s="35"/>
      <c r="M209" s="35"/>
      <c r="N209" s="35"/>
      <c r="O209" s="35"/>
      <c r="P209" s="35"/>
      <c r="Q209" s="35"/>
    </row>
    <row r="210" spans="1:17" ht="14.25" customHeight="1">
      <c r="A210" s="35"/>
      <c r="B210" s="35"/>
      <c r="C210" s="35"/>
      <c r="D210" s="35"/>
      <c r="E210" s="36"/>
      <c r="F210" s="36"/>
      <c r="G210" s="36"/>
      <c r="H210" s="35"/>
      <c r="I210" s="35"/>
      <c r="J210" s="35"/>
      <c r="K210" s="35"/>
      <c r="L210" s="35"/>
      <c r="M210" s="35"/>
      <c r="N210" s="35"/>
      <c r="O210" s="35"/>
      <c r="P210" s="35"/>
      <c r="Q210" s="35"/>
    </row>
    <row r="211" spans="1:17" ht="14.25" customHeight="1">
      <c r="A211" s="35"/>
      <c r="B211" s="35"/>
      <c r="C211" s="35"/>
      <c r="D211" s="35"/>
      <c r="E211" s="36"/>
      <c r="F211" s="36"/>
      <c r="G211" s="36"/>
      <c r="H211" s="35"/>
      <c r="I211" s="35"/>
      <c r="J211" s="35"/>
      <c r="K211" s="35"/>
      <c r="L211" s="35"/>
      <c r="M211" s="35"/>
      <c r="N211" s="35"/>
      <c r="O211" s="35"/>
      <c r="P211" s="35"/>
      <c r="Q211" s="35"/>
    </row>
    <row r="212" spans="1:17" ht="14.25" customHeight="1">
      <c r="A212" s="35"/>
      <c r="B212" s="35"/>
      <c r="C212" s="35"/>
      <c r="D212" s="35"/>
      <c r="E212" s="36"/>
      <c r="F212" s="36"/>
      <c r="G212" s="36"/>
      <c r="H212" s="35"/>
      <c r="I212" s="35"/>
      <c r="J212" s="35"/>
      <c r="K212" s="35"/>
      <c r="L212" s="35"/>
      <c r="M212" s="35"/>
      <c r="N212" s="35"/>
      <c r="O212" s="35"/>
      <c r="P212" s="35"/>
      <c r="Q212" s="35"/>
    </row>
    <row r="213" spans="1:17" ht="14.25" customHeight="1">
      <c r="A213" s="35"/>
      <c r="B213" s="35"/>
      <c r="C213" s="35"/>
      <c r="D213" s="35"/>
      <c r="E213" s="36"/>
      <c r="F213" s="36"/>
      <c r="G213" s="36"/>
      <c r="H213" s="35"/>
      <c r="I213" s="35"/>
      <c r="J213" s="35"/>
      <c r="K213" s="35"/>
      <c r="L213" s="35"/>
      <c r="M213" s="35"/>
      <c r="N213" s="35"/>
      <c r="O213" s="35"/>
      <c r="P213" s="35"/>
      <c r="Q213" s="35"/>
    </row>
    <row r="214" spans="1:17" ht="14.25" customHeight="1">
      <c r="A214" s="35"/>
      <c r="B214" s="35"/>
      <c r="C214" s="35"/>
      <c r="D214" s="35"/>
      <c r="E214" s="36"/>
      <c r="F214" s="36"/>
      <c r="G214" s="36"/>
      <c r="H214" s="35"/>
      <c r="I214" s="35"/>
      <c r="J214" s="35"/>
      <c r="K214" s="35"/>
      <c r="L214" s="35"/>
      <c r="M214" s="35"/>
      <c r="N214" s="35"/>
      <c r="O214" s="35"/>
      <c r="P214" s="35"/>
      <c r="Q214" s="35"/>
    </row>
    <row r="215" spans="1:17" ht="14.25" customHeight="1">
      <c r="A215" s="35"/>
      <c r="B215" s="35"/>
      <c r="C215" s="35"/>
      <c r="D215" s="35"/>
      <c r="E215" s="36"/>
      <c r="F215" s="36"/>
      <c r="G215" s="36"/>
      <c r="H215" s="35"/>
      <c r="I215" s="35"/>
      <c r="J215" s="35"/>
      <c r="K215" s="35"/>
      <c r="L215" s="35"/>
      <c r="M215" s="35"/>
      <c r="N215" s="35"/>
      <c r="O215" s="35"/>
      <c r="P215" s="35"/>
      <c r="Q215" s="35"/>
    </row>
    <row r="216" spans="1:17" ht="14.25" customHeight="1">
      <c r="A216" s="35"/>
      <c r="B216" s="35"/>
      <c r="C216" s="35"/>
      <c r="D216" s="35"/>
      <c r="E216" s="36"/>
      <c r="F216" s="36"/>
      <c r="G216" s="36"/>
      <c r="H216" s="35"/>
      <c r="I216" s="35"/>
      <c r="J216" s="35"/>
      <c r="K216" s="35"/>
      <c r="L216" s="35"/>
      <c r="M216" s="35"/>
      <c r="N216" s="35"/>
      <c r="O216" s="35"/>
      <c r="P216" s="35"/>
      <c r="Q216" s="35"/>
    </row>
    <row r="217" spans="1:17" ht="14.25" customHeight="1">
      <c r="A217" s="35"/>
      <c r="B217" s="35"/>
      <c r="C217" s="35"/>
      <c r="D217" s="35"/>
      <c r="E217" s="36"/>
      <c r="F217" s="36"/>
      <c r="G217" s="36"/>
      <c r="H217" s="35"/>
      <c r="I217" s="35"/>
      <c r="J217" s="35"/>
      <c r="K217" s="35"/>
      <c r="L217" s="35"/>
      <c r="M217" s="35"/>
      <c r="N217" s="35"/>
      <c r="O217" s="35"/>
      <c r="P217" s="35"/>
      <c r="Q217" s="35"/>
    </row>
    <row r="218" spans="1:17" ht="14.25" customHeight="1">
      <c r="A218" s="35"/>
      <c r="B218" s="35"/>
      <c r="C218" s="35"/>
      <c r="D218" s="35"/>
      <c r="E218" s="36"/>
      <c r="F218" s="36"/>
      <c r="G218" s="36"/>
      <c r="H218" s="35"/>
      <c r="I218" s="35"/>
      <c r="J218" s="35"/>
      <c r="K218" s="35"/>
      <c r="L218" s="35"/>
      <c r="M218" s="35"/>
      <c r="N218" s="35"/>
      <c r="O218" s="35"/>
      <c r="P218" s="35"/>
      <c r="Q218" s="35"/>
    </row>
    <row r="219" spans="1:17" ht="14.25" customHeight="1">
      <c r="A219" s="35"/>
      <c r="B219" s="35"/>
      <c r="C219" s="35"/>
      <c r="D219" s="35"/>
      <c r="E219" s="36"/>
      <c r="F219" s="36"/>
      <c r="G219" s="36"/>
      <c r="H219" s="35"/>
      <c r="I219" s="35"/>
      <c r="J219" s="35"/>
      <c r="K219" s="35"/>
      <c r="L219" s="35"/>
      <c r="M219" s="35"/>
      <c r="N219" s="35"/>
      <c r="O219" s="35"/>
      <c r="P219" s="35"/>
      <c r="Q219" s="35"/>
    </row>
    <row r="220" spans="1:17" ht="14.25" customHeight="1">
      <c r="A220" s="35"/>
      <c r="B220" s="35"/>
      <c r="C220" s="35"/>
      <c r="D220" s="35"/>
      <c r="E220" s="36"/>
      <c r="F220" s="36"/>
      <c r="G220" s="36"/>
      <c r="H220" s="35"/>
      <c r="I220" s="35"/>
      <c r="J220" s="35"/>
      <c r="K220" s="35"/>
      <c r="L220" s="35"/>
      <c r="M220" s="35"/>
      <c r="N220" s="35"/>
      <c r="O220" s="35"/>
      <c r="P220" s="35"/>
      <c r="Q220" s="35"/>
    </row>
    <row r="221" spans="1:17" ht="14.25" customHeight="1">
      <c r="A221" s="35"/>
      <c r="B221" s="35"/>
      <c r="C221" s="35"/>
      <c r="D221" s="35"/>
      <c r="E221" s="36"/>
      <c r="F221" s="36"/>
      <c r="G221" s="36"/>
      <c r="H221" s="35"/>
      <c r="I221" s="35"/>
      <c r="J221" s="35"/>
      <c r="K221" s="35"/>
      <c r="L221" s="35"/>
      <c r="M221" s="35"/>
      <c r="N221" s="35"/>
      <c r="O221" s="35"/>
      <c r="P221" s="35"/>
      <c r="Q221" s="35"/>
    </row>
    <row r="222" spans="1:17" ht="14.25" customHeight="1">
      <c r="A222" s="35"/>
      <c r="B222" s="35"/>
      <c r="C222" s="35"/>
      <c r="D222" s="35"/>
      <c r="E222" s="36"/>
      <c r="F222" s="36"/>
      <c r="G222" s="36"/>
      <c r="H222" s="35"/>
      <c r="I222" s="35"/>
      <c r="J222" s="35"/>
      <c r="K222" s="35"/>
      <c r="L222" s="35"/>
      <c r="M222" s="35"/>
      <c r="N222" s="35"/>
      <c r="O222" s="35"/>
      <c r="P222" s="35"/>
      <c r="Q222" s="35"/>
    </row>
    <row r="223" spans="1:17" ht="14.25" customHeight="1">
      <c r="A223" s="35"/>
      <c r="B223" s="35"/>
      <c r="C223" s="35"/>
      <c r="D223" s="35"/>
      <c r="E223" s="36"/>
      <c r="F223" s="36"/>
      <c r="G223" s="36"/>
      <c r="H223" s="35"/>
      <c r="I223" s="35"/>
      <c r="J223" s="35"/>
      <c r="K223" s="35"/>
      <c r="L223" s="35"/>
      <c r="M223" s="35"/>
      <c r="N223" s="35"/>
      <c r="O223" s="35"/>
      <c r="P223" s="35"/>
      <c r="Q223" s="35"/>
    </row>
    <row r="224" spans="1:17" ht="14.25" customHeight="1">
      <c r="A224" s="35"/>
      <c r="B224" s="35"/>
      <c r="C224" s="35"/>
      <c r="D224" s="35"/>
      <c r="E224" s="36"/>
      <c r="F224" s="36"/>
      <c r="G224" s="36"/>
      <c r="H224" s="35"/>
      <c r="I224" s="35"/>
      <c r="J224" s="35"/>
      <c r="K224" s="35"/>
      <c r="L224" s="35"/>
      <c r="M224" s="35"/>
      <c r="N224" s="35"/>
      <c r="O224" s="35"/>
      <c r="P224" s="35"/>
      <c r="Q224" s="35"/>
    </row>
    <row r="225" spans="1:17" ht="14.25" customHeight="1">
      <c r="A225" s="35"/>
      <c r="B225" s="35"/>
      <c r="C225" s="35"/>
      <c r="D225" s="35"/>
      <c r="E225" s="36"/>
      <c r="F225" s="36"/>
      <c r="G225" s="36"/>
      <c r="H225" s="35"/>
      <c r="I225" s="35"/>
      <c r="J225" s="35"/>
      <c r="K225" s="35"/>
      <c r="L225" s="35"/>
      <c r="M225" s="35"/>
      <c r="N225" s="35"/>
      <c r="O225" s="35"/>
      <c r="P225" s="35"/>
      <c r="Q225" s="35"/>
    </row>
    <row r="226" spans="1:17" ht="14.25" customHeight="1">
      <c r="A226" s="35"/>
      <c r="B226" s="35"/>
      <c r="C226" s="35"/>
      <c r="D226" s="35"/>
      <c r="E226" s="36"/>
      <c r="F226" s="36"/>
      <c r="G226" s="36"/>
      <c r="H226" s="35"/>
      <c r="I226" s="35"/>
      <c r="J226" s="35"/>
      <c r="K226" s="35"/>
      <c r="L226" s="35"/>
      <c r="M226" s="35"/>
      <c r="N226" s="35"/>
      <c r="O226" s="35"/>
      <c r="P226" s="35"/>
      <c r="Q226" s="35"/>
    </row>
    <row r="227" spans="1:17" ht="14.25" customHeight="1">
      <c r="A227" s="35"/>
      <c r="B227" s="35"/>
      <c r="C227" s="35"/>
      <c r="D227" s="35"/>
      <c r="E227" s="36"/>
      <c r="F227" s="36"/>
      <c r="G227" s="36"/>
      <c r="H227" s="35"/>
      <c r="I227" s="35"/>
      <c r="J227" s="35"/>
      <c r="K227" s="35"/>
      <c r="L227" s="35"/>
      <c r="M227" s="35"/>
      <c r="N227" s="35"/>
      <c r="O227" s="35"/>
      <c r="P227" s="35"/>
      <c r="Q227" s="35"/>
    </row>
    <row r="228" spans="1:17" ht="14.25" customHeight="1">
      <c r="A228" s="35"/>
      <c r="B228" s="35"/>
      <c r="C228" s="35"/>
      <c r="D228" s="35"/>
      <c r="E228" s="36"/>
      <c r="F228" s="36"/>
      <c r="G228" s="36"/>
      <c r="H228" s="35"/>
      <c r="I228" s="35"/>
      <c r="J228" s="35"/>
      <c r="K228" s="35"/>
      <c r="L228" s="35"/>
      <c r="M228" s="35"/>
      <c r="N228" s="35"/>
      <c r="O228" s="35"/>
      <c r="P228" s="35"/>
      <c r="Q228" s="35"/>
    </row>
    <row r="229" spans="1:17" ht="14.25" customHeight="1">
      <c r="A229" s="35"/>
      <c r="B229" s="35"/>
      <c r="C229" s="35"/>
      <c r="D229" s="35"/>
      <c r="E229" s="36"/>
      <c r="F229" s="36"/>
      <c r="G229" s="36"/>
      <c r="H229" s="35"/>
      <c r="I229" s="35"/>
      <c r="J229" s="35"/>
      <c r="K229" s="35"/>
      <c r="L229" s="35"/>
      <c r="M229" s="35"/>
      <c r="N229" s="35"/>
      <c r="O229" s="35"/>
      <c r="P229" s="35"/>
      <c r="Q229" s="35"/>
    </row>
    <row r="230" spans="1:17" ht="14.25" customHeight="1">
      <c r="A230" s="35"/>
      <c r="B230" s="35"/>
      <c r="C230" s="35"/>
      <c r="D230" s="35"/>
      <c r="E230" s="36"/>
      <c r="F230" s="36"/>
      <c r="G230" s="36"/>
      <c r="H230" s="35"/>
      <c r="I230" s="35"/>
      <c r="J230" s="35"/>
      <c r="K230" s="35"/>
      <c r="L230" s="35"/>
      <c r="M230" s="35"/>
      <c r="N230" s="35"/>
      <c r="O230" s="35"/>
      <c r="P230" s="35"/>
      <c r="Q230" s="35"/>
    </row>
    <row r="231" spans="1:17" ht="14.25" customHeight="1">
      <c r="A231" s="35"/>
      <c r="B231" s="35"/>
      <c r="C231" s="35"/>
      <c r="D231" s="35"/>
      <c r="E231" s="36"/>
      <c r="F231" s="36"/>
      <c r="G231" s="36"/>
      <c r="H231" s="35"/>
      <c r="I231" s="35"/>
      <c r="J231" s="35"/>
      <c r="K231" s="35"/>
      <c r="L231" s="35"/>
      <c r="M231" s="35"/>
      <c r="N231" s="35"/>
      <c r="O231" s="35"/>
      <c r="P231" s="35"/>
      <c r="Q231" s="35"/>
    </row>
    <row r="232" spans="1:17" ht="14.25" customHeight="1">
      <c r="A232" s="35"/>
      <c r="B232" s="35"/>
      <c r="C232" s="35"/>
      <c r="D232" s="35"/>
      <c r="E232" s="36"/>
      <c r="F232" s="36"/>
      <c r="G232" s="36"/>
      <c r="H232" s="35"/>
      <c r="I232" s="35"/>
      <c r="J232" s="35"/>
      <c r="K232" s="35"/>
      <c r="L232" s="35"/>
      <c r="M232" s="35"/>
      <c r="N232" s="35"/>
      <c r="O232" s="35"/>
      <c r="P232" s="35"/>
      <c r="Q232" s="35"/>
    </row>
    <row r="233" spans="1:17" ht="14.25" customHeight="1">
      <c r="A233" s="35"/>
      <c r="B233" s="35"/>
      <c r="C233" s="35"/>
      <c r="D233" s="35"/>
      <c r="E233" s="36"/>
      <c r="F233" s="36"/>
      <c r="G233" s="36"/>
      <c r="H233" s="35"/>
      <c r="I233" s="35"/>
      <c r="J233" s="35"/>
      <c r="K233" s="35"/>
      <c r="L233" s="35"/>
      <c r="M233" s="35"/>
      <c r="N233" s="35"/>
      <c r="O233" s="35"/>
      <c r="P233" s="35"/>
      <c r="Q233" s="35"/>
    </row>
    <row r="234" spans="1:17" ht="14.25" customHeight="1">
      <c r="A234" s="35"/>
      <c r="B234" s="35"/>
      <c r="C234" s="35"/>
      <c r="D234" s="35"/>
      <c r="E234" s="36"/>
      <c r="F234" s="36"/>
      <c r="G234" s="36"/>
      <c r="H234" s="35"/>
      <c r="I234" s="35"/>
      <c r="J234" s="35"/>
      <c r="K234" s="35"/>
      <c r="L234" s="35"/>
      <c r="M234" s="35"/>
      <c r="N234" s="35"/>
      <c r="O234" s="35"/>
      <c r="P234" s="35"/>
      <c r="Q234" s="35"/>
    </row>
    <row r="235" spans="1:17" ht="14.25" customHeight="1">
      <c r="A235" s="35"/>
      <c r="B235" s="35"/>
      <c r="C235" s="35"/>
      <c r="D235" s="35"/>
      <c r="E235" s="36"/>
      <c r="F235" s="36"/>
      <c r="G235" s="36"/>
      <c r="H235" s="35"/>
      <c r="I235" s="35"/>
      <c r="J235" s="35"/>
      <c r="K235" s="35"/>
      <c r="L235" s="35"/>
      <c r="M235" s="35"/>
      <c r="N235" s="35"/>
      <c r="O235" s="35"/>
      <c r="P235" s="35"/>
      <c r="Q235" s="35"/>
    </row>
    <row r="236" spans="1:17" ht="14.25" customHeight="1">
      <c r="A236" s="35"/>
      <c r="B236" s="35"/>
      <c r="C236" s="35"/>
      <c r="D236" s="35"/>
      <c r="E236" s="36"/>
      <c r="F236" s="36"/>
      <c r="G236" s="36"/>
      <c r="H236" s="35"/>
      <c r="I236" s="35"/>
      <c r="J236" s="35"/>
      <c r="K236" s="35"/>
      <c r="L236" s="35"/>
      <c r="M236" s="35"/>
      <c r="N236" s="35"/>
      <c r="O236" s="35"/>
      <c r="P236" s="35"/>
      <c r="Q236" s="35"/>
    </row>
    <row r="237" spans="1:17" ht="14.25" customHeight="1">
      <c r="A237" s="35"/>
      <c r="B237" s="35"/>
      <c r="C237" s="35"/>
      <c r="D237" s="35"/>
      <c r="E237" s="36"/>
      <c r="F237" s="36"/>
      <c r="G237" s="36"/>
      <c r="H237" s="35"/>
      <c r="I237" s="35"/>
      <c r="J237" s="35"/>
      <c r="K237" s="35"/>
      <c r="L237" s="35"/>
      <c r="M237" s="35"/>
      <c r="N237" s="35"/>
      <c r="O237" s="35"/>
      <c r="P237" s="35"/>
      <c r="Q237" s="35"/>
    </row>
    <row r="238" spans="1:17" ht="14.25" customHeight="1">
      <c r="A238" s="35"/>
      <c r="B238" s="35"/>
      <c r="C238" s="35"/>
      <c r="D238" s="35"/>
      <c r="E238" s="36"/>
      <c r="F238" s="36"/>
      <c r="G238" s="36"/>
      <c r="H238" s="35"/>
      <c r="I238" s="35"/>
      <c r="J238" s="35"/>
      <c r="K238" s="35"/>
      <c r="L238" s="35"/>
      <c r="M238" s="35"/>
      <c r="N238" s="35"/>
      <c r="O238" s="35"/>
      <c r="P238" s="35"/>
      <c r="Q238" s="35"/>
    </row>
    <row r="239" spans="1:17" ht="14.25" customHeight="1">
      <c r="A239" s="35"/>
      <c r="B239" s="35"/>
      <c r="C239" s="35"/>
      <c r="D239" s="35"/>
      <c r="E239" s="36"/>
      <c r="F239" s="36"/>
      <c r="G239" s="36"/>
      <c r="H239" s="35"/>
      <c r="I239" s="35"/>
      <c r="J239" s="35"/>
      <c r="K239" s="35"/>
      <c r="L239" s="35"/>
      <c r="M239" s="35"/>
      <c r="N239" s="35"/>
      <c r="O239" s="35"/>
      <c r="P239" s="35"/>
      <c r="Q239" s="35"/>
    </row>
    <row r="240" spans="1:17" ht="14.25" customHeight="1">
      <c r="A240" s="35"/>
      <c r="B240" s="35"/>
      <c r="C240" s="35"/>
      <c r="D240" s="35"/>
      <c r="E240" s="36"/>
      <c r="F240" s="36"/>
      <c r="G240" s="36"/>
      <c r="H240" s="35"/>
      <c r="I240" s="35"/>
      <c r="J240" s="35"/>
      <c r="K240" s="35"/>
      <c r="L240" s="35"/>
      <c r="M240" s="35"/>
      <c r="N240" s="35"/>
      <c r="O240" s="35"/>
      <c r="P240" s="35"/>
      <c r="Q240" s="35"/>
    </row>
    <row r="241" spans="1:17" ht="14.25" customHeight="1">
      <c r="A241" s="35"/>
      <c r="B241" s="35"/>
      <c r="C241" s="35"/>
      <c r="D241" s="35"/>
      <c r="E241" s="36"/>
      <c r="F241" s="36"/>
      <c r="G241" s="36"/>
      <c r="H241" s="35"/>
      <c r="I241" s="35"/>
      <c r="J241" s="35"/>
      <c r="K241" s="35"/>
      <c r="L241" s="35"/>
      <c r="M241" s="35"/>
      <c r="N241" s="35"/>
      <c r="O241" s="35"/>
      <c r="P241" s="35"/>
      <c r="Q241" s="35"/>
    </row>
    <row r="242" spans="1:17" ht="14.25" customHeight="1">
      <c r="A242" s="35"/>
      <c r="B242" s="35"/>
      <c r="C242" s="35"/>
      <c r="D242" s="35"/>
      <c r="E242" s="36"/>
      <c r="F242" s="36"/>
      <c r="G242" s="36"/>
      <c r="H242" s="35"/>
      <c r="I242" s="35"/>
      <c r="J242" s="35"/>
      <c r="K242" s="35"/>
      <c r="L242" s="35"/>
      <c r="M242" s="35"/>
      <c r="N242" s="35"/>
      <c r="O242" s="35"/>
      <c r="P242" s="35"/>
      <c r="Q242" s="35"/>
    </row>
    <row r="243" spans="1:17" ht="14.25" customHeight="1">
      <c r="A243" s="35"/>
      <c r="B243" s="35"/>
      <c r="C243" s="35"/>
      <c r="D243" s="35"/>
      <c r="E243" s="36"/>
      <c r="F243" s="36"/>
      <c r="G243" s="36"/>
      <c r="H243" s="35"/>
      <c r="I243" s="35"/>
      <c r="J243" s="35"/>
      <c r="K243" s="35"/>
      <c r="L243" s="35"/>
      <c r="M243" s="35"/>
      <c r="N243" s="35"/>
      <c r="O243" s="35"/>
      <c r="P243" s="35"/>
      <c r="Q243" s="35"/>
    </row>
    <row r="244" spans="1:17" ht="14.25" customHeight="1">
      <c r="A244" s="35"/>
      <c r="B244" s="35"/>
      <c r="C244" s="35"/>
      <c r="D244" s="35"/>
      <c r="E244" s="36"/>
      <c r="F244" s="36"/>
      <c r="G244" s="36"/>
      <c r="H244" s="35"/>
      <c r="I244" s="35"/>
      <c r="J244" s="35"/>
      <c r="K244" s="35"/>
      <c r="L244" s="35"/>
      <c r="M244" s="35"/>
      <c r="N244" s="35"/>
      <c r="O244" s="35"/>
      <c r="P244" s="35"/>
      <c r="Q244" s="35"/>
    </row>
    <row r="245" spans="1:17" ht="14.25" customHeight="1">
      <c r="A245" s="35"/>
      <c r="B245" s="35"/>
      <c r="C245" s="35"/>
      <c r="D245" s="35"/>
      <c r="E245" s="36"/>
      <c r="F245" s="36"/>
      <c r="G245" s="36"/>
      <c r="H245" s="35"/>
      <c r="I245" s="35"/>
      <c r="J245" s="35"/>
      <c r="K245" s="35"/>
      <c r="L245" s="35"/>
      <c r="M245" s="35"/>
      <c r="N245" s="35"/>
      <c r="O245" s="35"/>
      <c r="P245" s="35"/>
      <c r="Q245" s="35"/>
    </row>
    <row r="246" spans="1:17" ht="14.25" customHeight="1">
      <c r="A246" s="35"/>
      <c r="B246" s="35"/>
      <c r="C246" s="35"/>
      <c r="D246" s="35"/>
      <c r="E246" s="36"/>
      <c r="F246" s="36"/>
      <c r="G246" s="36"/>
      <c r="H246" s="35"/>
      <c r="I246" s="35"/>
      <c r="J246" s="35"/>
      <c r="K246" s="35"/>
      <c r="L246" s="35"/>
      <c r="M246" s="35"/>
      <c r="N246" s="35"/>
      <c r="O246" s="35"/>
      <c r="P246" s="35"/>
      <c r="Q246" s="35"/>
    </row>
    <row r="247" spans="1:17" ht="14.25" customHeight="1">
      <c r="A247" s="35"/>
      <c r="B247" s="35"/>
      <c r="C247" s="35"/>
      <c r="D247" s="35"/>
      <c r="E247" s="36"/>
      <c r="F247" s="36"/>
      <c r="G247" s="36"/>
      <c r="H247" s="35"/>
      <c r="I247" s="35"/>
      <c r="J247" s="35"/>
      <c r="K247" s="35"/>
      <c r="L247" s="35"/>
      <c r="M247" s="35"/>
      <c r="N247" s="35"/>
      <c r="O247" s="35"/>
      <c r="P247" s="35"/>
      <c r="Q247" s="35"/>
    </row>
    <row r="248" spans="1:17" ht="14.25" customHeight="1">
      <c r="A248" s="35"/>
      <c r="B248" s="35"/>
      <c r="C248" s="35"/>
      <c r="D248" s="35"/>
      <c r="E248" s="36"/>
      <c r="F248" s="36"/>
      <c r="G248" s="36"/>
      <c r="H248" s="35"/>
      <c r="I248" s="35"/>
      <c r="J248" s="35"/>
      <c r="K248" s="35"/>
      <c r="L248" s="35"/>
      <c r="M248" s="35"/>
      <c r="N248" s="35"/>
      <c r="O248" s="35"/>
      <c r="P248" s="35"/>
      <c r="Q248" s="35"/>
    </row>
    <row r="249" spans="1:17" ht="14.25" customHeight="1">
      <c r="A249" s="35"/>
      <c r="B249" s="35"/>
      <c r="C249" s="35"/>
      <c r="D249" s="35"/>
      <c r="E249" s="36"/>
      <c r="F249" s="36"/>
      <c r="G249" s="36"/>
      <c r="H249" s="35"/>
      <c r="I249" s="35"/>
      <c r="J249" s="35"/>
      <c r="K249" s="35"/>
      <c r="L249" s="35"/>
      <c r="M249" s="35"/>
      <c r="N249" s="35"/>
      <c r="O249" s="35"/>
      <c r="P249" s="35"/>
      <c r="Q249" s="35"/>
    </row>
    <row r="250" spans="1:17" ht="14.25" customHeight="1">
      <c r="A250" s="35"/>
      <c r="B250" s="35"/>
      <c r="C250" s="35"/>
      <c r="D250" s="35"/>
      <c r="E250" s="36"/>
      <c r="F250" s="36"/>
      <c r="G250" s="36"/>
      <c r="H250" s="35"/>
      <c r="I250" s="35"/>
      <c r="J250" s="35"/>
      <c r="K250" s="35"/>
      <c r="L250" s="35"/>
      <c r="M250" s="35"/>
      <c r="N250" s="35"/>
      <c r="O250" s="35"/>
      <c r="P250" s="35"/>
      <c r="Q250" s="35"/>
    </row>
    <row r="251" spans="1:17" ht="14.25" customHeight="1">
      <c r="A251" s="35"/>
      <c r="B251" s="35"/>
      <c r="C251" s="35"/>
      <c r="D251" s="35"/>
      <c r="E251" s="36"/>
      <c r="F251" s="36"/>
      <c r="G251" s="36"/>
      <c r="H251" s="35"/>
      <c r="I251" s="35"/>
      <c r="J251" s="35"/>
      <c r="K251" s="35"/>
      <c r="L251" s="35"/>
      <c r="M251" s="35"/>
      <c r="N251" s="35"/>
      <c r="O251" s="35"/>
      <c r="P251" s="35"/>
      <c r="Q251" s="35"/>
    </row>
    <row r="252" spans="1:17" ht="14.25" customHeight="1">
      <c r="A252" s="35"/>
      <c r="B252" s="35"/>
      <c r="C252" s="35"/>
      <c r="D252" s="35"/>
      <c r="E252" s="36"/>
      <c r="F252" s="36"/>
      <c r="G252" s="36"/>
      <c r="H252" s="35"/>
      <c r="I252" s="35"/>
      <c r="J252" s="35"/>
      <c r="K252" s="35"/>
      <c r="L252" s="35"/>
      <c r="M252" s="35"/>
      <c r="N252" s="35"/>
      <c r="O252" s="35"/>
      <c r="P252" s="35"/>
      <c r="Q252" s="35"/>
    </row>
    <row r="253" spans="1:17" ht="14.25" customHeight="1">
      <c r="A253" s="35"/>
      <c r="B253" s="35"/>
      <c r="C253" s="35"/>
      <c r="D253" s="35"/>
      <c r="E253" s="36"/>
      <c r="F253" s="36"/>
      <c r="G253" s="36"/>
      <c r="H253" s="35"/>
      <c r="I253" s="35"/>
      <c r="J253" s="35"/>
      <c r="K253" s="35"/>
      <c r="L253" s="35"/>
      <c r="M253" s="35"/>
      <c r="N253" s="35"/>
      <c r="O253" s="35"/>
      <c r="P253" s="35"/>
      <c r="Q253" s="35"/>
    </row>
    <row r="254" spans="1:17" ht="14.25" customHeight="1">
      <c r="A254" s="35"/>
      <c r="B254" s="35"/>
      <c r="C254" s="35"/>
      <c r="D254" s="35"/>
      <c r="E254" s="36"/>
      <c r="F254" s="36"/>
      <c r="G254" s="36"/>
      <c r="H254" s="35"/>
      <c r="I254" s="35"/>
      <c r="J254" s="35"/>
      <c r="K254" s="35"/>
      <c r="L254" s="35"/>
      <c r="M254" s="35"/>
      <c r="N254" s="35"/>
      <c r="O254" s="35"/>
      <c r="P254" s="35"/>
      <c r="Q254" s="35"/>
    </row>
    <row r="255" spans="1:17" ht="14.25" customHeight="1">
      <c r="A255" s="35"/>
      <c r="B255" s="35"/>
      <c r="C255" s="35"/>
      <c r="D255" s="35"/>
      <c r="E255" s="36"/>
      <c r="F255" s="36"/>
      <c r="G255" s="36"/>
      <c r="H255" s="35"/>
      <c r="I255" s="35"/>
      <c r="J255" s="35"/>
      <c r="K255" s="35"/>
      <c r="L255" s="35"/>
      <c r="M255" s="35"/>
      <c r="N255" s="35"/>
      <c r="O255" s="35"/>
      <c r="P255" s="35"/>
      <c r="Q255" s="35"/>
    </row>
    <row r="256" spans="1:17" ht="14.25" customHeight="1">
      <c r="A256" s="35"/>
      <c r="B256" s="35"/>
      <c r="C256" s="35"/>
      <c r="D256" s="35"/>
      <c r="E256" s="36"/>
      <c r="F256" s="36"/>
      <c r="G256" s="36"/>
      <c r="H256" s="35"/>
      <c r="I256" s="35"/>
      <c r="J256" s="35"/>
      <c r="K256" s="35"/>
      <c r="L256" s="35"/>
      <c r="M256" s="35"/>
      <c r="N256" s="35"/>
      <c r="O256" s="35"/>
      <c r="P256" s="35"/>
      <c r="Q256" s="35"/>
    </row>
    <row r="257" spans="1:17" ht="14.25" customHeight="1">
      <c r="A257" s="35"/>
      <c r="B257" s="35"/>
      <c r="C257" s="35"/>
      <c r="D257" s="35"/>
      <c r="E257" s="36"/>
      <c r="F257" s="36"/>
      <c r="G257" s="36"/>
      <c r="H257" s="35"/>
      <c r="I257" s="35"/>
      <c r="J257" s="35"/>
      <c r="K257" s="35"/>
      <c r="L257" s="35"/>
      <c r="M257" s="35"/>
      <c r="N257" s="35"/>
      <c r="O257" s="35"/>
      <c r="P257" s="35"/>
      <c r="Q257" s="35"/>
    </row>
    <row r="258" spans="1:17" ht="14.25" customHeight="1">
      <c r="A258" s="35"/>
      <c r="B258" s="35"/>
      <c r="C258" s="35"/>
      <c r="D258" s="35"/>
      <c r="E258" s="36"/>
      <c r="F258" s="36"/>
      <c r="G258" s="36"/>
      <c r="H258" s="35"/>
      <c r="I258" s="35"/>
      <c r="J258" s="35"/>
      <c r="K258" s="35"/>
      <c r="L258" s="35"/>
      <c r="M258" s="35"/>
      <c r="N258" s="35"/>
      <c r="O258" s="35"/>
      <c r="P258" s="35"/>
      <c r="Q258" s="35"/>
    </row>
    <row r="259" spans="1:17" ht="14.25" customHeight="1">
      <c r="A259" s="35"/>
      <c r="B259" s="35"/>
      <c r="C259" s="35"/>
      <c r="D259" s="35"/>
      <c r="E259" s="36"/>
      <c r="F259" s="36"/>
      <c r="G259" s="36"/>
      <c r="H259" s="35"/>
      <c r="I259" s="35"/>
      <c r="J259" s="35"/>
      <c r="K259" s="35"/>
      <c r="L259" s="35"/>
      <c r="M259" s="35"/>
      <c r="N259" s="35"/>
      <c r="O259" s="35"/>
      <c r="P259" s="35"/>
      <c r="Q259" s="35"/>
    </row>
    <row r="260" spans="1:17" ht="14.25" customHeight="1">
      <c r="A260" s="35"/>
      <c r="B260" s="35"/>
      <c r="C260" s="35"/>
      <c r="D260" s="35"/>
      <c r="E260" s="36"/>
      <c r="F260" s="36"/>
      <c r="G260" s="36"/>
      <c r="H260" s="35"/>
      <c r="I260" s="35"/>
      <c r="J260" s="35"/>
      <c r="K260" s="35"/>
      <c r="L260" s="35"/>
      <c r="M260" s="35"/>
      <c r="N260" s="35"/>
      <c r="O260" s="35"/>
      <c r="P260" s="35"/>
      <c r="Q260" s="35"/>
    </row>
    <row r="261" spans="1:17" ht="14.25" customHeight="1">
      <c r="A261" s="35"/>
      <c r="B261" s="35"/>
      <c r="C261" s="35"/>
      <c r="D261" s="35"/>
      <c r="E261" s="36"/>
      <c r="F261" s="36"/>
      <c r="G261" s="36"/>
      <c r="H261" s="35"/>
      <c r="I261" s="35"/>
      <c r="J261" s="35"/>
      <c r="K261" s="35"/>
      <c r="L261" s="35"/>
      <c r="M261" s="35"/>
      <c r="N261" s="35"/>
      <c r="O261" s="35"/>
      <c r="P261" s="35"/>
      <c r="Q261" s="35"/>
    </row>
    <row r="262" spans="1:17" ht="14.25" customHeight="1">
      <c r="A262" s="35"/>
      <c r="B262" s="35"/>
      <c r="C262" s="35"/>
      <c r="D262" s="35"/>
      <c r="E262" s="36"/>
      <c r="F262" s="36"/>
      <c r="G262" s="36"/>
      <c r="H262" s="35"/>
      <c r="I262" s="35"/>
      <c r="J262" s="35"/>
      <c r="K262" s="35"/>
      <c r="L262" s="35"/>
      <c r="M262" s="35"/>
      <c r="N262" s="35"/>
      <c r="O262" s="35"/>
      <c r="P262" s="35"/>
      <c r="Q262" s="35"/>
    </row>
    <row r="263" spans="1:17" ht="14.25" customHeight="1">
      <c r="A263" s="35"/>
      <c r="B263" s="35"/>
      <c r="C263" s="35"/>
      <c r="D263" s="35"/>
      <c r="E263" s="36"/>
      <c r="F263" s="36"/>
      <c r="G263" s="36"/>
      <c r="H263" s="35"/>
      <c r="I263" s="35"/>
      <c r="J263" s="35"/>
      <c r="K263" s="35"/>
      <c r="L263" s="35"/>
      <c r="M263" s="35"/>
      <c r="N263" s="35"/>
      <c r="O263" s="35"/>
      <c r="P263" s="35"/>
      <c r="Q263" s="35"/>
    </row>
    <row r="264" spans="1:17" ht="14.25" customHeight="1">
      <c r="A264" s="35"/>
      <c r="B264" s="35"/>
      <c r="C264" s="35"/>
      <c r="D264" s="35"/>
      <c r="E264" s="36"/>
      <c r="F264" s="36"/>
      <c r="G264" s="36"/>
      <c r="H264" s="35"/>
      <c r="I264" s="35"/>
      <c r="J264" s="35"/>
      <c r="K264" s="35"/>
      <c r="L264" s="35"/>
      <c r="M264" s="35"/>
      <c r="N264" s="35"/>
      <c r="O264" s="35"/>
      <c r="P264" s="35"/>
      <c r="Q264" s="35"/>
    </row>
    <row r="265" spans="1:17" ht="14.25" customHeight="1">
      <c r="A265" s="35"/>
      <c r="B265" s="35"/>
      <c r="C265" s="35"/>
      <c r="D265" s="35"/>
      <c r="E265" s="36"/>
      <c r="F265" s="36"/>
      <c r="G265" s="36"/>
      <c r="H265" s="35"/>
      <c r="I265" s="35"/>
      <c r="J265" s="35"/>
      <c r="K265" s="35"/>
      <c r="L265" s="35"/>
      <c r="M265" s="35"/>
      <c r="N265" s="35"/>
      <c r="O265" s="35"/>
      <c r="P265" s="35"/>
      <c r="Q265" s="35"/>
    </row>
    <row r="266" spans="1:17" ht="14.25" customHeight="1">
      <c r="A266" s="35"/>
      <c r="B266" s="35"/>
      <c r="C266" s="35"/>
      <c r="D266" s="35"/>
      <c r="E266" s="36"/>
      <c r="F266" s="36"/>
      <c r="G266" s="36"/>
      <c r="H266" s="35"/>
      <c r="I266" s="35"/>
      <c r="J266" s="35"/>
      <c r="K266" s="35"/>
      <c r="L266" s="35"/>
      <c r="M266" s="35"/>
      <c r="N266" s="35"/>
      <c r="O266" s="35"/>
      <c r="P266" s="35"/>
      <c r="Q266" s="35"/>
    </row>
    <row r="267" spans="1:17" ht="14.25" customHeight="1">
      <c r="A267" s="35"/>
      <c r="B267" s="35"/>
      <c r="C267" s="35"/>
      <c r="D267" s="35"/>
      <c r="E267" s="36"/>
      <c r="F267" s="36"/>
      <c r="G267" s="36"/>
      <c r="H267" s="35"/>
      <c r="I267" s="35"/>
      <c r="J267" s="35"/>
      <c r="K267" s="35"/>
      <c r="L267" s="35"/>
      <c r="M267" s="35"/>
      <c r="N267" s="35"/>
      <c r="O267" s="35"/>
      <c r="P267" s="35"/>
      <c r="Q267" s="35"/>
    </row>
    <row r="268" spans="1:17" ht="14.25" customHeight="1">
      <c r="A268" s="35"/>
      <c r="B268" s="35"/>
      <c r="C268" s="35"/>
      <c r="D268" s="35"/>
      <c r="E268" s="36"/>
      <c r="F268" s="36"/>
      <c r="G268" s="36"/>
      <c r="H268" s="35"/>
      <c r="I268" s="35"/>
      <c r="J268" s="35"/>
      <c r="K268" s="35"/>
      <c r="L268" s="35"/>
      <c r="M268" s="35"/>
      <c r="N268" s="35"/>
      <c r="O268" s="35"/>
      <c r="P268" s="35"/>
      <c r="Q268" s="35"/>
    </row>
    <row r="269" spans="1:17" ht="14.25" customHeight="1">
      <c r="A269" s="35"/>
      <c r="B269" s="35"/>
      <c r="C269" s="35"/>
      <c r="D269" s="35"/>
      <c r="E269" s="36"/>
      <c r="F269" s="36"/>
      <c r="G269" s="36"/>
      <c r="H269" s="35"/>
      <c r="I269" s="35"/>
      <c r="J269" s="35"/>
      <c r="K269" s="35"/>
      <c r="L269" s="35"/>
      <c r="M269" s="35"/>
      <c r="N269" s="35"/>
      <c r="O269" s="35"/>
      <c r="P269" s="35"/>
      <c r="Q269" s="35"/>
    </row>
    <row r="270" spans="1:17" ht="14.25" customHeight="1">
      <c r="A270" s="35"/>
      <c r="B270" s="35"/>
      <c r="C270" s="35"/>
      <c r="D270" s="35"/>
      <c r="E270" s="36"/>
      <c r="F270" s="36"/>
      <c r="G270" s="36"/>
      <c r="H270" s="35"/>
      <c r="I270" s="35"/>
      <c r="J270" s="35"/>
      <c r="K270" s="35"/>
      <c r="L270" s="35"/>
      <c r="M270" s="35"/>
      <c r="N270" s="35"/>
      <c r="O270" s="35"/>
      <c r="P270" s="35"/>
      <c r="Q270" s="35"/>
    </row>
    <row r="271" spans="1:17" ht="14.25" customHeight="1">
      <c r="A271" s="35"/>
      <c r="B271" s="35"/>
      <c r="C271" s="35"/>
      <c r="D271" s="35"/>
      <c r="E271" s="36"/>
      <c r="F271" s="36"/>
      <c r="G271" s="36"/>
      <c r="H271" s="35"/>
      <c r="I271" s="35"/>
      <c r="J271" s="35"/>
      <c r="K271" s="35"/>
      <c r="L271" s="35"/>
      <c r="M271" s="35"/>
      <c r="N271" s="35"/>
      <c r="O271" s="35"/>
      <c r="P271" s="35"/>
      <c r="Q271" s="35"/>
    </row>
    <row r="272" spans="1:17" ht="14.25" customHeight="1">
      <c r="A272" s="35"/>
      <c r="B272" s="35"/>
      <c r="C272" s="35"/>
      <c r="D272" s="35"/>
      <c r="E272" s="36"/>
      <c r="F272" s="36"/>
      <c r="G272" s="36"/>
      <c r="H272" s="35"/>
      <c r="I272" s="35"/>
      <c r="J272" s="35"/>
      <c r="K272" s="35"/>
      <c r="L272" s="35"/>
      <c r="M272" s="35"/>
      <c r="N272" s="35"/>
      <c r="O272" s="35"/>
      <c r="P272" s="35"/>
      <c r="Q272" s="35"/>
    </row>
    <row r="273" spans="1:17" ht="14.25" customHeight="1">
      <c r="A273" s="35"/>
      <c r="B273" s="35"/>
      <c r="C273" s="35"/>
      <c r="D273" s="35"/>
      <c r="E273" s="36"/>
      <c r="F273" s="36"/>
      <c r="G273" s="36"/>
      <c r="H273" s="35"/>
      <c r="I273" s="35"/>
      <c r="J273" s="35"/>
      <c r="K273" s="35"/>
      <c r="L273" s="35"/>
      <c r="M273" s="35"/>
      <c r="N273" s="35"/>
      <c r="O273" s="35"/>
      <c r="P273" s="35"/>
      <c r="Q273" s="35"/>
    </row>
    <row r="274" spans="1:17" ht="14.25" customHeight="1">
      <c r="A274" s="35"/>
      <c r="B274" s="35"/>
      <c r="C274" s="35"/>
      <c r="D274" s="35"/>
      <c r="E274" s="36"/>
      <c r="F274" s="36"/>
      <c r="G274" s="36"/>
      <c r="H274" s="35"/>
      <c r="I274" s="35"/>
      <c r="J274" s="35"/>
      <c r="K274" s="35"/>
      <c r="L274" s="35"/>
      <c r="M274" s="35"/>
      <c r="N274" s="35"/>
      <c r="O274" s="35"/>
      <c r="P274" s="35"/>
      <c r="Q274" s="35"/>
    </row>
    <row r="275" spans="1:17" ht="14.25" customHeight="1">
      <c r="A275" s="35"/>
      <c r="B275" s="35"/>
      <c r="C275" s="35"/>
      <c r="D275" s="35"/>
      <c r="E275" s="36"/>
      <c r="F275" s="36"/>
      <c r="G275" s="36"/>
      <c r="H275" s="35"/>
      <c r="I275" s="35"/>
      <c r="J275" s="35"/>
      <c r="K275" s="35"/>
      <c r="L275" s="35"/>
      <c r="M275" s="35"/>
      <c r="N275" s="35"/>
      <c r="O275" s="35"/>
      <c r="P275" s="35"/>
      <c r="Q275" s="35"/>
    </row>
    <row r="276" spans="1:17" ht="14.25" customHeight="1">
      <c r="A276" s="35"/>
      <c r="B276" s="35"/>
      <c r="C276" s="35"/>
      <c r="D276" s="35"/>
      <c r="E276" s="36"/>
      <c r="F276" s="36"/>
      <c r="G276" s="36"/>
      <c r="H276" s="35"/>
      <c r="I276" s="35"/>
      <c r="J276" s="35"/>
      <c r="K276" s="35"/>
      <c r="L276" s="35"/>
      <c r="M276" s="35"/>
      <c r="N276" s="35"/>
      <c r="O276" s="35"/>
      <c r="P276" s="35"/>
      <c r="Q276" s="35"/>
    </row>
    <row r="277" spans="1:17" ht="14.25" customHeight="1">
      <c r="A277" s="35"/>
      <c r="B277" s="35"/>
      <c r="C277" s="35"/>
      <c r="D277" s="35"/>
      <c r="E277" s="36"/>
      <c r="F277" s="36"/>
      <c r="G277" s="36"/>
      <c r="H277" s="35"/>
      <c r="I277" s="35"/>
      <c r="J277" s="35"/>
      <c r="K277" s="35"/>
      <c r="L277" s="35"/>
      <c r="M277" s="35"/>
      <c r="N277" s="35"/>
      <c r="O277" s="35"/>
      <c r="P277" s="35"/>
      <c r="Q277" s="35"/>
    </row>
    <row r="278" spans="1:17" ht="14.25" customHeight="1">
      <c r="A278" s="35"/>
      <c r="B278" s="35"/>
      <c r="C278" s="35"/>
      <c r="D278" s="35"/>
      <c r="E278" s="36"/>
      <c r="F278" s="36"/>
      <c r="G278" s="36"/>
      <c r="H278" s="35"/>
      <c r="I278" s="35"/>
      <c r="J278" s="35"/>
      <c r="K278" s="35"/>
      <c r="L278" s="35"/>
      <c r="M278" s="35"/>
      <c r="N278" s="35"/>
      <c r="O278" s="35"/>
      <c r="P278" s="35"/>
      <c r="Q278" s="35"/>
    </row>
    <row r="279" spans="1:17" ht="14.25" customHeight="1">
      <c r="A279" s="35"/>
      <c r="B279" s="35"/>
      <c r="C279" s="35"/>
      <c r="D279" s="35"/>
      <c r="E279" s="36"/>
      <c r="F279" s="36"/>
      <c r="G279" s="36"/>
      <c r="H279" s="35"/>
      <c r="I279" s="35"/>
      <c r="J279" s="35"/>
      <c r="K279" s="35"/>
      <c r="L279" s="35"/>
      <c r="M279" s="35"/>
      <c r="N279" s="35"/>
      <c r="O279" s="35"/>
      <c r="P279" s="35"/>
      <c r="Q279" s="35"/>
    </row>
    <row r="280" spans="1:17" ht="14.25" customHeight="1">
      <c r="A280" s="35"/>
      <c r="B280" s="35"/>
      <c r="C280" s="35"/>
      <c r="D280" s="35"/>
      <c r="E280" s="36"/>
      <c r="F280" s="36"/>
      <c r="G280" s="36"/>
      <c r="H280" s="35"/>
      <c r="I280" s="35"/>
      <c r="J280" s="35"/>
      <c r="K280" s="35"/>
      <c r="L280" s="35"/>
      <c r="M280" s="35"/>
      <c r="N280" s="35"/>
      <c r="O280" s="35"/>
      <c r="P280" s="35"/>
      <c r="Q280" s="35"/>
    </row>
    <row r="281" spans="1:17" ht="14.25" customHeight="1">
      <c r="A281" s="35"/>
      <c r="B281" s="35"/>
      <c r="C281" s="35"/>
      <c r="D281" s="35"/>
      <c r="E281" s="36"/>
      <c r="F281" s="36"/>
      <c r="G281" s="36"/>
      <c r="H281" s="35"/>
      <c r="I281" s="35"/>
      <c r="J281" s="35"/>
      <c r="K281" s="35"/>
      <c r="L281" s="35"/>
      <c r="M281" s="35"/>
      <c r="N281" s="35"/>
      <c r="O281" s="35"/>
      <c r="P281" s="35"/>
      <c r="Q281" s="35"/>
    </row>
    <row r="282" spans="1:17" ht="14.25" customHeight="1">
      <c r="A282" s="35"/>
      <c r="B282" s="35"/>
      <c r="C282" s="35"/>
      <c r="D282" s="35"/>
      <c r="E282" s="36"/>
      <c r="F282" s="36"/>
      <c r="G282" s="36"/>
      <c r="H282" s="35"/>
      <c r="I282" s="35"/>
      <c r="J282" s="35"/>
      <c r="K282" s="35"/>
      <c r="L282" s="35"/>
      <c r="M282" s="35"/>
      <c r="N282" s="35"/>
      <c r="O282" s="35"/>
      <c r="P282" s="35"/>
      <c r="Q282" s="35"/>
    </row>
    <row r="283" spans="1:17" ht="14.25" customHeight="1">
      <c r="A283" s="35"/>
      <c r="B283" s="35"/>
      <c r="C283" s="35"/>
      <c r="D283" s="35"/>
      <c r="E283" s="36"/>
      <c r="F283" s="36"/>
      <c r="G283" s="36"/>
      <c r="H283" s="35"/>
      <c r="I283" s="35"/>
      <c r="J283" s="35"/>
      <c r="K283" s="35"/>
      <c r="L283" s="35"/>
      <c r="M283" s="35"/>
      <c r="N283" s="35"/>
      <c r="O283" s="35"/>
      <c r="P283" s="35"/>
      <c r="Q283" s="35"/>
    </row>
    <row r="284" spans="1:17" ht="14.25" customHeight="1">
      <c r="A284" s="35"/>
      <c r="B284" s="35"/>
      <c r="C284" s="35"/>
      <c r="D284" s="35"/>
      <c r="E284" s="36"/>
      <c r="F284" s="36"/>
      <c r="G284" s="36"/>
      <c r="H284" s="35"/>
      <c r="I284" s="35"/>
      <c r="J284" s="35"/>
      <c r="K284" s="35"/>
      <c r="L284" s="35"/>
      <c r="M284" s="35"/>
      <c r="N284" s="35"/>
      <c r="O284" s="35"/>
      <c r="P284" s="35"/>
      <c r="Q284" s="35"/>
    </row>
    <row r="285" spans="1:17" ht="14.25" customHeight="1">
      <c r="A285" s="35"/>
      <c r="B285" s="35"/>
      <c r="C285" s="35"/>
      <c r="D285" s="35"/>
      <c r="E285" s="36"/>
      <c r="F285" s="36"/>
      <c r="G285" s="36"/>
      <c r="H285" s="35"/>
      <c r="I285" s="35"/>
      <c r="J285" s="35"/>
      <c r="K285" s="35"/>
      <c r="L285" s="35"/>
      <c r="M285" s="35"/>
      <c r="N285" s="35"/>
      <c r="O285" s="35"/>
      <c r="P285" s="35"/>
      <c r="Q285" s="35"/>
    </row>
    <row r="286" spans="1:17" ht="14.25" customHeight="1">
      <c r="A286" s="35"/>
      <c r="B286" s="35"/>
      <c r="C286" s="35"/>
      <c r="D286" s="35"/>
      <c r="E286" s="36"/>
      <c r="F286" s="36"/>
      <c r="G286" s="36"/>
      <c r="H286" s="35"/>
      <c r="I286" s="35"/>
      <c r="J286" s="35"/>
      <c r="K286" s="35"/>
      <c r="L286" s="35"/>
      <c r="M286" s="35"/>
      <c r="N286" s="35"/>
      <c r="O286" s="35"/>
      <c r="P286" s="35"/>
      <c r="Q286" s="35"/>
    </row>
    <row r="287" spans="1:17" ht="14.25" customHeight="1">
      <c r="A287" s="35"/>
      <c r="B287" s="35"/>
      <c r="C287" s="35"/>
      <c r="D287" s="35"/>
      <c r="E287" s="36"/>
      <c r="F287" s="36"/>
      <c r="G287" s="36"/>
      <c r="H287" s="35"/>
      <c r="I287" s="35"/>
      <c r="J287" s="35"/>
      <c r="K287" s="35"/>
      <c r="L287" s="35"/>
      <c r="M287" s="35"/>
      <c r="N287" s="35"/>
      <c r="O287" s="35"/>
      <c r="P287" s="35"/>
      <c r="Q287" s="35"/>
    </row>
    <row r="288" spans="1:17" ht="14.25" customHeight="1">
      <c r="A288" s="35"/>
      <c r="B288" s="35"/>
      <c r="C288" s="35"/>
      <c r="D288" s="35"/>
      <c r="E288" s="36"/>
      <c r="F288" s="36"/>
      <c r="G288" s="36"/>
      <c r="H288" s="35"/>
      <c r="I288" s="35"/>
      <c r="J288" s="35"/>
      <c r="K288" s="35"/>
      <c r="L288" s="35"/>
      <c r="M288" s="35"/>
      <c r="N288" s="35"/>
      <c r="O288" s="35"/>
      <c r="P288" s="35"/>
      <c r="Q288" s="35"/>
    </row>
    <row r="289" spans="1:17" ht="14.25" customHeight="1">
      <c r="A289" s="35"/>
      <c r="B289" s="35"/>
      <c r="C289" s="35"/>
      <c r="D289" s="35"/>
      <c r="E289" s="36"/>
      <c r="F289" s="36"/>
      <c r="G289" s="36"/>
      <c r="H289" s="35"/>
      <c r="I289" s="35"/>
      <c r="J289" s="35"/>
      <c r="K289" s="35"/>
      <c r="L289" s="35"/>
      <c r="M289" s="35"/>
      <c r="N289" s="35"/>
      <c r="O289" s="35"/>
      <c r="P289" s="35"/>
      <c r="Q289" s="35"/>
    </row>
    <row r="290" spans="1:17" ht="14.25" customHeight="1">
      <c r="A290" s="35"/>
      <c r="B290" s="35"/>
      <c r="C290" s="35"/>
      <c r="D290" s="35"/>
      <c r="E290" s="36"/>
      <c r="F290" s="36"/>
      <c r="G290" s="36"/>
      <c r="H290" s="35"/>
      <c r="I290" s="35"/>
      <c r="J290" s="35"/>
      <c r="K290" s="35"/>
      <c r="L290" s="35"/>
      <c r="M290" s="35"/>
      <c r="N290" s="35"/>
      <c r="O290" s="35"/>
      <c r="P290" s="35"/>
      <c r="Q290" s="35"/>
    </row>
    <row r="291" spans="1:17" ht="14.25" customHeight="1">
      <c r="A291" s="35"/>
      <c r="B291" s="35"/>
      <c r="C291" s="35"/>
      <c r="D291" s="35"/>
      <c r="E291" s="36"/>
      <c r="F291" s="36"/>
      <c r="G291" s="36"/>
      <c r="H291" s="35"/>
      <c r="I291" s="35"/>
      <c r="J291" s="35"/>
      <c r="K291" s="35"/>
      <c r="L291" s="35"/>
      <c r="M291" s="35"/>
      <c r="N291" s="35"/>
      <c r="O291" s="35"/>
      <c r="P291" s="35"/>
      <c r="Q291" s="35"/>
    </row>
    <row r="292" spans="1:17" ht="14.25" customHeight="1">
      <c r="A292" s="35"/>
      <c r="B292" s="35"/>
      <c r="C292" s="35"/>
      <c r="D292" s="35"/>
      <c r="E292" s="36"/>
      <c r="F292" s="36"/>
      <c r="G292" s="36"/>
      <c r="H292" s="35"/>
      <c r="I292" s="35"/>
      <c r="J292" s="35"/>
      <c r="K292" s="35"/>
      <c r="L292" s="35"/>
      <c r="M292" s="35"/>
      <c r="N292" s="35"/>
      <c r="O292" s="35"/>
      <c r="P292" s="35"/>
      <c r="Q292" s="35"/>
    </row>
    <row r="293" spans="1:17" ht="14.25" customHeight="1">
      <c r="A293" s="35"/>
      <c r="B293" s="35"/>
      <c r="C293" s="35"/>
      <c r="D293" s="35"/>
      <c r="E293" s="36"/>
      <c r="F293" s="36"/>
      <c r="G293" s="36"/>
      <c r="H293" s="35"/>
      <c r="I293" s="35"/>
      <c r="J293" s="35"/>
      <c r="K293" s="35"/>
      <c r="L293" s="35"/>
      <c r="M293" s="35"/>
      <c r="N293" s="35"/>
      <c r="O293" s="35"/>
      <c r="P293" s="35"/>
      <c r="Q293" s="35"/>
    </row>
    <row r="294" spans="1:17" ht="14.25" customHeight="1">
      <c r="A294" s="35"/>
      <c r="B294" s="35"/>
      <c r="C294" s="35"/>
      <c r="D294" s="35"/>
      <c r="E294" s="36"/>
      <c r="F294" s="36"/>
      <c r="G294" s="36"/>
      <c r="H294" s="35"/>
      <c r="I294" s="35"/>
      <c r="J294" s="35"/>
      <c r="K294" s="35"/>
      <c r="L294" s="35"/>
      <c r="M294" s="35"/>
      <c r="N294" s="35"/>
      <c r="O294" s="35"/>
      <c r="P294" s="35"/>
      <c r="Q294" s="35"/>
    </row>
    <row r="295" spans="1:17" ht="14.25" customHeight="1">
      <c r="A295" s="35"/>
      <c r="B295" s="35"/>
      <c r="C295" s="35"/>
      <c r="D295" s="35"/>
      <c r="E295" s="36"/>
      <c r="F295" s="36"/>
      <c r="G295" s="36"/>
      <c r="H295" s="35"/>
      <c r="I295" s="35"/>
      <c r="J295" s="35"/>
      <c r="K295" s="35"/>
      <c r="L295" s="35"/>
      <c r="M295" s="35"/>
      <c r="N295" s="35"/>
      <c r="O295" s="35"/>
      <c r="P295" s="35"/>
      <c r="Q295" s="35"/>
    </row>
    <row r="296" spans="1:17" ht="14.25" customHeight="1">
      <c r="A296" s="35"/>
      <c r="B296" s="35"/>
      <c r="C296" s="35"/>
      <c r="D296" s="35"/>
      <c r="E296" s="36"/>
      <c r="F296" s="36"/>
      <c r="G296" s="36"/>
      <c r="H296" s="35"/>
      <c r="I296" s="35"/>
      <c r="J296" s="35"/>
      <c r="K296" s="35"/>
      <c r="L296" s="35"/>
      <c r="M296" s="35"/>
      <c r="N296" s="35"/>
      <c r="O296" s="35"/>
      <c r="P296" s="35"/>
      <c r="Q296" s="35"/>
    </row>
    <row r="297" spans="1:17" ht="14.25" customHeight="1">
      <c r="A297" s="35"/>
      <c r="B297" s="35"/>
      <c r="C297" s="35"/>
      <c r="D297" s="35"/>
      <c r="E297" s="36"/>
      <c r="F297" s="36"/>
      <c r="G297" s="36"/>
      <c r="H297" s="35"/>
      <c r="I297" s="35"/>
      <c r="J297" s="35"/>
      <c r="K297" s="35"/>
      <c r="L297" s="35"/>
      <c r="M297" s="35"/>
      <c r="N297" s="35"/>
      <c r="O297" s="35"/>
      <c r="P297" s="35"/>
      <c r="Q297" s="35"/>
    </row>
    <row r="298" spans="1:17" ht="14.25" customHeight="1">
      <c r="A298" s="35"/>
      <c r="B298" s="35"/>
      <c r="C298" s="35"/>
      <c r="D298" s="35"/>
      <c r="E298" s="36"/>
      <c r="F298" s="36"/>
      <c r="G298" s="36"/>
      <c r="H298" s="35"/>
      <c r="I298" s="35"/>
      <c r="J298" s="35"/>
      <c r="K298" s="35"/>
      <c r="L298" s="35"/>
      <c r="M298" s="35"/>
      <c r="N298" s="35"/>
      <c r="O298" s="35"/>
      <c r="P298" s="35"/>
      <c r="Q298" s="35"/>
    </row>
    <row r="299" spans="1:17" ht="14.25" customHeight="1">
      <c r="A299" s="35"/>
      <c r="B299" s="35"/>
      <c r="C299" s="35"/>
      <c r="D299" s="35"/>
      <c r="E299" s="36"/>
      <c r="F299" s="36"/>
      <c r="G299" s="36"/>
      <c r="H299" s="35"/>
      <c r="I299" s="35"/>
      <c r="J299" s="35"/>
      <c r="K299" s="35"/>
      <c r="L299" s="35"/>
      <c r="M299" s="35"/>
      <c r="N299" s="35"/>
      <c r="O299" s="35"/>
      <c r="P299" s="35"/>
      <c r="Q299" s="35"/>
    </row>
    <row r="300" spans="1:17" ht="14.25" customHeight="1">
      <c r="A300" s="35"/>
      <c r="B300" s="35"/>
      <c r="C300" s="35"/>
      <c r="D300" s="35"/>
      <c r="E300" s="36"/>
      <c r="F300" s="36"/>
      <c r="G300" s="36"/>
      <c r="H300" s="35"/>
      <c r="I300" s="35"/>
      <c r="J300" s="35"/>
      <c r="K300" s="35"/>
      <c r="L300" s="35"/>
      <c r="M300" s="35"/>
      <c r="N300" s="35"/>
      <c r="O300" s="35"/>
      <c r="P300" s="35"/>
      <c r="Q300" s="35"/>
    </row>
    <row r="301" spans="1:17" ht="14.25" customHeight="1">
      <c r="A301" s="35"/>
      <c r="B301" s="35"/>
      <c r="C301" s="35"/>
      <c r="D301" s="35"/>
      <c r="E301" s="36"/>
      <c r="F301" s="36"/>
      <c r="G301" s="36"/>
      <c r="H301" s="35"/>
      <c r="I301" s="35"/>
      <c r="J301" s="35"/>
      <c r="K301" s="35"/>
      <c r="L301" s="35"/>
      <c r="M301" s="35"/>
      <c r="N301" s="35"/>
      <c r="O301" s="35"/>
      <c r="P301" s="35"/>
      <c r="Q301" s="35"/>
    </row>
    <row r="302" spans="1:17" ht="14.25" customHeight="1">
      <c r="A302" s="35"/>
      <c r="B302" s="35"/>
      <c r="C302" s="35"/>
      <c r="D302" s="35"/>
      <c r="E302" s="36"/>
      <c r="F302" s="36"/>
      <c r="G302" s="36"/>
      <c r="H302" s="35"/>
      <c r="I302" s="35"/>
      <c r="J302" s="35"/>
      <c r="K302" s="35"/>
      <c r="L302" s="35"/>
      <c r="M302" s="35"/>
      <c r="N302" s="35"/>
      <c r="O302" s="35"/>
      <c r="P302" s="35"/>
      <c r="Q302" s="35"/>
    </row>
    <row r="303" spans="1:17" ht="14.25" customHeight="1">
      <c r="A303" s="35"/>
      <c r="B303" s="35"/>
      <c r="C303" s="35"/>
      <c r="D303" s="35"/>
      <c r="E303" s="36"/>
      <c r="F303" s="36"/>
      <c r="G303" s="36"/>
      <c r="H303" s="35"/>
      <c r="I303" s="35"/>
      <c r="J303" s="35"/>
      <c r="K303" s="35"/>
      <c r="L303" s="35"/>
      <c r="M303" s="35"/>
      <c r="N303" s="35"/>
      <c r="O303" s="35"/>
      <c r="P303" s="35"/>
      <c r="Q303" s="35"/>
    </row>
    <row r="304" spans="1:17" ht="14.25" customHeight="1">
      <c r="A304" s="35"/>
      <c r="B304" s="35"/>
      <c r="C304" s="35"/>
      <c r="D304" s="35"/>
      <c r="E304" s="36"/>
      <c r="F304" s="36"/>
      <c r="G304" s="36"/>
      <c r="H304" s="35"/>
      <c r="I304" s="35"/>
      <c r="J304" s="35"/>
      <c r="K304" s="35"/>
      <c r="L304" s="35"/>
      <c r="M304" s="35"/>
      <c r="N304" s="35"/>
      <c r="O304" s="35"/>
      <c r="P304" s="35"/>
      <c r="Q304" s="35"/>
    </row>
    <row r="305" spans="1:17" ht="14.25" customHeight="1">
      <c r="A305" s="35"/>
      <c r="B305" s="35"/>
      <c r="C305" s="35"/>
      <c r="D305" s="35"/>
      <c r="E305" s="36"/>
      <c r="F305" s="36"/>
      <c r="G305" s="36"/>
      <c r="H305" s="35"/>
      <c r="I305" s="35"/>
      <c r="J305" s="35"/>
      <c r="K305" s="35"/>
      <c r="L305" s="35"/>
      <c r="M305" s="35"/>
      <c r="N305" s="35"/>
      <c r="O305" s="35"/>
      <c r="P305" s="35"/>
      <c r="Q305" s="35"/>
    </row>
    <row r="306" spans="1:17" ht="14.25" customHeight="1">
      <c r="A306" s="35"/>
      <c r="B306" s="35"/>
      <c r="C306" s="35"/>
      <c r="D306" s="35"/>
      <c r="E306" s="36"/>
      <c r="F306" s="36"/>
      <c r="G306" s="36"/>
      <c r="H306" s="35"/>
      <c r="I306" s="35"/>
      <c r="J306" s="35"/>
      <c r="K306" s="35"/>
      <c r="L306" s="35"/>
      <c r="M306" s="35"/>
      <c r="N306" s="35"/>
      <c r="O306" s="35"/>
      <c r="P306" s="35"/>
      <c r="Q306" s="35"/>
    </row>
    <row r="307" spans="1:17" ht="14.25" customHeight="1">
      <c r="A307" s="35"/>
      <c r="B307" s="35"/>
      <c r="C307" s="35"/>
      <c r="D307" s="35"/>
      <c r="E307" s="36"/>
      <c r="F307" s="36"/>
      <c r="G307" s="36"/>
      <c r="H307" s="35"/>
      <c r="I307" s="35"/>
      <c r="J307" s="35"/>
      <c r="K307" s="35"/>
      <c r="L307" s="35"/>
      <c r="M307" s="35"/>
      <c r="N307" s="35"/>
      <c r="O307" s="35"/>
      <c r="P307" s="35"/>
      <c r="Q307" s="35"/>
    </row>
    <row r="308" spans="1:17" ht="14.25" customHeight="1">
      <c r="A308" s="35"/>
      <c r="B308" s="35"/>
      <c r="C308" s="35"/>
      <c r="D308" s="35"/>
      <c r="E308" s="36"/>
      <c r="F308" s="36"/>
      <c r="G308" s="36"/>
      <c r="H308" s="35"/>
      <c r="I308" s="35"/>
      <c r="J308" s="35"/>
      <c r="K308" s="35"/>
      <c r="L308" s="35"/>
      <c r="M308" s="35"/>
      <c r="N308" s="35"/>
      <c r="O308" s="35"/>
      <c r="P308" s="35"/>
      <c r="Q308" s="35"/>
    </row>
    <row r="309" spans="1:17" ht="14.25" customHeight="1">
      <c r="A309" s="35"/>
      <c r="B309" s="35"/>
      <c r="C309" s="35"/>
      <c r="D309" s="35"/>
      <c r="E309" s="36"/>
      <c r="F309" s="36"/>
      <c r="G309" s="36"/>
      <c r="H309" s="35"/>
      <c r="I309" s="35"/>
      <c r="J309" s="35"/>
      <c r="K309" s="35"/>
      <c r="L309" s="35"/>
      <c r="M309" s="35"/>
      <c r="N309" s="35"/>
      <c r="O309" s="35"/>
      <c r="P309" s="35"/>
      <c r="Q309" s="35"/>
    </row>
    <row r="310" spans="1:17" ht="14.25" customHeight="1">
      <c r="A310" s="35"/>
      <c r="B310" s="35"/>
      <c r="C310" s="35"/>
      <c r="D310" s="35"/>
      <c r="E310" s="36"/>
      <c r="F310" s="36"/>
      <c r="G310" s="36"/>
      <c r="H310" s="35"/>
      <c r="I310" s="35"/>
      <c r="J310" s="35"/>
      <c r="K310" s="35"/>
      <c r="L310" s="35"/>
      <c r="M310" s="35"/>
      <c r="N310" s="35"/>
      <c r="O310" s="35"/>
      <c r="P310" s="35"/>
      <c r="Q310" s="35"/>
    </row>
    <row r="311" spans="1:17" ht="14.25" customHeight="1">
      <c r="A311" s="35"/>
      <c r="B311" s="35"/>
      <c r="C311" s="35"/>
      <c r="D311" s="35"/>
      <c r="E311" s="36"/>
      <c r="F311" s="36"/>
      <c r="G311" s="36"/>
      <c r="H311" s="35"/>
      <c r="I311" s="35"/>
      <c r="J311" s="35"/>
      <c r="K311" s="35"/>
      <c r="L311" s="35"/>
      <c r="M311" s="35"/>
      <c r="N311" s="35"/>
      <c r="O311" s="35"/>
      <c r="P311" s="35"/>
      <c r="Q311" s="35"/>
    </row>
    <row r="312" spans="1:17" ht="14.25" customHeight="1">
      <c r="A312" s="35"/>
      <c r="B312" s="35"/>
      <c r="C312" s="35"/>
      <c r="D312" s="35"/>
      <c r="E312" s="36"/>
      <c r="F312" s="36"/>
      <c r="G312" s="36"/>
      <c r="H312" s="35"/>
      <c r="I312" s="35"/>
      <c r="J312" s="35"/>
      <c r="K312" s="35"/>
      <c r="L312" s="35"/>
      <c r="M312" s="35"/>
      <c r="N312" s="35"/>
      <c r="O312" s="35"/>
      <c r="P312" s="35"/>
      <c r="Q312" s="35"/>
    </row>
    <row r="313" spans="1:17" ht="14.25" customHeight="1">
      <c r="A313" s="35"/>
      <c r="B313" s="35"/>
      <c r="C313" s="35"/>
      <c r="D313" s="35"/>
      <c r="E313" s="36"/>
      <c r="F313" s="36"/>
      <c r="G313" s="36"/>
      <c r="H313" s="35"/>
      <c r="I313" s="35"/>
      <c r="J313" s="35"/>
      <c r="K313" s="35"/>
      <c r="L313" s="35"/>
      <c r="M313" s="35"/>
      <c r="N313" s="35"/>
      <c r="O313" s="35"/>
      <c r="P313" s="35"/>
      <c r="Q313" s="35"/>
    </row>
    <row r="314" spans="1:17" ht="14.25" customHeight="1">
      <c r="A314" s="35"/>
      <c r="B314" s="35"/>
      <c r="C314" s="35"/>
      <c r="D314" s="35"/>
      <c r="E314" s="36"/>
      <c r="F314" s="36"/>
      <c r="G314" s="36"/>
      <c r="H314" s="35"/>
      <c r="I314" s="35"/>
      <c r="J314" s="35"/>
      <c r="K314" s="35"/>
      <c r="L314" s="35"/>
      <c r="M314" s="35"/>
      <c r="N314" s="35"/>
      <c r="O314" s="35"/>
      <c r="P314" s="35"/>
      <c r="Q314" s="35"/>
    </row>
    <row r="315" spans="1:17" ht="14.25" customHeight="1">
      <c r="A315" s="35"/>
      <c r="B315" s="35"/>
      <c r="C315" s="35"/>
      <c r="D315" s="35"/>
      <c r="E315" s="36"/>
      <c r="F315" s="36"/>
      <c r="G315" s="36"/>
      <c r="H315" s="35"/>
      <c r="I315" s="35"/>
      <c r="J315" s="35"/>
      <c r="K315" s="35"/>
      <c r="L315" s="35"/>
      <c r="M315" s="35"/>
      <c r="N315" s="35"/>
      <c r="O315" s="35"/>
      <c r="P315" s="35"/>
      <c r="Q315" s="35"/>
    </row>
    <row r="316" spans="1:17" ht="14.25" customHeight="1">
      <c r="A316" s="35"/>
      <c r="B316" s="35"/>
      <c r="C316" s="35"/>
      <c r="D316" s="35"/>
      <c r="E316" s="36"/>
      <c r="F316" s="36"/>
      <c r="G316" s="36"/>
      <c r="H316" s="35"/>
      <c r="I316" s="35"/>
      <c r="J316" s="35"/>
      <c r="K316" s="35"/>
      <c r="L316" s="35"/>
      <c r="M316" s="35"/>
      <c r="N316" s="35"/>
      <c r="O316" s="35"/>
      <c r="P316" s="35"/>
      <c r="Q316" s="35"/>
    </row>
    <row r="317" spans="1:17" ht="14.25" customHeight="1">
      <c r="A317" s="35"/>
      <c r="B317" s="35"/>
      <c r="C317" s="35"/>
      <c r="D317" s="35"/>
      <c r="E317" s="36"/>
      <c r="F317" s="36"/>
      <c r="G317" s="36"/>
      <c r="H317" s="35"/>
      <c r="I317" s="35"/>
      <c r="J317" s="35"/>
      <c r="K317" s="35"/>
      <c r="L317" s="35"/>
      <c r="M317" s="35"/>
      <c r="N317" s="35"/>
      <c r="O317" s="35"/>
      <c r="P317" s="35"/>
      <c r="Q317" s="35"/>
    </row>
    <row r="318" spans="1:17" ht="14.25" customHeight="1">
      <c r="A318" s="35"/>
      <c r="B318" s="35"/>
      <c r="C318" s="35"/>
      <c r="D318" s="35"/>
      <c r="E318" s="36"/>
      <c r="F318" s="36"/>
      <c r="G318" s="36"/>
      <c r="H318" s="35"/>
      <c r="I318" s="35"/>
      <c r="J318" s="35"/>
      <c r="K318" s="35"/>
      <c r="L318" s="35"/>
      <c r="M318" s="35"/>
      <c r="N318" s="35"/>
      <c r="O318" s="35"/>
      <c r="P318" s="35"/>
      <c r="Q318" s="35"/>
    </row>
    <row r="319" spans="1:17" ht="14.25" customHeight="1">
      <c r="A319" s="35"/>
      <c r="B319" s="35"/>
      <c r="C319" s="35"/>
      <c r="D319" s="35"/>
      <c r="E319" s="36"/>
      <c r="F319" s="36"/>
      <c r="G319" s="36"/>
      <c r="H319" s="35"/>
      <c r="I319" s="35"/>
      <c r="J319" s="35"/>
      <c r="K319" s="35"/>
      <c r="L319" s="35"/>
      <c r="M319" s="35"/>
      <c r="N319" s="35"/>
      <c r="O319" s="35"/>
      <c r="P319" s="35"/>
      <c r="Q319" s="35"/>
    </row>
    <row r="320" spans="1:17" ht="14.25" customHeight="1">
      <c r="A320" s="35"/>
      <c r="B320" s="35"/>
      <c r="C320" s="35"/>
      <c r="D320" s="35"/>
      <c r="E320" s="36"/>
      <c r="F320" s="36"/>
      <c r="G320" s="36"/>
      <c r="H320" s="35"/>
      <c r="I320" s="35"/>
      <c r="J320" s="35"/>
      <c r="K320" s="35"/>
      <c r="L320" s="35"/>
      <c r="M320" s="35"/>
      <c r="N320" s="35"/>
      <c r="O320" s="35"/>
      <c r="P320" s="35"/>
      <c r="Q320" s="35"/>
    </row>
    <row r="321" spans="1:17" ht="14.25" customHeight="1">
      <c r="A321" s="35"/>
      <c r="B321" s="35"/>
      <c r="C321" s="35"/>
      <c r="D321" s="35"/>
      <c r="E321" s="36"/>
      <c r="F321" s="36"/>
      <c r="G321" s="36"/>
      <c r="H321" s="35"/>
      <c r="I321" s="35"/>
      <c r="J321" s="35"/>
      <c r="K321" s="35"/>
      <c r="L321" s="35"/>
      <c r="M321" s="35"/>
      <c r="N321" s="35"/>
      <c r="O321" s="35"/>
      <c r="P321" s="35"/>
      <c r="Q321" s="35"/>
    </row>
    <row r="322" spans="1:17" ht="14.25" customHeight="1">
      <c r="A322" s="35"/>
      <c r="B322" s="35"/>
      <c r="C322" s="35"/>
      <c r="D322" s="35"/>
      <c r="E322" s="36"/>
      <c r="F322" s="36"/>
      <c r="G322" s="36"/>
      <c r="H322" s="35"/>
      <c r="I322" s="35"/>
      <c r="J322" s="35"/>
      <c r="K322" s="35"/>
      <c r="L322" s="35"/>
      <c r="M322" s="35"/>
      <c r="N322" s="35"/>
      <c r="O322" s="35"/>
      <c r="P322" s="35"/>
      <c r="Q322" s="35"/>
    </row>
    <row r="323" spans="1:17" ht="14.25" customHeight="1">
      <c r="A323" s="35"/>
      <c r="B323" s="35"/>
      <c r="C323" s="35"/>
      <c r="D323" s="35"/>
      <c r="E323" s="36"/>
      <c r="F323" s="36"/>
      <c r="G323" s="36"/>
      <c r="H323" s="35"/>
      <c r="I323" s="35"/>
      <c r="J323" s="35"/>
      <c r="K323" s="35"/>
      <c r="L323" s="35"/>
      <c r="M323" s="35"/>
      <c r="N323" s="35"/>
      <c r="O323" s="35"/>
      <c r="P323" s="35"/>
      <c r="Q323" s="35"/>
    </row>
    <row r="324" spans="1:17" ht="14.25" customHeight="1">
      <c r="A324" s="35"/>
      <c r="B324" s="35"/>
      <c r="C324" s="35"/>
      <c r="D324" s="35"/>
      <c r="E324" s="36"/>
      <c r="F324" s="36"/>
      <c r="G324" s="36"/>
      <c r="H324" s="35"/>
      <c r="I324" s="35"/>
      <c r="J324" s="35"/>
      <c r="K324" s="35"/>
      <c r="L324" s="35"/>
      <c r="M324" s="35"/>
      <c r="N324" s="35"/>
      <c r="O324" s="35"/>
      <c r="P324" s="35"/>
      <c r="Q324" s="35"/>
    </row>
    <row r="325" spans="1:17" ht="14.25" customHeight="1">
      <c r="A325" s="35"/>
      <c r="B325" s="35"/>
      <c r="C325" s="35"/>
      <c r="D325" s="35"/>
      <c r="E325" s="36"/>
      <c r="F325" s="36"/>
      <c r="G325" s="36"/>
      <c r="H325" s="35"/>
      <c r="I325" s="35"/>
      <c r="J325" s="35"/>
      <c r="K325" s="35"/>
      <c r="L325" s="35"/>
      <c r="M325" s="35"/>
      <c r="N325" s="35"/>
      <c r="O325" s="35"/>
      <c r="P325" s="35"/>
      <c r="Q325" s="35"/>
    </row>
    <row r="326" spans="1:17" ht="14.25" customHeight="1">
      <c r="A326" s="35"/>
      <c r="B326" s="35"/>
      <c r="C326" s="35"/>
      <c r="D326" s="35"/>
      <c r="E326" s="36"/>
      <c r="F326" s="36"/>
      <c r="G326" s="36"/>
      <c r="H326" s="35"/>
      <c r="I326" s="35"/>
      <c r="J326" s="35"/>
      <c r="K326" s="35"/>
      <c r="L326" s="35"/>
      <c r="M326" s="35"/>
      <c r="N326" s="35"/>
      <c r="O326" s="35"/>
      <c r="P326" s="35"/>
      <c r="Q326" s="35"/>
    </row>
    <row r="327" spans="1:17" ht="14.25" customHeight="1">
      <c r="A327" s="35"/>
      <c r="B327" s="35"/>
      <c r="C327" s="35"/>
      <c r="D327" s="35"/>
      <c r="E327" s="36"/>
      <c r="F327" s="36"/>
      <c r="G327" s="36"/>
      <c r="H327" s="35"/>
      <c r="I327" s="35"/>
      <c r="J327" s="35"/>
      <c r="K327" s="35"/>
      <c r="L327" s="35"/>
      <c r="M327" s="35"/>
      <c r="N327" s="35"/>
      <c r="O327" s="35"/>
      <c r="P327" s="35"/>
      <c r="Q327" s="35"/>
    </row>
    <row r="328" spans="1:17" ht="14.25" customHeight="1">
      <c r="A328" s="35"/>
      <c r="B328" s="35"/>
      <c r="C328" s="35"/>
      <c r="D328" s="35"/>
      <c r="E328" s="36"/>
      <c r="F328" s="36"/>
      <c r="G328" s="36"/>
      <c r="H328" s="35"/>
      <c r="I328" s="35"/>
      <c r="J328" s="35"/>
      <c r="K328" s="35"/>
      <c r="L328" s="35"/>
      <c r="M328" s="35"/>
      <c r="N328" s="35"/>
      <c r="O328" s="35"/>
      <c r="P328" s="35"/>
      <c r="Q328" s="35"/>
    </row>
    <row r="329" spans="1:17" ht="14.25" customHeight="1">
      <c r="A329" s="35"/>
      <c r="B329" s="35"/>
      <c r="C329" s="35"/>
      <c r="D329" s="35"/>
      <c r="E329" s="36"/>
      <c r="F329" s="36"/>
      <c r="G329" s="36"/>
      <c r="H329" s="35"/>
      <c r="I329" s="35"/>
      <c r="J329" s="35"/>
      <c r="K329" s="35"/>
      <c r="L329" s="35"/>
      <c r="M329" s="35"/>
      <c r="N329" s="35"/>
      <c r="O329" s="35"/>
      <c r="P329" s="35"/>
      <c r="Q329" s="35"/>
    </row>
    <row r="330" spans="1:17" ht="14.25" customHeight="1">
      <c r="A330" s="35"/>
      <c r="B330" s="35"/>
      <c r="C330" s="35"/>
      <c r="D330" s="35"/>
      <c r="E330" s="36"/>
      <c r="F330" s="36"/>
      <c r="G330" s="36"/>
      <c r="H330" s="35"/>
      <c r="I330" s="35"/>
      <c r="J330" s="35"/>
      <c r="K330" s="35"/>
      <c r="L330" s="35"/>
      <c r="M330" s="35"/>
      <c r="N330" s="35"/>
      <c r="O330" s="35"/>
      <c r="P330" s="35"/>
      <c r="Q330" s="35"/>
    </row>
    <row r="331" spans="1:17" ht="14.25" customHeight="1">
      <c r="A331" s="35"/>
      <c r="B331" s="35"/>
      <c r="C331" s="35"/>
      <c r="D331" s="35"/>
      <c r="E331" s="36"/>
      <c r="F331" s="36"/>
      <c r="G331" s="36"/>
      <c r="H331" s="35"/>
      <c r="I331" s="35"/>
      <c r="J331" s="35"/>
      <c r="K331" s="35"/>
      <c r="L331" s="35"/>
      <c r="M331" s="35"/>
      <c r="N331" s="35"/>
      <c r="O331" s="35"/>
      <c r="P331" s="35"/>
      <c r="Q331" s="35"/>
    </row>
    <row r="332" spans="1:17" ht="14.25" customHeight="1">
      <c r="A332" s="35"/>
      <c r="B332" s="35"/>
      <c r="C332" s="35"/>
      <c r="D332" s="35"/>
      <c r="E332" s="36"/>
      <c r="F332" s="36"/>
      <c r="G332" s="36"/>
      <c r="H332" s="35"/>
      <c r="I332" s="35"/>
      <c r="J332" s="35"/>
      <c r="K332" s="35"/>
      <c r="L332" s="35"/>
      <c r="M332" s="35"/>
      <c r="N332" s="35"/>
      <c r="O332" s="35"/>
      <c r="P332" s="35"/>
      <c r="Q332" s="35"/>
    </row>
    <row r="333" spans="1:17" ht="14.25" customHeight="1">
      <c r="A333" s="35"/>
      <c r="B333" s="35"/>
      <c r="C333" s="35"/>
      <c r="D333" s="35"/>
      <c r="E333" s="36"/>
      <c r="F333" s="36"/>
      <c r="G333" s="36"/>
      <c r="H333" s="35"/>
      <c r="I333" s="35"/>
      <c r="J333" s="35"/>
      <c r="K333" s="35"/>
      <c r="L333" s="35"/>
      <c r="M333" s="35"/>
      <c r="N333" s="35"/>
      <c r="O333" s="35"/>
      <c r="P333" s="35"/>
      <c r="Q333" s="35"/>
    </row>
    <row r="334" spans="1:17" ht="14.25" customHeight="1">
      <c r="A334" s="35"/>
      <c r="B334" s="35"/>
      <c r="C334" s="35"/>
      <c r="D334" s="35"/>
      <c r="E334" s="36"/>
      <c r="F334" s="36"/>
      <c r="G334" s="36"/>
      <c r="H334" s="35"/>
      <c r="I334" s="35"/>
      <c r="J334" s="35"/>
      <c r="K334" s="35"/>
      <c r="L334" s="35"/>
      <c r="M334" s="35"/>
      <c r="N334" s="35"/>
      <c r="O334" s="35"/>
      <c r="P334" s="35"/>
      <c r="Q334" s="35"/>
    </row>
    <row r="335" spans="1:17" ht="14.25" customHeight="1">
      <c r="A335" s="35"/>
      <c r="B335" s="35"/>
      <c r="C335" s="35"/>
      <c r="D335" s="35"/>
      <c r="E335" s="36"/>
      <c r="F335" s="36"/>
      <c r="G335" s="36"/>
      <c r="H335" s="35"/>
      <c r="I335" s="35"/>
      <c r="J335" s="35"/>
      <c r="K335" s="35"/>
      <c r="L335" s="35"/>
      <c r="M335" s="35"/>
      <c r="N335" s="35"/>
      <c r="O335" s="35"/>
      <c r="P335" s="35"/>
      <c r="Q335" s="35"/>
    </row>
    <row r="336" spans="1:17" ht="14.25" customHeight="1">
      <c r="A336" s="35"/>
      <c r="B336" s="35"/>
      <c r="C336" s="35"/>
      <c r="D336" s="35"/>
      <c r="E336" s="36"/>
      <c r="F336" s="36"/>
      <c r="G336" s="36"/>
      <c r="H336" s="35"/>
      <c r="I336" s="35"/>
      <c r="J336" s="35"/>
      <c r="K336" s="35"/>
      <c r="L336" s="35"/>
      <c r="M336" s="35"/>
      <c r="N336" s="35"/>
      <c r="O336" s="35"/>
      <c r="P336" s="35"/>
      <c r="Q336" s="35"/>
    </row>
    <row r="337" spans="1:17" ht="14.25" customHeight="1">
      <c r="A337" s="35"/>
      <c r="B337" s="35"/>
      <c r="C337" s="35"/>
      <c r="D337" s="35"/>
      <c r="E337" s="36"/>
      <c r="F337" s="36"/>
      <c r="G337" s="36"/>
      <c r="H337" s="35"/>
      <c r="I337" s="35"/>
      <c r="J337" s="35"/>
      <c r="K337" s="35"/>
      <c r="L337" s="35"/>
      <c r="M337" s="35"/>
      <c r="N337" s="35"/>
      <c r="O337" s="35"/>
      <c r="P337" s="35"/>
      <c r="Q337" s="35"/>
    </row>
    <row r="338" spans="1:17" ht="14.25" customHeight="1">
      <c r="A338" s="35"/>
      <c r="B338" s="35"/>
      <c r="C338" s="35"/>
      <c r="D338" s="35"/>
      <c r="E338" s="36"/>
      <c r="F338" s="36"/>
      <c r="G338" s="36"/>
      <c r="H338" s="35"/>
      <c r="I338" s="35"/>
      <c r="J338" s="35"/>
      <c r="K338" s="35"/>
      <c r="L338" s="35"/>
      <c r="M338" s="35"/>
      <c r="N338" s="35"/>
      <c r="O338" s="35"/>
      <c r="P338" s="35"/>
      <c r="Q338" s="35"/>
    </row>
    <row r="339" spans="1:17" ht="14.25" customHeight="1">
      <c r="A339" s="35"/>
      <c r="B339" s="35"/>
      <c r="C339" s="35"/>
      <c r="D339" s="35"/>
      <c r="E339" s="36"/>
      <c r="F339" s="36"/>
      <c r="G339" s="36"/>
      <c r="H339" s="35"/>
      <c r="I339" s="35"/>
      <c r="J339" s="35"/>
      <c r="K339" s="35"/>
      <c r="L339" s="35"/>
      <c r="M339" s="35"/>
      <c r="N339" s="35"/>
      <c r="O339" s="35"/>
      <c r="P339" s="35"/>
      <c r="Q339" s="35"/>
    </row>
    <row r="340" spans="1:17" ht="14.25" customHeight="1">
      <c r="A340" s="35"/>
      <c r="B340" s="35"/>
      <c r="C340" s="35"/>
      <c r="D340" s="35"/>
      <c r="E340" s="36"/>
      <c r="F340" s="36"/>
      <c r="G340" s="36"/>
      <c r="H340" s="35"/>
      <c r="I340" s="35"/>
      <c r="J340" s="35"/>
      <c r="K340" s="35"/>
      <c r="L340" s="35"/>
      <c r="M340" s="35"/>
      <c r="N340" s="35"/>
      <c r="O340" s="35"/>
      <c r="P340" s="35"/>
      <c r="Q340" s="35"/>
    </row>
    <row r="341" spans="1:17" ht="14.25" customHeight="1">
      <c r="A341" s="35"/>
      <c r="B341" s="35"/>
      <c r="C341" s="35"/>
      <c r="D341" s="35"/>
      <c r="E341" s="36"/>
      <c r="F341" s="36"/>
      <c r="G341" s="36"/>
      <c r="H341" s="35"/>
      <c r="I341" s="35"/>
      <c r="J341" s="35"/>
      <c r="K341" s="35"/>
      <c r="L341" s="35"/>
      <c r="M341" s="35"/>
      <c r="N341" s="35"/>
      <c r="O341" s="35"/>
      <c r="P341" s="35"/>
      <c r="Q341" s="35"/>
    </row>
    <row r="342" spans="1:17" ht="14.25" customHeight="1">
      <c r="A342" s="35"/>
      <c r="B342" s="35"/>
      <c r="C342" s="35"/>
      <c r="D342" s="35"/>
      <c r="E342" s="36"/>
      <c r="F342" s="36"/>
      <c r="G342" s="36"/>
      <c r="H342" s="35"/>
      <c r="I342" s="35"/>
      <c r="J342" s="35"/>
      <c r="K342" s="35"/>
      <c r="L342" s="35"/>
      <c r="M342" s="35"/>
      <c r="N342" s="35"/>
      <c r="O342" s="35"/>
      <c r="P342" s="35"/>
      <c r="Q342" s="35"/>
    </row>
    <row r="343" spans="1:17" ht="14.25" customHeight="1">
      <c r="A343" s="35"/>
      <c r="B343" s="35"/>
      <c r="C343" s="35"/>
      <c r="D343" s="35"/>
      <c r="E343" s="36"/>
      <c r="F343" s="36"/>
      <c r="G343" s="36"/>
      <c r="H343" s="35"/>
      <c r="I343" s="35"/>
      <c r="J343" s="35"/>
      <c r="K343" s="35"/>
      <c r="L343" s="35"/>
      <c r="M343" s="35"/>
      <c r="N343" s="35"/>
      <c r="O343" s="35"/>
      <c r="P343" s="35"/>
      <c r="Q343" s="35"/>
    </row>
    <row r="344" spans="1:17" ht="14.25" customHeight="1">
      <c r="A344" s="35"/>
      <c r="B344" s="35"/>
      <c r="C344" s="35"/>
      <c r="D344" s="35"/>
      <c r="E344" s="36"/>
      <c r="F344" s="36"/>
      <c r="G344" s="36"/>
      <c r="H344" s="35"/>
      <c r="I344" s="35"/>
      <c r="J344" s="35"/>
      <c r="K344" s="35"/>
      <c r="L344" s="35"/>
      <c r="M344" s="35"/>
      <c r="N344" s="35"/>
      <c r="O344" s="35"/>
      <c r="P344" s="35"/>
      <c r="Q344" s="35"/>
    </row>
    <row r="345" spans="1:17" ht="14.25" customHeight="1">
      <c r="A345" s="35"/>
      <c r="B345" s="35"/>
      <c r="C345" s="35"/>
      <c r="D345" s="35"/>
      <c r="E345" s="36"/>
      <c r="F345" s="36"/>
      <c r="G345" s="36"/>
      <c r="H345" s="35"/>
      <c r="I345" s="35"/>
      <c r="J345" s="35"/>
      <c r="K345" s="35"/>
      <c r="L345" s="35"/>
      <c r="M345" s="35"/>
      <c r="N345" s="35"/>
      <c r="O345" s="35"/>
      <c r="P345" s="35"/>
      <c r="Q345" s="35"/>
    </row>
    <row r="346" spans="1:17" ht="14.25" customHeight="1">
      <c r="A346" s="35"/>
      <c r="B346" s="35"/>
      <c r="C346" s="35"/>
      <c r="D346" s="35"/>
      <c r="E346" s="36"/>
      <c r="F346" s="36"/>
      <c r="G346" s="36"/>
      <c r="H346" s="35"/>
      <c r="I346" s="35"/>
      <c r="J346" s="35"/>
      <c r="K346" s="35"/>
      <c r="L346" s="35"/>
      <c r="M346" s="35"/>
      <c r="N346" s="35"/>
      <c r="O346" s="35"/>
      <c r="P346" s="35"/>
      <c r="Q346" s="35"/>
    </row>
    <row r="347" spans="1:17" ht="14.25" customHeight="1">
      <c r="A347" s="35"/>
      <c r="B347" s="35"/>
      <c r="C347" s="35"/>
      <c r="D347" s="35"/>
      <c r="E347" s="36"/>
      <c r="F347" s="36"/>
      <c r="G347" s="36"/>
      <c r="H347" s="35"/>
      <c r="I347" s="35"/>
      <c r="J347" s="35"/>
      <c r="K347" s="35"/>
      <c r="L347" s="35"/>
      <c r="M347" s="35"/>
      <c r="N347" s="35"/>
      <c r="O347" s="35"/>
      <c r="P347" s="35"/>
      <c r="Q347" s="35"/>
    </row>
    <row r="348" spans="1:17" ht="14.25" customHeight="1">
      <c r="A348" s="35"/>
      <c r="B348" s="35"/>
      <c r="C348" s="35"/>
      <c r="D348" s="35"/>
      <c r="E348" s="36"/>
      <c r="F348" s="36"/>
      <c r="G348" s="36"/>
      <c r="H348" s="35"/>
      <c r="I348" s="35"/>
      <c r="J348" s="35"/>
      <c r="K348" s="35"/>
      <c r="L348" s="35"/>
      <c r="M348" s="35"/>
      <c r="N348" s="35"/>
      <c r="O348" s="35"/>
      <c r="P348" s="35"/>
      <c r="Q348" s="35"/>
    </row>
    <row r="349" spans="1:17" ht="14.25" customHeight="1">
      <c r="A349" s="35"/>
      <c r="B349" s="35"/>
      <c r="C349" s="35"/>
      <c r="D349" s="35"/>
      <c r="E349" s="36"/>
      <c r="F349" s="36"/>
      <c r="G349" s="36"/>
      <c r="H349" s="35"/>
      <c r="I349" s="35"/>
      <c r="J349" s="35"/>
      <c r="K349" s="35"/>
      <c r="L349" s="35"/>
      <c r="M349" s="35"/>
      <c r="N349" s="35"/>
      <c r="O349" s="35"/>
      <c r="P349" s="35"/>
      <c r="Q349" s="35"/>
    </row>
    <row r="350" spans="1:17" ht="14.25" customHeight="1">
      <c r="A350" s="35"/>
      <c r="B350" s="35"/>
      <c r="C350" s="35"/>
      <c r="D350" s="35"/>
      <c r="E350" s="36"/>
      <c r="F350" s="36"/>
      <c r="G350" s="36"/>
      <c r="H350" s="35"/>
      <c r="I350" s="35"/>
      <c r="J350" s="35"/>
      <c r="K350" s="35"/>
      <c r="L350" s="35"/>
      <c r="M350" s="35"/>
      <c r="N350" s="35"/>
      <c r="O350" s="35"/>
      <c r="P350" s="35"/>
      <c r="Q350" s="35"/>
    </row>
    <row r="351" spans="1:17" ht="14.25" customHeight="1">
      <c r="A351" s="35"/>
      <c r="B351" s="35"/>
      <c r="C351" s="35"/>
      <c r="D351" s="35"/>
      <c r="E351" s="36"/>
      <c r="F351" s="36"/>
      <c r="G351" s="36"/>
      <c r="H351" s="35"/>
      <c r="I351" s="35"/>
      <c r="J351" s="35"/>
      <c r="K351" s="35"/>
      <c r="L351" s="35"/>
      <c r="M351" s="35"/>
      <c r="N351" s="35"/>
      <c r="O351" s="35"/>
      <c r="P351" s="35"/>
      <c r="Q351" s="35"/>
    </row>
    <row r="352" spans="1:17" ht="14.25" customHeight="1">
      <c r="A352" s="35"/>
      <c r="B352" s="35"/>
      <c r="C352" s="35"/>
      <c r="D352" s="35"/>
      <c r="E352" s="36"/>
      <c r="F352" s="36"/>
      <c r="G352" s="36"/>
      <c r="H352" s="35"/>
      <c r="I352" s="35"/>
      <c r="J352" s="35"/>
      <c r="K352" s="35"/>
      <c r="L352" s="35"/>
      <c r="M352" s="35"/>
      <c r="N352" s="35"/>
      <c r="O352" s="35"/>
      <c r="P352" s="35"/>
      <c r="Q352" s="35"/>
    </row>
    <row r="353" spans="1:17" ht="14.25" customHeight="1">
      <c r="A353" s="35"/>
      <c r="B353" s="35"/>
      <c r="C353" s="35"/>
      <c r="D353" s="35"/>
      <c r="E353" s="36"/>
      <c r="F353" s="36"/>
      <c r="G353" s="36"/>
      <c r="H353" s="35"/>
      <c r="I353" s="35"/>
      <c r="J353" s="35"/>
      <c r="K353" s="35"/>
      <c r="L353" s="35"/>
      <c r="M353" s="35"/>
      <c r="N353" s="35"/>
      <c r="O353" s="35"/>
      <c r="P353" s="35"/>
      <c r="Q353" s="35"/>
    </row>
    <row r="354" spans="1:17" ht="14.25" customHeight="1">
      <c r="A354" s="35"/>
      <c r="B354" s="35"/>
      <c r="C354" s="35"/>
      <c r="D354" s="35"/>
      <c r="E354" s="36"/>
      <c r="F354" s="36"/>
      <c r="G354" s="36"/>
      <c r="H354" s="35"/>
      <c r="I354" s="35"/>
      <c r="J354" s="35"/>
      <c r="K354" s="35"/>
      <c r="L354" s="35"/>
      <c r="M354" s="35"/>
      <c r="N354" s="35"/>
      <c r="O354" s="35"/>
      <c r="P354" s="35"/>
      <c r="Q354" s="35"/>
    </row>
    <row r="355" spans="1:17" ht="14.25" customHeight="1">
      <c r="A355" s="35"/>
      <c r="B355" s="35"/>
      <c r="C355" s="35"/>
      <c r="D355" s="35"/>
      <c r="E355" s="36"/>
      <c r="F355" s="36"/>
      <c r="G355" s="36"/>
      <c r="H355" s="35"/>
      <c r="I355" s="35"/>
      <c r="J355" s="35"/>
      <c r="K355" s="35"/>
      <c r="L355" s="35"/>
      <c r="M355" s="35"/>
      <c r="N355" s="35"/>
      <c r="O355" s="35"/>
      <c r="P355" s="35"/>
      <c r="Q355" s="35"/>
    </row>
    <row r="356" spans="1:17" ht="14.25" customHeight="1">
      <c r="A356" s="35"/>
      <c r="B356" s="35"/>
      <c r="C356" s="35"/>
      <c r="D356" s="35"/>
      <c r="E356" s="36"/>
      <c r="F356" s="36"/>
      <c r="G356" s="36"/>
      <c r="H356" s="35"/>
      <c r="I356" s="35"/>
      <c r="J356" s="35"/>
      <c r="K356" s="35"/>
      <c r="L356" s="35"/>
      <c r="M356" s="35"/>
      <c r="N356" s="35"/>
      <c r="O356" s="35"/>
      <c r="P356" s="35"/>
      <c r="Q356" s="35"/>
    </row>
    <row r="357" spans="1:17" ht="14.25" customHeight="1">
      <c r="A357" s="35"/>
      <c r="B357" s="35"/>
      <c r="C357" s="35"/>
      <c r="D357" s="35"/>
      <c r="E357" s="36"/>
      <c r="F357" s="36"/>
      <c r="G357" s="36"/>
      <c r="H357" s="35"/>
      <c r="I357" s="35"/>
      <c r="J357" s="35"/>
      <c r="K357" s="35"/>
      <c r="L357" s="35"/>
      <c r="M357" s="35"/>
      <c r="N357" s="35"/>
      <c r="O357" s="35"/>
      <c r="P357" s="35"/>
      <c r="Q357" s="35"/>
    </row>
    <row r="358" spans="1:17" ht="14.25" customHeight="1">
      <c r="A358" s="35"/>
      <c r="B358" s="35"/>
      <c r="C358" s="35"/>
      <c r="D358" s="35"/>
      <c r="E358" s="36"/>
      <c r="F358" s="36"/>
      <c r="G358" s="36"/>
      <c r="H358" s="35"/>
      <c r="I358" s="35"/>
      <c r="J358" s="35"/>
      <c r="K358" s="35"/>
      <c r="L358" s="35"/>
      <c r="M358" s="35"/>
      <c r="N358" s="35"/>
      <c r="O358" s="35"/>
      <c r="P358" s="35"/>
      <c r="Q358" s="35"/>
    </row>
    <row r="359" spans="1:17" ht="14.25" customHeight="1">
      <c r="A359" s="35"/>
      <c r="B359" s="35"/>
      <c r="C359" s="35"/>
      <c r="D359" s="35"/>
      <c r="E359" s="36"/>
      <c r="F359" s="36"/>
      <c r="G359" s="36"/>
      <c r="H359" s="35"/>
      <c r="I359" s="35"/>
      <c r="J359" s="35"/>
      <c r="K359" s="35"/>
      <c r="L359" s="35"/>
      <c r="M359" s="35"/>
      <c r="N359" s="35"/>
      <c r="O359" s="35"/>
      <c r="P359" s="35"/>
      <c r="Q359" s="35"/>
    </row>
    <row r="360" spans="1:17" ht="14.25" customHeight="1">
      <c r="A360" s="35"/>
      <c r="B360" s="35"/>
      <c r="C360" s="35"/>
      <c r="D360" s="35"/>
      <c r="E360" s="36"/>
      <c r="F360" s="36"/>
      <c r="G360" s="36"/>
      <c r="H360" s="35"/>
      <c r="I360" s="35"/>
      <c r="J360" s="35"/>
      <c r="K360" s="35"/>
      <c r="L360" s="35"/>
      <c r="M360" s="35"/>
      <c r="N360" s="35"/>
      <c r="O360" s="35"/>
      <c r="P360" s="35"/>
      <c r="Q360" s="35"/>
    </row>
    <row r="361" spans="1:17" ht="14.25" customHeight="1">
      <c r="A361" s="35"/>
      <c r="B361" s="35"/>
      <c r="C361" s="35"/>
      <c r="D361" s="35"/>
      <c r="E361" s="36"/>
      <c r="F361" s="36"/>
      <c r="G361" s="36"/>
      <c r="H361" s="35"/>
      <c r="I361" s="35"/>
      <c r="J361" s="35"/>
      <c r="K361" s="35"/>
      <c r="L361" s="35"/>
      <c r="M361" s="35"/>
      <c r="N361" s="35"/>
      <c r="O361" s="35"/>
      <c r="P361" s="35"/>
      <c r="Q361" s="35"/>
    </row>
    <row r="362" spans="1:17" ht="14.25" customHeight="1">
      <c r="A362" s="35"/>
      <c r="B362" s="35"/>
      <c r="C362" s="35"/>
      <c r="D362" s="35"/>
      <c r="E362" s="36"/>
      <c r="F362" s="36"/>
      <c r="G362" s="36"/>
      <c r="H362" s="35"/>
      <c r="I362" s="35"/>
      <c r="J362" s="35"/>
      <c r="K362" s="35"/>
      <c r="L362" s="35"/>
      <c r="M362" s="35"/>
      <c r="N362" s="35"/>
      <c r="O362" s="35"/>
      <c r="P362" s="35"/>
      <c r="Q362" s="35"/>
    </row>
    <row r="363" spans="1:17" ht="14.25" customHeight="1">
      <c r="A363" s="35"/>
      <c r="B363" s="35"/>
      <c r="C363" s="35"/>
      <c r="D363" s="35"/>
      <c r="E363" s="36"/>
      <c r="F363" s="36"/>
      <c r="G363" s="36"/>
      <c r="H363" s="35"/>
      <c r="I363" s="35"/>
      <c r="J363" s="35"/>
      <c r="K363" s="35"/>
      <c r="L363" s="35"/>
      <c r="M363" s="35"/>
      <c r="N363" s="35"/>
      <c r="O363" s="35"/>
      <c r="P363" s="35"/>
      <c r="Q363" s="35"/>
    </row>
    <row r="364" spans="1:17" ht="14.25" customHeight="1">
      <c r="A364" s="35"/>
      <c r="B364" s="35"/>
      <c r="C364" s="35"/>
      <c r="D364" s="35"/>
      <c r="E364" s="36"/>
      <c r="F364" s="36"/>
      <c r="G364" s="36"/>
      <c r="H364" s="35"/>
      <c r="I364" s="35"/>
      <c r="J364" s="35"/>
      <c r="K364" s="35"/>
      <c r="L364" s="35"/>
      <c r="M364" s="35"/>
      <c r="N364" s="35"/>
      <c r="O364" s="35"/>
      <c r="P364" s="35"/>
      <c r="Q364" s="35"/>
    </row>
    <row r="365" spans="1:17" ht="14.25" customHeight="1">
      <c r="A365" s="35"/>
      <c r="B365" s="35"/>
      <c r="C365" s="35"/>
      <c r="D365" s="35"/>
      <c r="E365" s="36"/>
      <c r="F365" s="36"/>
      <c r="G365" s="36"/>
      <c r="H365" s="35"/>
      <c r="I365" s="35"/>
      <c r="J365" s="35"/>
      <c r="K365" s="35"/>
      <c r="L365" s="35"/>
      <c r="M365" s="35"/>
      <c r="N365" s="35"/>
      <c r="O365" s="35"/>
      <c r="P365" s="35"/>
      <c r="Q365" s="35"/>
    </row>
    <row r="366" spans="1:17" ht="14.25" customHeight="1">
      <c r="A366" s="35"/>
      <c r="B366" s="35"/>
      <c r="C366" s="35"/>
      <c r="D366" s="35"/>
      <c r="E366" s="36"/>
      <c r="F366" s="36"/>
      <c r="G366" s="36"/>
      <c r="H366" s="35"/>
      <c r="I366" s="35"/>
      <c r="J366" s="35"/>
      <c r="K366" s="35"/>
      <c r="L366" s="35"/>
      <c r="M366" s="35"/>
      <c r="N366" s="35"/>
      <c r="O366" s="35"/>
      <c r="P366" s="35"/>
      <c r="Q366" s="35"/>
    </row>
    <row r="367" spans="1:17" ht="14.25" customHeight="1">
      <c r="A367" s="35"/>
      <c r="B367" s="35"/>
      <c r="C367" s="35"/>
      <c r="D367" s="35"/>
      <c r="E367" s="36"/>
      <c r="F367" s="36"/>
      <c r="G367" s="36"/>
      <c r="H367" s="35"/>
      <c r="I367" s="35"/>
      <c r="J367" s="35"/>
      <c r="K367" s="35"/>
      <c r="L367" s="35"/>
      <c r="M367" s="35"/>
      <c r="N367" s="35"/>
      <c r="O367" s="35"/>
      <c r="P367" s="35"/>
      <c r="Q367" s="35"/>
    </row>
    <row r="368" spans="1:17" ht="14.25" customHeight="1">
      <c r="A368" s="35"/>
      <c r="B368" s="35"/>
      <c r="C368" s="35"/>
      <c r="D368" s="35"/>
      <c r="E368" s="36"/>
      <c r="F368" s="36"/>
      <c r="G368" s="36"/>
      <c r="H368" s="35"/>
      <c r="I368" s="35"/>
      <c r="J368" s="35"/>
      <c r="K368" s="35"/>
      <c r="L368" s="35"/>
      <c r="M368" s="35"/>
      <c r="N368" s="35"/>
      <c r="O368" s="35"/>
      <c r="P368" s="35"/>
      <c r="Q368" s="35"/>
    </row>
    <row r="369" spans="1:17" ht="14.25" customHeight="1">
      <c r="A369" s="35"/>
      <c r="B369" s="35"/>
      <c r="C369" s="35"/>
      <c r="D369" s="35"/>
      <c r="E369" s="36"/>
      <c r="F369" s="36"/>
      <c r="G369" s="36"/>
      <c r="H369" s="35"/>
      <c r="I369" s="35"/>
      <c r="J369" s="35"/>
      <c r="K369" s="35"/>
      <c r="L369" s="35"/>
      <c r="M369" s="35"/>
      <c r="N369" s="35"/>
      <c r="O369" s="35"/>
      <c r="P369" s="35"/>
      <c r="Q369" s="35"/>
    </row>
    <row r="370" spans="1:17" ht="14.25" customHeight="1">
      <c r="A370" s="35"/>
      <c r="B370" s="35"/>
      <c r="C370" s="35"/>
      <c r="D370" s="35"/>
      <c r="E370" s="36"/>
      <c r="F370" s="36"/>
      <c r="G370" s="36"/>
      <c r="H370" s="35"/>
      <c r="I370" s="35"/>
      <c r="J370" s="35"/>
      <c r="K370" s="35"/>
      <c r="L370" s="35"/>
      <c r="M370" s="35"/>
      <c r="N370" s="35"/>
      <c r="O370" s="35"/>
      <c r="P370" s="35"/>
      <c r="Q370" s="35"/>
    </row>
    <row r="371" spans="1:17" ht="14.25" customHeight="1">
      <c r="A371" s="35"/>
      <c r="B371" s="35"/>
      <c r="C371" s="35"/>
      <c r="D371" s="35"/>
      <c r="E371" s="36"/>
      <c r="F371" s="36"/>
      <c r="G371" s="36"/>
      <c r="H371" s="35"/>
      <c r="I371" s="35"/>
      <c r="J371" s="35"/>
      <c r="K371" s="35"/>
      <c r="L371" s="35"/>
      <c r="M371" s="35"/>
      <c r="N371" s="35"/>
      <c r="O371" s="35"/>
      <c r="P371" s="35"/>
      <c r="Q371" s="35"/>
    </row>
    <row r="372" spans="1:17" ht="15.75" customHeight="1">
      <c r="E372" s="36"/>
      <c r="G372" s="35"/>
    </row>
    <row r="373" spans="1:17" ht="15.75" customHeight="1">
      <c r="E373" s="36"/>
      <c r="G373" s="35"/>
    </row>
    <row r="374" spans="1:17" ht="15.75" customHeight="1">
      <c r="E374" s="36"/>
      <c r="G374" s="35"/>
    </row>
    <row r="375" spans="1:17" ht="15.75" customHeight="1">
      <c r="E375" s="36"/>
      <c r="G375" s="35"/>
    </row>
    <row r="376" spans="1:17" ht="15.75" customHeight="1">
      <c r="E376" s="36"/>
      <c r="G376" s="35"/>
    </row>
    <row r="377" spans="1:17" ht="15.75" customHeight="1">
      <c r="E377" s="36"/>
      <c r="G377" s="35"/>
    </row>
    <row r="378" spans="1:17" ht="15.75" customHeight="1">
      <c r="E378" s="36"/>
      <c r="G378" s="35"/>
    </row>
    <row r="379" spans="1:17" ht="15.75" customHeight="1">
      <c r="E379" s="36"/>
      <c r="G379" s="35"/>
    </row>
    <row r="380" spans="1:17" ht="15.75" customHeight="1">
      <c r="E380" s="36"/>
      <c r="G380" s="35"/>
    </row>
    <row r="381" spans="1:17" ht="15.75" customHeight="1">
      <c r="E381" s="36"/>
      <c r="G381" s="35"/>
    </row>
    <row r="382" spans="1:17" ht="15.75" customHeight="1">
      <c r="E382" s="36"/>
      <c r="G382" s="35"/>
    </row>
    <row r="383" spans="1:17" ht="15.75" customHeight="1">
      <c r="E383" s="36"/>
      <c r="G383" s="35"/>
    </row>
    <row r="384" spans="1:17" ht="15.75" customHeight="1">
      <c r="E384" s="36"/>
      <c r="G384" s="35"/>
    </row>
    <row r="385" spans="5:7" ht="15.75" customHeight="1">
      <c r="E385" s="36"/>
      <c r="G385" s="35"/>
    </row>
    <row r="386" spans="5:7" ht="15.75" customHeight="1">
      <c r="E386" s="36"/>
      <c r="G386" s="35"/>
    </row>
    <row r="387" spans="5:7" ht="15.75" customHeight="1">
      <c r="E387" s="36"/>
      <c r="G387" s="35"/>
    </row>
    <row r="388" spans="5:7" ht="15.75" customHeight="1">
      <c r="E388" s="36"/>
      <c r="G388" s="35"/>
    </row>
    <row r="389" spans="5:7" ht="15.75" customHeight="1">
      <c r="E389" s="36"/>
      <c r="G389" s="35"/>
    </row>
    <row r="390" spans="5:7" ht="15.75" customHeight="1">
      <c r="E390" s="36"/>
      <c r="G390" s="35"/>
    </row>
    <row r="391" spans="5:7" ht="15.75" customHeight="1">
      <c r="E391" s="36"/>
      <c r="G391" s="35"/>
    </row>
    <row r="392" spans="5:7" ht="15.75" customHeight="1">
      <c r="E392" s="36"/>
      <c r="G392" s="35"/>
    </row>
    <row r="393" spans="5:7" ht="15.75" customHeight="1">
      <c r="E393" s="36"/>
      <c r="G393" s="35"/>
    </row>
    <row r="394" spans="5:7" ht="15.75" customHeight="1">
      <c r="E394" s="36"/>
      <c r="G394" s="35"/>
    </row>
    <row r="395" spans="5:7" ht="15.75" customHeight="1">
      <c r="E395" s="36"/>
      <c r="G395" s="35"/>
    </row>
    <row r="396" spans="5:7" ht="15.75" customHeight="1">
      <c r="E396" s="36"/>
      <c r="G396" s="35"/>
    </row>
    <row r="397" spans="5:7" ht="15.75" customHeight="1">
      <c r="E397" s="36"/>
      <c r="G397" s="35"/>
    </row>
    <row r="398" spans="5:7" ht="15.75" customHeight="1">
      <c r="E398" s="36"/>
      <c r="G398" s="35"/>
    </row>
    <row r="399" spans="5:7" ht="15.75" customHeight="1">
      <c r="E399" s="36"/>
      <c r="G399" s="35"/>
    </row>
    <row r="400" spans="5:7" ht="15.75" customHeight="1">
      <c r="E400" s="36"/>
      <c r="G400" s="35"/>
    </row>
    <row r="401" spans="5:7" ht="15.75" customHeight="1">
      <c r="E401" s="36"/>
      <c r="G401" s="35"/>
    </row>
    <row r="402" spans="5:7" ht="15.75" customHeight="1">
      <c r="E402" s="36"/>
      <c r="G402" s="35"/>
    </row>
    <row r="403" spans="5:7" ht="15.75" customHeight="1">
      <c r="E403" s="36"/>
      <c r="G403" s="35"/>
    </row>
    <row r="404" spans="5:7" ht="15.75" customHeight="1">
      <c r="E404" s="36"/>
      <c r="G404" s="35"/>
    </row>
    <row r="405" spans="5:7" ht="15.75" customHeight="1">
      <c r="E405" s="36"/>
      <c r="G405" s="35"/>
    </row>
    <row r="406" spans="5:7" ht="15.75" customHeight="1">
      <c r="E406" s="36"/>
      <c r="G406" s="35"/>
    </row>
    <row r="407" spans="5:7" ht="15.75" customHeight="1">
      <c r="E407" s="36"/>
      <c r="G407" s="35"/>
    </row>
    <row r="408" spans="5:7" ht="15.75" customHeight="1">
      <c r="E408" s="36"/>
      <c r="G408" s="35"/>
    </row>
    <row r="409" spans="5:7" ht="15.75" customHeight="1">
      <c r="E409" s="36"/>
      <c r="G409" s="35"/>
    </row>
    <row r="410" spans="5:7" ht="15.75" customHeight="1">
      <c r="E410" s="36"/>
      <c r="G410" s="35"/>
    </row>
    <row r="411" spans="5:7" ht="15.75" customHeight="1">
      <c r="E411" s="36"/>
      <c r="G411" s="35"/>
    </row>
    <row r="412" spans="5:7" ht="15.75" customHeight="1">
      <c r="E412" s="36"/>
      <c r="G412" s="35"/>
    </row>
    <row r="413" spans="5:7" ht="15.75" customHeight="1">
      <c r="E413" s="36"/>
      <c r="G413" s="35"/>
    </row>
    <row r="414" spans="5:7" ht="15.75" customHeight="1">
      <c r="E414" s="36"/>
      <c r="G414" s="35"/>
    </row>
    <row r="415" spans="5:7" ht="15.75" customHeight="1">
      <c r="E415" s="36"/>
      <c r="G415" s="35"/>
    </row>
    <row r="416" spans="5:7" ht="15.75" customHeight="1">
      <c r="E416" s="36"/>
      <c r="G416" s="35"/>
    </row>
    <row r="417" spans="5:7" ht="15.75" customHeight="1">
      <c r="E417" s="36"/>
      <c r="G417" s="35"/>
    </row>
    <row r="418" spans="5:7" ht="15.75" customHeight="1">
      <c r="E418" s="36"/>
      <c r="G418" s="35"/>
    </row>
    <row r="419" spans="5:7" ht="15.75" customHeight="1">
      <c r="E419" s="36"/>
      <c r="G419" s="35"/>
    </row>
    <row r="420" spans="5:7" ht="15.75" customHeight="1">
      <c r="E420" s="36"/>
      <c r="G420" s="35"/>
    </row>
    <row r="421" spans="5:7" ht="15.75" customHeight="1">
      <c r="E421" s="36"/>
      <c r="G421" s="35"/>
    </row>
    <row r="422" spans="5:7" ht="15.75" customHeight="1">
      <c r="E422" s="36"/>
      <c r="G422" s="35"/>
    </row>
    <row r="423" spans="5:7" ht="15.75" customHeight="1">
      <c r="E423" s="36"/>
      <c r="G423" s="35"/>
    </row>
    <row r="424" spans="5:7" ht="15.75" customHeight="1">
      <c r="E424" s="36"/>
      <c r="G424" s="35"/>
    </row>
    <row r="425" spans="5:7" ht="15.75" customHeight="1">
      <c r="E425" s="36"/>
      <c r="G425" s="35"/>
    </row>
    <row r="426" spans="5:7" ht="15.75" customHeight="1">
      <c r="E426" s="36"/>
      <c r="G426" s="35"/>
    </row>
    <row r="427" spans="5:7" ht="15.75" customHeight="1">
      <c r="E427" s="36"/>
      <c r="G427" s="35"/>
    </row>
    <row r="428" spans="5:7" ht="15.75" customHeight="1">
      <c r="E428" s="36"/>
      <c r="G428" s="35"/>
    </row>
    <row r="429" spans="5:7" ht="15.75" customHeight="1">
      <c r="E429" s="36"/>
      <c r="G429" s="35"/>
    </row>
    <row r="430" spans="5:7" ht="15.75" customHeight="1">
      <c r="E430" s="36"/>
      <c r="G430" s="35"/>
    </row>
    <row r="431" spans="5:7" ht="15.75" customHeight="1">
      <c r="E431" s="36"/>
      <c r="G431" s="35"/>
    </row>
    <row r="432" spans="5:7" ht="15.75" customHeight="1">
      <c r="E432" s="36"/>
      <c r="G432" s="35"/>
    </row>
    <row r="433" spans="5:7" ht="15.75" customHeight="1">
      <c r="E433" s="36"/>
      <c r="G433" s="35"/>
    </row>
    <row r="434" spans="5:7" ht="15.75" customHeight="1">
      <c r="E434" s="36"/>
      <c r="G434" s="35"/>
    </row>
    <row r="435" spans="5:7" ht="15.75" customHeight="1">
      <c r="E435" s="36"/>
      <c r="G435" s="35"/>
    </row>
    <row r="436" spans="5:7" ht="15.75" customHeight="1">
      <c r="E436" s="36"/>
      <c r="G436" s="35"/>
    </row>
    <row r="437" spans="5:7" ht="15.75" customHeight="1">
      <c r="E437" s="36"/>
      <c r="G437" s="35"/>
    </row>
    <row r="438" spans="5:7" ht="15.75" customHeight="1">
      <c r="E438" s="36"/>
      <c r="G438" s="35"/>
    </row>
    <row r="439" spans="5:7" ht="15.75" customHeight="1">
      <c r="E439" s="36"/>
      <c r="G439" s="35"/>
    </row>
    <row r="440" spans="5:7" ht="15.75" customHeight="1">
      <c r="E440" s="36"/>
      <c r="G440" s="35"/>
    </row>
    <row r="441" spans="5:7" ht="15.75" customHeight="1">
      <c r="E441" s="36"/>
      <c r="G441" s="35"/>
    </row>
    <row r="442" spans="5:7" ht="15.75" customHeight="1">
      <c r="E442" s="36"/>
      <c r="G442" s="35"/>
    </row>
    <row r="443" spans="5:7" ht="15.75" customHeight="1">
      <c r="E443" s="36"/>
      <c r="G443" s="35"/>
    </row>
    <row r="444" spans="5:7" ht="15.75" customHeight="1">
      <c r="E444" s="36"/>
      <c r="G444" s="35"/>
    </row>
    <row r="445" spans="5:7" ht="15.75" customHeight="1">
      <c r="E445" s="36"/>
      <c r="G445" s="35"/>
    </row>
    <row r="446" spans="5:7" ht="15.75" customHeight="1">
      <c r="E446" s="36"/>
      <c r="G446" s="35"/>
    </row>
    <row r="447" spans="5:7" ht="15.75" customHeight="1">
      <c r="E447" s="36"/>
      <c r="G447" s="35"/>
    </row>
    <row r="448" spans="5:7" ht="15.75" customHeight="1">
      <c r="E448" s="36"/>
      <c r="G448" s="35"/>
    </row>
    <row r="449" spans="5:7" ht="15.75" customHeight="1">
      <c r="E449" s="36"/>
      <c r="G449" s="35"/>
    </row>
    <row r="450" spans="5:7" ht="15.75" customHeight="1">
      <c r="E450" s="36"/>
      <c r="G450" s="35"/>
    </row>
    <row r="451" spans="5:7" ht="15.75" customHeight="1">
      <c r="E451" s="36"/>
      <c r="G451" s="35"/>
    </row>
    <row r="452" spans="5:7" ht="15.75" customHeight="1">
      <c r="E452" s="36"/>
      <c r="G452" s="35"/>
    </row>
    <row r="453" spans="5:7" ht="15.75" customHeight="1">
      <c r="E453" s="36"/>
      <c r="G453" s="35"/>
    </row>
    <row r="454" spans="5:7" ht="15.75" customHeight="1">
      <c r="E454" s="36"/>
      <c r="G454" s="35"/>
    </row>
    <row r="455" spans="5:7" ht="15.75" customHeight="1">
      <c r="E455" s="36"/>
      <c r="G455" s="35"/>
    </row>
    <row r="456" spans="5:7" ht="15.75" customHeight="1">
      <c r="E456" s="36"/>
      <c r="G456" s="35"/>
    </row>
    <row r="457" spans="5:7" ht="15.75" customHeight="1">
      <c r="E457" s="36"/>
      <c r="G457" s="35"/>
    </row>
    <row r="458" spans="5:7" ht="15.75" customHeight="1">
      <c r="E458" s="36"/>
      <c r="G458" s="35"/>
    </row>
    <row r="459" spans="5:7" ht="15.75" customHeight="1">
      <c r="E459" s="36"/>
      <c r="G459" s="35"/>
    </row>
    <row r="460" spans="5:7" ht="15.75" customHeight="1">
      <c r="E460" s="36"/>
      <c r="G460" s="35"/>
    </row>
    <row r="461" spans="5:7" ht="15.75" customHeight="1">
      <c r="E461" s="36"/>
      <c r="G461" s="35"/>
    </row>
    <row r="462" spans="5:7" ht="15.75" customHeight="1">
      <c r="E462" s="36"/>
      <c r="G462" s="35"/>
    </row>
    <row r="463" spans="5:7" ht="15.75" customHeight="1">
      <c r="E463" s="36"/>
      <c r="G463" s="35"/>
    </row>
    <row r="464" spans="5:7" ht="15.75" customHeight="1">
      <c r="E464" s="36"/>
      <c r="G464" s="35"/>
    </row>
    <row r="465" spans="5:7" ht="15.75" customHeight="1">
      <c r="E465" s="36"/>
      <c r="G465" s="35"/>
    </row>
    <row r="466" spans="5:7" ht="15.75" customHeight="1">
      <c r="E466" s="36"/>
      <c r="G466" s="35"/>
    </row>
    <row r="467" spans="5:7" ht="15.75" customHeight="1">
      <c r="E467" s="36"/>
      <c r="G467" s="35"/>
    </row>
    <row r="468" spans="5:7" ht="15.75" customHeight="1">
      <c r="E468" s="36"/>
      <c r="G468" s="35"/>
    </row>
    <row r="469" spans="5:7" ht="15.75" customHeight="1">
      <c r="E469" s="36"/>
      <c r="G469" s="35"/>
    </row>
    <row r="470" spans="5:7" ht="15.75" customHeight="1">
      <c r="E470" s="36"/>
      <c r="G470" s="35"/>
    </row>
    <row r="471" spans="5:7" ht="15.75" customHeight="1">
      <c r="E471" s="36"/>
      <c r="G471" s="35"/>
    </row>
    <row r="472" spans="5:7" ht="15.75" customHeight="1">
      <c r="E472" s="36"/>
      <c r="G472" s="35"/>
    </row>
    <row r="473" spans="5:7" ht="15.75" customHeight="1">
      <c r="E473" s="36"/>
      <c r="G473" s="35"/>
    </row>
    <row r="474" spans="5:7" ht="15.75" customHeight="1">
      <c r="E474" s="36"/>
      <c r="G474" s="35"/>
    </row>
    <row r="475" spans="5:7" ht="15.75" customHeight="1">
      <c r="E475" s="36"/>
      <c r="G475" s="35"/>
    </row>
    <row r="476" spans="5:7" ht="15.75" customHeight="1">
      <c r="E476" s="36"/>
      <c r="G476" s="35"/>
    </row>
    <row r="477" spans="5:7" ht="15.75" customHeight="1">
      <c r="E477" s="36"/>
      <c r="G477" s="35"/>
    </row>
    <row r="478" spans="5:7" ht="15.75" customHeight="1">
      <c r="E478" s="36"/>
      <c r="G478" s="35"/>
    </row>
    <row r="479" spans="5:7" ht="15.75" customHeight="1">
      <c r="E479" s="36"/>
      <c r="G479" s="35"/>
    </row>
    <row r="480" spans="5:7" ht="15.75" customHeight="1">
      <c r="E480" s="36"/>
      <c r="G480" s="35"/>
    </row>
    <row r="481" spans="5:7" ht="15.75" customHeight="1">
      <c r="E481" s="36"/>
      <c r="G481" s="35"/>
    </row>
    <row r="482" spans="5:7" ht="15.75" customHeight="1">
      <c r="E482" s="36"/>
      <c r="G482" s="35"/>
    </row>
    <row r="483" spans="5:7" ht="15.75" customHeight="1">
      <c r="E483" s="36"/>
      <c r="G483" s="35"/>
    </row>
    <row r="484" spans="5:7" ht="15.75" customHeight="1">
      <c r="E484" s="36"/>
      <c r="G484" s="35"/>
    </row>
    <row r="485" spans="5:7" ht="15.75" customHeight="1">
      <c r="E485" s="36"/>
      <c r="G485" s="35"/>
    </row>
    <row r="486" spans="5:7" ht="15.75" customHeight="1">
      <c r="E486" s="36"/>
      <c r="G486" s="35"/>
    </row>
    <row r="487" spans="5:7" ht="15.75" customHeight="1">
      <c r="E487" s="36"/>
      <c r="G487" s="35"/>
    </row>
    <row r="488" spans="5:7" ht="15.75" customHeight="1">
      <c r="E488" s="36"/>
      <c r="G488" s="35"/>
    </row>
    <row r="489" spans="5:7" ht="15.75" customHeight="1">
      <c r="E489" s="36"/>
      <c r="G489" s="35"/>
    </row>
    <row r="490" spans="5:7" ht="15.75" customHeight="1">
      <c r="E490" s="36"/>
      <c r="G490" s="35"/>
    </row>
    <row r="491" spans="5:7" ht="15.75" customHeight="1">
      <c r="E491" s="36"/>
      <c r="G491" s="35"/>
    </row>
    <row r="492" spans="5:7" ht="15.75" customHeight="1">
      <c r="E492" s="36"/>
      <c r="G492" s="35"/>
    </row>
    <row r="493" spans="5:7" ht="15.75" customHeight="1">
      <c r="E493" s="36"/>
      <c r="G493" s="35"/>
    </row>
    <row r="494" spans="5:7" ht="15.75" customHeight="1">
      <c r="E494" s="36"/>
      <c r="G494" s="35"/>
    </row>
    <row r="495" spans="5:7" ht="15.75" customHeight="1">
      <c r="E495" s="36"/>
      <c r="G495" s="35"/>
    </row>
    <row r="496" spans="5:7" ht="15.75" customHeight="1">
      <c r="E496" s="36"/>
      <c r="G496" s="35"/>
    </row>
    <row r="497" spans="5:7" ht="15.75" customHeight="1">
      <c r="E497" s="36"/>
      <c r="G497" s="35"/>
    </row>
    <row r="498" spans="5:7" ht="15.75" customHeight="1">
      <c r="E498" s="36"/>
      <c r="G498" s="35"/>
    </row>
    <row r="499" spans="5:7" ht="15.75" customHeight="1">
      <c r="E499" s="36"/>
      <c r="G499" s="35"/>
    </row>
    <row r="500" spans="5:7" ht="15.75" customHeight="1">
      <c r="E500" s="36"/>
      <c r="G500" s="35"/>
    </row>
    <row r="501" spans="5:7" ht="15.75" customHeight="1">
      <c r="E501" s="36"/>
      <c r="G501" s="35"/>
    </row>
    <row r="502" spans="5:7" ht="15.75" customHeight="1">
      <c r="E502" s="36"/>
      <c r="G502" s="35"/>
    </row>
    <row r="503" spans="5:7" ht="15.75" customHeight="1">
      <c r="E503" s="36"/>
      <c r="G503" s="35"/>
    </row>
    <row r="504" spans="5:7" ht="15.75" customHeight="1">
      <c r="E504" s="36"/>
      <c r="G504" s="35"/>
    </row>
    <row r="505" spans="5:7" ht="15.75" customHeight="1">
      <c r="E505" s="36"/>
      <c r="G505" s="35"/>
    </row>
    <row r="506" spans="5:7" ht="15.75" customHeight="1">
      <c r="E506" s="36"/>
      <c r="G506" s="35"/>
    </row>
    <row r="507" spans="5:7" ht="15.75" customHeight="1">
      <c r="E507" s="36"/>
      <c r="G507" s="35"/>
    </row>
    <row r="508" spans="5:7" ht="15.75" customHeight="1">
      <c r="E508" s="36"/>
      <c r="G508" s="35"/>
    </row>
    <row r="509" spans="5:7" ht="15.75" customHeight="1">
      <c r="E509" s="36"/>
      <c r="G509" s="35"/>
    </row>
    <row r="510" spans="5:7" ht="15.75" customHeight="1">
      <c r="E510" s="36"/>
      <c r="G510" s="35"/>
    </row>
    <row r="511" spans="5:7" ht="15.75" customHeight="1">
      <c r="E511" s="36"/>
      <c r="G511" s="35"/>
    </row>
    <row r="512" spans="5:7" ht="15.75" customHeight="1">
      <c r="E512" s="36"/>
      <c r="G512" s="35"/>
    </row>
    <row r="513" spans="5:7" ht="15.75" customHeight="1">
      <c r="E513" s="36"/>
      <c r="G513" s="35"/>
    </row>
    <row r="514" spans="5:7" ht="15.75" customHeight="1">
      <c r="E514" s="36"/>
      <c r="G514" s="35"/>
    </row>
    <row r="515" spans="5:7" ht="15.75" customHeight="1">
      <c r="E515" s="36"/>
      <c r="G515" s="35"/>
    </row>
    <row r="516" spans="5:7" ht="15.75" customHeight="1">
      <c r="E516" s="36"/>
      <c r="G516" s="35"/>
    </row>
    <row r="517" spans="5:7" ht="15.75" customHeight="1">
      <c r="E517" s="36"/>
      <c r="G517" s="35"/>
    </row>
    <row r="518" spans="5:7" ht="15.75" customHeight="1">
      <c r="E518" s="36"/>
      <c r="G518" s="35"/>
    </row>
    <row r="519" spans="5:7" ht="15.75" customHeight="1">
      <c r="E519" s="36"/>
      <c r="G519" s="35"/>
    </row>
    <row r="520" spans="5:7" ht="15.75" customHeight="1">
      <c r="E520" s="36"/>
      <c r="G520" s="35"/>
    </row>
    <row r="521" spans="5:7" ht="15.75" customHeight="1">
      <c r="E521" s="36"/>
      <c r="G521" s="35"/>
    </row>
    <row r="522" spans="5:7" ht="15.75" customHeight="1">
      <c r="E522" s="36"/>
      <c r="G522" s="35"/>
    </row>
    <row r="523" spans="5:7" ht="15.75" customHeight="1">
      <c r="E523" s="36"/>
      <c r="G523" s="35"/>
    </row>
    <row r="524" spans="5:7" ht="15.75" customHeight="1">
      <c r="E524" s="36"/>
      <c r="G524" s="35"/>
    </row>
    <row r="525" spans="5:7" ht="15.75" customHeight="1">
      <c r="E525" s="36"/>
      <c r="G525" s="35"/>
    </row>
    <row r="526" spans="5:7" ht="15.75" customHeight="1">
      <c r="E526" s="36"/>
      <c r="G526" s="35"/>
    </row>
    <row r="527" spans="5:7" ht="15.75" customHeight="1">
      <c r="E527" s="36"/>
      <c r="G527" s="35"/>
    </row>
    <row r="528" spans="5:7" ht="15.75" customHeight="1">
      <c r="E528" s="36"/>
      <c r="G528" s="35"/>
    </row>
    <row r="529" spans="5:7" ht="15.75" customHeight="1">
      <c r="E529" s="36"/>
      <c r="G529" s="35"/>
    </row>
    <row r="530" spans="5:7" ht="15.75" customHeight="1">
      <c r="E530" s="36"/>
      <c r="G530" s="35"/>
    </row>
    <row r="531" spans="5:7" ht="15.75" customHeight="1">
      <c r="E531" s="36"/>
      <c r="G531" s="35"/>
    </row>
    <row r="532" spans="5:7" ht="15.75" customHeight="1">
      <c r="E532" s="36"/>
      <c r="G532" s="35"/>
    </row>
    <row r="533" spans="5:7" ht="15.75" customHeight="1">
      <c r="E533" s="36"/>
      <c r="G533" s="35"/>
    </row>
    <row r="534" spans="5:7" ht="15.75" customHeight="1">
      <c r="E534" s="36"/>
      <c r="G534" s="35"/>
    </row>
    <row r="535" spans="5:7" ht="15.75" customHeight="1">
      <c r="E535" s="36"/>
      <c r="G535" s="35"/>
    </row>
    <row r="536" spans="5:7" ht="15.75" customHeight="1">
      <c r="E536" s="36"/>
      <c r="G536" s="35"/>
    </row>
    <row r="537" spans="5:7" ht="15.75" customHeight="1">
      <c r="E537" s="36"/>
      <c r="G537" s="35"/>
    </row>
    <row r="538" spans="5:7" ht="15.75" customHeight="1">
      <c r="E538" s="36"/>
      <c r="G538" s="35"/>
    </row>
    <row r="539" spans="5:7" ht="15.75" customHeight="1">
      <c r="E539" s="36"/>
      <c r="G539" s="35"/>
    </row>
    <row r="540" spans="5:7" ht="15.75" customHeight="1">
      <c r="E540" s="36"/>
      <c r="G540" s="35"/>
    </row>
    <row r="541" spans="5:7" ht="15.75" customHeight="1">
      <c r="E541" s="36"/>
      <c r="G541" s="35"/>
    </row>
    <row r="542" spans="5:7" ht="15.75" customHeight="1">
      <c r="E542" s="36"/>
      <c r="G542" s="35"/>
    </row>
    <row r="543" spans="5:7" ht="15.75" customHeight="1">
      <c r="E543" s="36"/>
      <c r="G543" s="35"/>
    </row>
    <row r="544" spans="5:7" ht="15.75" customHeight="1">
      <c r="E544" s="36"/>
      <c r="G544" s="35"/>
    </row>
    <row r="545" spans="5:7" ht="15.75" customHeight="1">
      <c r="E545" s="36"/>
      <c r="G545" s="35"/>
    </row>
    <row r="546" spans="5:7" ht="15.75" customHeight="1">
      <c r="E546" s="36"/>
      <c r="G546" s="35"/>
    </row>
    <row r="547" spans="5:7" ht="15.75" customHeight="1">
      <c r="E547" s="36"/>
      <c r="G547" s="35"/>
    </row>
    <row r="548" spans="5:7" ht="15.75" customHeight="1">
      <c r="E548" s="36"/>
      <c r="G548" s="35"/>
    </row>
    <row r="549" spans="5:7" ht="15.75" customHeight="1">
      <c r="E549" s="36"/>
      <c r="G549" s="35"/>
    </row>
    <row r="550" spans="5:7" ht="15.75" customHeight="1">
      <c r="E550" s="36"/>
      <c r="G550" s="35"/>
    </row>
    <row r="551" spans="5:7" ht="15.75" customHeight="1">
      <c r="E551" s="36"/>
      <c r="G551" s="35"/>
    </row>
    <row r="552" spans="5:7" ht="15.75" customHeight="1">
      <c r="E552" s="36"/>
      <c r="G552" s="35"/>
    </row>
    <row r="553" spans="5:7" ht="15.75" customHeight="1">
      <c r="E553" s="36"/>
      <c r="G553" s="35"/>
    </row>
    <row r="554" spans="5:7" ht="15.75" customHeight="1">
      <c r="E554" s="36"/>
      <c r="G554" s="35"/>
    </row>
    <row r="555" spans="5:7" ht="15.75" customHeight="1">
      <c r="E555" s="36"/>
      <c r="G555" s="35"/>
    </row>
    <row r="556" spans="5:7" ht="15.75" customHeight="1">
      <c r="E556" s="36"/>
      <c r="G556" s="35"/>
    </row>
    <row r="557" spans="5:7" ht="15.75" customHeight="1">
      <c r="E557" s="36"/>
      <c r="G557" s="35"/>
    </row>
    <row r="558" spans="5:7" ht="15.75" customHeight="1">
      <c r="E558" s="36"/>
      <c r="G558" s="35"/>
    </row>
    <row r="559" spans="5:7" ht="15.75" customHeight="1">
      <c r="E559" s="36"/>
      <c r="G559" s="35"/>
    </row>
    <row r="560" spans="5:7" ht="15.75" customHeight="1">
      <c r="E560" s="36"/>
      <c r="G560" s="35"/>
    </row>
    <row r="561" spans="5:7" ht="15.75" customHeight="1">
      <c r="E561" s="36"/>
      <c r="G561" s="35"/>
    </row>
    <row r="562" spans="5:7" ht="15.75" customHeight="1">
      <c r="E562" s="36"/>
      <c r="G562" s="35"/>
    </row>
    <row r="563" spans="5:7" ht="15.75" customHeight="1">
      <c r="E563" s="36"/>
      <c r="G563" s="35"/>
    </row>
    <row r="564" spans="5:7" ht="15.75" customHeight="1">
      <c r="E564" s="36"/>
      <c r="G564" s="35"/>
    </row>
    <row r="565" spans="5:7" ht="15.75" customHeight="1">
      <c r="E565" s="36"/>
      <c r="G565" s="35"/>
    </row>
    <row r="566" spans="5:7" ht="15.75" customHeight="1">
      <c r="E566" s="36"/>
      <c r="G566" s="35"/>
    </row>
    <row r="567" spans="5:7" ht="15.75" customHeight="1">
      <c r="E567" s="36"/>
      <c r="G567" s="35"/>
    </row>
    <row r="568" spans="5:7" ht="15.75" customHeight="1">
      <c r="E568" s="36"/>
      <c r="G568" s="35"/>
    </row>
    <row r="569" spans="5:7" ht="15.75" customHeight="1">
      <c r="E569" s="36"/>
      <c r="G569" s="35"/>
    </row>
    <row r="570" spans="5:7" ht="15.75" customHeight="1">
      <c r="E570" s="36"/>
      <c r="G570" s="35"/>
    </row>
    <row r="571" spans="5:7" ht="15.75" customHeight="1">
      <c r="E571" s="36"/>
      <c r="G571" s="35"/>
    </row>
    <row r="572" spans="5:7" ht="15.75" customHeight="1">
      <c r="E572" s="36"/>
      <c r="G572" s="35"/>
    </row>
    <row r="573" spans="5:7" ht="15.75" customHeight="1">
      <c r="E573" s="36"/>
      <c r="G573" s="35"/>
    </row>
    <row r="574" spans="5:7" ht="15.75" customHeight="1">
      <c r="E574" s="36"/>
      <c r="G574" s="35"/>
    </row>
    <row r="575" spans="5:7" ht="15.75" customHeight="1">
      <c r="E575" s="36"/>
      <c r="G575" s="35"/>
    </row>
    <row r="576" spans="5:7" ht="15.75" customHeight="1">
      <c r="E576" s="36"/>
      <c r="G576" s="35"/>
    </row>
    <row r="577" spans="5:7" ht="15.75" customHeight="1">
      <c r="E577" s="36"/>
      <c r="G577" s="35"/>
    </row>
    <row r="578" spans="5:7" ht="15.75" customHeight="1">
      <c r="E578" s="36"/>
      <c r="G578" s="35"/>
    </row>
    <row r="579" spans="5:7" ht="15.75" customHeight="1">
      <c r="E579" s="36"/>
      <c r="G579" s="35"/>
    </row>
    <row r="580" spans="5:7" ht="15.75" customHeight="1">
      <c r="E580" s="36"/>
      <c r="G580" s="35"/>
    </row>
    <row r="581" spans="5:7" ht="15.75" customHeight="1">
      <c r="E581" s="36"/>
      <c r="G581" s="35"/>
    </row>
    <row r="582" spans="5:7" ht="15.75" customHeight="1">
      <c r="E582" s="36"/>
      <c r="G582" s="35"/>
    </row>
    <row r="583" spans="5:7" ht="15.75" customHeight="1">
      <c r="E583" s="36"/>
      <c r="G583" s="35"/>
    </row>
    <row r="584" spans="5:7" ht="15.75" customHeight="1">
      <c r="E584" s="36"/>
      <c r="G584" s="35"/>
    </row>
    <row r="585" spans="5:7" ht="15.75" customHeight="1">
      <c r="E585" s="36"/>
      <c r="G585" s="35"/>
    </row>
    <row r="586" spans="5:7" ht="15.75" customHeight="1">
      <c r="E586" s="36"/>
      <c r="G586" s="35"/>
    </row>
    <row r="587" spans="5:7" ht="15.75" customHeight="1">
      <c r="E587" s="36"/>
      <c r="G587" s="35"/>
    </row>
    <row r="588" spans="5:7" ht="15.75" customHeight="1">
      <c r="E588" s="36"/>
      <c r="G588" s="35"/>
    </row>
    <row r="589" spans="5:7" ht="15.75" customHeight="1">
      <c r="E589" s="36"/>
      <c r="G589" s="35"/>
    </row>
    <row r="590" spans="5:7" ht="15.75" customHeight="1">
      <c r="E590" s="36"/>
      <c r="G590" s="35"/>
    </row>
    <row r="591" spans="5:7" ht="15.75" customHeight="1">
      <c r="E591" s="36"/>
      <c r="G591" s="35"/>
    </row>
    <row r="592" spans="5:7" ht="15.75" customHeight="1">
      <c r="E592" s="36"/>
      <c r="G592" s="35"/>
    </row>
    <row r="593" spans="5:7" ht="15.75" customHeight="1">
      <c r="E593" s="36"/>
      <c r="G593" s="35"/>
    </row>
    <row r="594" spans="5:7" ht="15.75" customHeight="1">
      <c r="E594" s="36"/>
      <c r="G594" s="35"/>
    </row>
    <row r="595" spans="5:7" ht="15.75" customHeight="1">
      <c r="E595" s="36"/>
      <c r="G595" s="35"/>
    </row>
    <row r="596" spans="5:7" ht="15.75" customHeight="1">
      <c r="E596" s="36"/>
      <c r="G596" s="35"/>
    </row>
    <row r="597" spans="5:7" ht="15.75" customHeight="1">
      <c r="E597" s="36"/>
      <c r="G597" s="35"/>
    </row>
    <row r="598" spans="5:7" ht="15.75" customHeight="1">
      <c r="E598" s="36"/>
      <c r="G598" s="35"/>
    </row>
    <row r="599" spans="5:7" ht="15.75" customHeight="1">
      <c r="E599" s="36"/>
      <c r="G599" s="35"/>
    </row>
    <row r="600" spans="5:7" ht="15.75" customHeight="1">
      <c r="E600" s="36"/>
      <c r="G600" s="35"/>
    </row>
    <row r="601" spans="5:7" ht="15.75" customHeight="1">
      <c r="E601" s="36"/>
      <c r="G601" s="35"/>
    </row>
    <row r="602" spans="5:7" ht="15.75" customHeight="1">
      <c r="E602" s="36"/>
      <c r="G602" s="35"/>
    </row>
    <row r="603" spans="5:7" ht="15.75" customHeight="1">
      <c r="E603" s="36"/>
      <c r="G603" s="35"/>
    </row>
    <row r="604" spans="5:7" ht="15.75" customHeight="1">
      <c r="E604" s="36"/>
      <c r="G604" s="35"/>
    </row>
    <row r="605" spans="5:7" ht="15.75" customHeight="1">
      <c r="E605" s="36"/>
      <c r="G605" s="35"/>
    </row>
    <row r="606" spans="5:7" ht="15.75" customHeight="1">
      <c r="E606" s="36"/>
      <c r="G606" s="35"/>
    </row>
    <row r="607" spans="5:7" ht="15.75" customHeight="1">
      <c r="E607" s="36"/>
      <c r="G607" s="35"/>
    </row>
    <row r="608" spans="5:7" ht="15.75" customHeight="1">
      <c r="E608" s="36"/>
      <c r="G608" s="35"/>
    </row>
    <row r="609" spans="5:7" ht="15.75" customHeight="1">
      <c r="E609" s="36"/>
      <c r="G609" s="35"/>
    </row>
    <row r="610" spans="5:7" ht="15.75" customHeight="1">
      <c r="E610" s="36"/>
      <c r="G610" s="35"/>
    </row>
    <row r="611" spans="5:7" ht="15.75" customHeight="1">
      <c r="E611" s="36"/>
      <c r="G611" s="35"/>
    </row>
    <row r="612" spans="5:7" ht="15.75" customHeight="1">
      <c r="E612" s="36"/>
      <c r="G612" s="35"/>
    </row>
    <row r="613" spans="5:7" ht="15.75" customHeight="1">
      <c r="E613" s="36"/>
      <c r="G613" s="35"/>
    </row>
    <row r="614" spans="5:7" ht="15.75" customHeight="1">
      <c r="E614" s="36"/>
      <c r="G614" s="35"/>
    </row>
    <row r="615" spans="5:7" ht="15.75" customHeight="1">
      <c r="E615" s="36"/>
      <c r="G615" s="35"/>
    </row>
    <row r="616" spans="5:7" ht="15.75" customHeight="1">
      <c r="E616" s="36"/>
      <c r="G616" s="35"/>
    </row>
    <row r="617" spans="5:7" ht="15.75" customHeight="1">
      <c r="E617" s="36"/>
      <c r="G617" s="35"/>
    </row>
    <row r="618" spans="5:7" ht="15.75" customHeight="1">
      <c r="E618" s="36"/>
      <c r="G618" s="35"/>
    </row>
    <row r="619" spans="5:7" ht="15.75" customHeight="1">
      <c r="E619" s="36"/>
      <c r="G619" s="35"/>
    </row>
    <row r="620" spans="5:7" ht="15.75" customHeight="1">
      <c r="E620" s="36"/>
      <c r="G620" s="35"/>
    </row>
    <row r="621" spans="5:7" ht="15.75" customHeight="1">
      <c r="E621" s="36"/>
      <c r="G621" s="35"/>
    </row>
    <row r="622" spans="5:7" ht="15.75" customHeight="1">
      <c r="E622" s="36"/>
      <c r="G622" s="35"/>
    </row>
    <row r="623" spans="5:7" ht="15.75" customHeight="1">
      <c r="E623" s="36"/>
      <c r="G623" s="35"/>
    </row>
    <row r="624" spans="5:7" ht="15.75" customHeight="1">
      <c r="E624" s="36"/>
      <c r="G624" s="35"/>
    </row>
    <row r="625" spans="5:7" ht="15.75" customHeight="1">
      <c r="E625" s="36"/>
      <c r="G625" s="35"/>
    </row>
    <row r="626" spans="5:7" ht="15.75" customHeight="1">
      <c r="E626" s="36"/>
      <c r="G626" s="35"/>
    </row>
    <row r="627" spans="5:7" ht="15.75" customHeight="1">
      <c r="E627" s="36"/>
      <c r="G627" s="35"/>
    </row>
    <row r="628" spans="5:7" ht="15.75" customHeight="1">
      <c r="E628" s="36"/>
      <c r="G628" s="35"/>
    </row>
    <row r="629" spans="5:7" ht="15.75" customHeight="1">
      <c r="E629" s="36"/>
      <c r="G629" s="35"/>
    </row>
    <row r="630" spans="5:7" ht="15.75" customHeight="1">
      <c r="E630" s="36"/>
      <c r="G630" s="35"/>
    </row>
    <row r="631" spans="5:7" ht="15.75" customHeight="1">
      <c r="E631" s="36"/>
      <c r="G631" s="35"/>
    </row>
    <row r="632" spans="5:7" ht="15.75" customHeight="1">
      <c r="E632" s="36"/>
      <c r="G632" s="35"/>
    </row>
    <row r="633" spans="5:7" ht="15.75" customHeight="1">
      <c r="E633" s="36"/>
      <c r="G633" s="35"/>
    </row>
    <row r="634" spans="5:7" ht="15.75" customHeight="1">
      <c r="E634" s="36"/>
      <c r="G634" s="35"/>
    </row>
    <row r="635" spans="5:7" ht="15.75" customHeight="1">
      <c r="E635" s="36"/>
      <c r="G635" s="35"/>
    </row>
    <row r="636" spans="5:7" ht="15.75" customHeight="1">
      <c r="E636" s="36"/>
      <c r="G636" s="35"/>
    </row>
    <row r="637" spans="5:7" ht="15.75" customHeight="1">
      <c r="E637" s="36"/>
      <c r="G637" s="35"/>
    </row>
    <row r="638" spans="5:7" ht="15.75" customHeight="1">
      <c r="E638" s="36"/>
      <c r="G638" s="35"/>
    </row>
    <row r="639" spans="5:7" ht="15.75" customHeight="1">
      <c r="E639" s="36"/>
      <c r="G639" s="35"/>
    </row>
    <row r="640" spans="5:7" ht="15.75" customHeight="1">
      <c r="E640" s="36"/>
      <c r="G640" s="35"/>
    </row>
    <row r="641" spans="5:7" ht="15.75" customHeight="1">
      <c r="E641" s="36"/>
      <c r="G641" s="35"/>
    </row>
    <row r="642" spans="5:7" ht="15.75" customHeight="1">
      <c r="E642" s="36"/>
      <c r="G642" s="35"/>
    </row>
    <row r="643" spans="5:7" ht="15.75" customHeight="1">
      <c r="E643" s="36"/>
      <c r="G643" s="35"/>
    </row>
    <row r="644" spans="5:7" ht="15.75" customHeight="1">
      <c r="E644" s="36"/>
      <c r="G644" s="35"/>
    </row>
    <row r="645" spans="5:7" ht="15.75" customHeight="1">
      <c r="E645" s="36"/>
      <c r="G645" s="35"/>
    </row>
    <row r="646" spans="5:7" ht="15.75" customHeight="1">
      <c r="E646" s="36"/>
      <c r="G646" s="35"/>
    </row>
    <row r="647" spans="5:7" ht="15.75" customHeight="1">
      <c r="E647" s="36"/>
      <c r="G647" s="35"/>
    </row>
    <row r="648" spans="5:7" ht="15.75" customHeight="1">
      <c r="E648" s="36"/>
      <c r="G648" s="35"/>
    </row>
    <row r="649" spans="5:7" ht="15.75" customHeight="1">
      <c r="E649" s="36"/>
      <c r="G649" s="35"/>
    </row>
    <row r="650" spans="5:7" ht="15.75" customHeight="1">
      <c r="E650" s="36"/>
      <c r="G650" s="35"/>
    </row>
    <row r="651" spans="5:7" ht="15.75" customHeight="1">
      <c r="E651" s="36"/>
      <c r="G651" s="35"/>
    </row>
    <row r="652" spans="5:7" ht="15.75" customHeight="1">
      <c r="E652" s="36"/>
      <c r="G652" s="35"/>
    </row>
    <row r="653" spans="5:7" ht="15.75" customHeight="1">
      <c r="E653" s="36"/>
      <c r="G653" s="35"/>
    </row>
    <row r="654" spans="5:7" ht="15.75" customHeight="1">
      <c r="E654" s="36"/>
      <c r="G654" s="35"/>
    </row>
    <row r="655" spans="5:7" ht="15.75" customHeight="1">
      <c r="E655" s="36"/>
      <c r="G655" s="35"/>
    </row>
    <row r="656" spans="5:7" ht="15.75" customHeight="1">
      <c r="E656" s="36"/>
      <c r="G656" s="35"/>
    </row>
    <row r="657" spans="5:7" ht="15.75" customHeight="1">
      <c r="E657" s="36"/>
      <c r="G657" s="35"/>
    </row>
    <row r="658" spans="5:7" ht="15.75" customHeight="1">
      <c r="E658" s="36"/>
      <c r="G658" s="35"/>
    </row>
    <row r="659" spans="5:7" ht="15.75" customHeight="1">
      <c r="E659" s="36"/>
      <c r="G659" s="35"/>
    </row>
    <row r="660" spans="5:7" ht="15.75" customHeight="1">
      <c r="E660" s="36"/>
      <c r="G660" s="35"/>
    </row>
    <row r="661" spans="5:7" ht="15.75" customHeight="1">
      <c r="E661" s="36"/>
      <c r="G661" s="35"/>
    </row>
    <row r="662" spans="5:7" ht="15.75" customHeight="1">
      <c r="E662" s="36"/>
      <c r="G662" s="35"/>
    </row>
    <row r="663" spans="5:7" ht="15.75" customHeight="1">
      <c r="E663" s="36"/>
      <c r="G663" s="35"/>
    </row>
    <row r="664" spans="5:7" ht="15.75" customHeight="1">
      <c r="E664" s="36"/>
      <c r="G664" s="35"/>
    </row>
    <row r="665" spans="5:7" ht="15.75" customHeight="1">
      <c r="E665" s="36"/>
      <c r="G665" s="35"/>
    </row>
    <row r="666" spans="5:7" ht="15.75" customHeight="1">
      <c r="E666" s="36"/>
      <c r="G666" s="35"/>
    </row>
    <row r="667" spans="5:7" ht="15.75" customHeight="1">
      <c r="E667" s="36"/>
      <c r="G667" s="35"/>
    </row>
    <row r="668" spans="5:7" ht="15.75" customHeight="1">
      <c r="E668" s="36"/>
      <c r="G668" s="35"/>
    </row>
    <row r="669" spans="5:7" ht="15.75" customHeight="1">
      <c r="E669" s="36"/>
      <c r="G669" s="35"/>
    </row>
    <row r="670" spans="5:7" ht="15.75" customHeight="1">
      <c r="E670" s="36"/>
      <c r="G670" s="35"/>
    </row>
    <row r="671" spans="5:7" ht="15.75" customHeight="1">
      <c r="E671" s="36"/>
      <c r="G671" s="35"/>
    </row>
    <row r="672" spans="5:7" ht="15.75" customHeight="1">
      <c r="E672" s="36"/>
      <c r="G672" s="35"/>
    </row>
    <row r="673" spans="5:7" ht="15.75" customHeight="1">
      <c r="E673" s="36"/>
      <c r="G673" s="35"/>
    </row>
    <row r="674" spans="5:7" ht="15.75" customHeight="1">
      <c r="E674" s="36"/>
      <c r="G674" s="35"/>
    </row>
    <row r="675" spans="5:7" ht="15.75" customHeight="1">
      <c r="E675" s="36"/>
      <c r="G675" s="35"/>
    </row>
    <row r="676" spans="5:7" ht="15.75" customHeight="1">
      <c r="E676" s="36"/>
      <c r="G676" s="35"/>
    </row>
    <row r="677" spans="5:7" ht="15.75" customHeight="1">
      <c r="E677" s="36"/>
      <c r="G677" s="35"/>
    </row>
    <row r="678" spans="5:7" ht="15.75" customHeight="1">
      <c r="E678" s="36"/>
      <c r="G678" s="35"/>
    </row>
    <row r="679" spans="5:7" ht="15.75" customHeight="1">
      <c r="E679" s="36"/>
      <c r="G679" s="35"/>
    </row>
    <row r="680" spans="5:7" ht="15.75" customHeight="1">
      <c r="E680" s="36"/>
      <c r="G680" s="35"/>
    </row>
    <row r="681" spans="5:7" ht="15.75" customHeight="1">
      <c r="E681" s="36"/>
      <c r="G681" s="35"/>
    </row>
    <row r="682" spans="5:7" ht="15.75" customHeight="1">
      <c r="E682" s="36"/>
      <c r="G682" s="35"/>
    </row>
    <row r="683" spans="5:7" ht="15.75" customHeight="1">
      <c r="E683" s="36"/>
      <c r="G683" s="35"/>
    </row>
    <row r="684" spans="5:7" ht="15.75" customHeight="1">
      <c r="E684" s="36"/>
      <c r="G684" s="35"/>
    </row>
    <row r="685" spans="5:7" ht="15.75" customHeight="1">
      <c r="E685" s="36"/>
      <c r="G685" s="35"/>
    </row>
    <row r="686" spans="5:7" ht="15.75" customHeight="1">
      <c r="E686" s="36"/>
      <c r="G686" s="35"/>
    </row>
    <row r="687" spans="5:7" ht="15.75" customHeight="1">
      <c r="E687" s="36"/>
      <c r="G687" s="35"/>
    </row>
    <row r="688" spans="5:7" ht="15.75" customHeight="1">
      <c r="E688" s="36"/>
      <c r="G688" s="35"/>
    </row>
    <row r="689" spans="5:7" ht="15.75" customHeight="1">
      <c r="E689" s="36"/>
      <c r="G689" s="35"/>
    </row>
    <row r="690" spans="5:7" ht="15.75" customHeight="1">
      <c r="E690" s="36"/>
      <c r="G690" s="35"/>
    </row>
    <row r="691" spans="5:7" ht="15.75" customHeight="1">
      <c r="E691" s="36"/>
      <c r="G691" s="35"/>
    </row>
    <row r="692" spans="5:7" ht="15.75" customHeight="1">
      <c r="E692" s="36"/>
      <c r="G692" s="35"/>
    </row>
    <row r="693" spans="5:7" ht="15.75" customHeight="1">
      <c r="E693" s="36"/>
      <c r="G693" s="35"/>
    </row>
    <row r="694" spans="5:7" ht="15.75" customHeight="1">
      <c r="E694" s="36"/>
      <c r="G694" s="35"/>
    </row>
    <row r="695" spans="5:7" ht="15.75" customHeight="1">
      <c r="E695" s="36"/>
      <c r="G695" s="35"/>
    </row>
    <row r="696" spans="5:7" ht="15.75" customHeight="1">
      <c r="E696" s="36"/>
      <c r="G696" s="35"/>
    </row>
    <row r="697" spans="5:7" ht="15.75" customHeight="1">
      <c r="E697" s="36"/>
      <c r="G697" s="35"/>
    </row>
    <row r="698" spans="5:7" ht="15.75" customHeight="1">
      <c r="E698" s="36"/>
      <c r="G698" s="35"/>
    </row>
    <row r="699" spans="5:7" ht="15.75" customHeight="1">
      <c r="E699" s="36"/>
      <c r="G699" s="35"/>
    </row>
    <row r="700" spans="5:7" ht="15.75" customHeight="1">
      <c r="E700" s="36"/>
      <c r="G700" s="35"/>
    </row>
    <row r="701" spans="5:7" ht="15.75" customHeight="1">
      <c r="E701" s="36"/>
      <c r="G701" s="35"/>
    </row>
    <row r="702" spans="5:7" ht="15.75" customHeight="1">
      <c r="E702" s="36"/>
      <c r="G702" s="35"/>
    </row>
    <row r="703" spans="5:7" ht="15.75" customHeight="1">
      <c r="E703" s="36"/>
      <c r="G703" s="35"/>
    </row>
    <row r="704" spans="5:7" ht="15.75" customHeight="1">
      <c r="E704" s="36"/>
      <c r="G704" s="35"/>
    </row>
    <row r="705" spans="5:7" ht="15.75" customHeight="1">
      <c r="E705" s="36"/>
      <c r="G705" s="35"/>
    </row>
    <row r="706" spans="5:7" ht="15.75" customHeight="1">
      <c r="E706" s="36"/>
      <c r="G706" s="35"/>
    </row>
    <row r="707" spans="5:7" ht="15.75" customHeight="1">
      <c r="E707" s="36"/>
      <c r="G707" s="35"/>
    </row>
    <row r="708" spans="5:7" ht="15.75" customHeight="1">
      <c r="E708" s="36"/>
      <c r="G708" s="35"/>
    </row>
    <row r="709" spans="5:7" ht="15.75" customHeight="1">
      <c r="E709" s="36"/>
      <c r="G709" s="35"/>
    </row>
    <row r="710" spans="5:7" ht="15.75" customHeight="1">
      <c r="E710" s="36"/>
      <c r="G710" s="35"/>
    </row>
    <row r="711" spans="5:7" ht="15.75" customHeight="1">
      <c r="E711" s="36"/>
      <c r="G711" s="35"/>
    </row>
    <row r="712" spans="5:7" ht="15.75" customHeight="1">
      <c r="E712" s="36"/>
      <c r="G712" s="35"/>
    </row>
    <row r="713" spans="5:7" ht="15.75" customHeight="1">
      <c r="E713" s="36"/>
      <c r="G713" s="35"/>
    </row>
    <row r="714" spans="5:7" ht="15.75" customHeight="1">
      <c r="E714" s="36"/>
      <c r="G714" s="35"/>
    </row>
    <row r="715" spans="5:7" ht="15.75" customHeight="1">
      <c r="E715" s="36"/>
      <c r="G715" s="35"/>
    </row>
    <row r="716" spans="5:7" ht="15.75" customHeight="1">
      <c r="E716" s="36"/>
      <c r="G716" s="35"/>
    </row>
    <row r="717" spans="5:7" ht="15.75" customHeight="1">
      <c r="E717" s="36"/>
      <c r="G717" s="35"/>
    </row>
    <row r="718" spans="5:7" ht="15.75" customHeight="1">
      <c r="E718" s="36"/>
      <c r="G718" s="35"/>
    </row>
    <row r="719" spans="5:7" ht="15.75" customHeight="1">
      <c r="E719" s="36"/>
      <c r="G719" s="35"/>
    </row>
    <row r="720" spans="5:7" ht="15.75" customHeight="1">
      <c r="E720" s="36"/>
      <c r="G720" s="35"/>
    </row>
    <row r="721" spans="5:7" ht="15.75" customHeight="1">
      <c r="E721" s="36"/>
      <c r="G721" s="35"/>
    </row>
    <row r="722" spans="5:7" ht="15.75" customHeight="1">
      <c r="E722" s="36"/>
      <c r="G722" s="35"/>
    </row>
    <row r="723" spans="5:7" ht="15.75" customHeight="1">
      <c r="E723" s="36"/>
      <c r="G723" s="35"/>
    </row>
    <row r="724" spans="5:7" ht="15.75" customHeight="1">
      <c r="E724" s="36"/>
      <c r="G724" s="35"/>
    </row>
    <row r="725" spans="5:7" ht="15.75" customHeight="1">
      <c r="E725" s="36"/>
      <c r="G725" s="35"/>
    </row>
    <row r="726" spans="5:7" ht="15.75" customHeight="1">
      <c r="E726" s="36"/>
      <c r="G726" s="35"/>
    </row>
    <row r="727" spans="5:7" ht="15.75" customHeight="1">
      <c r="E727" s="36"/>
      <c r="G727" s="35"/>
    </row>
    <row r="728" spans="5:7" ht="15.75" customHeight="1">
      <c r="E728" s="36"/>
      <c r="G728" s="35"/>
    </row>
    <row r="729" spans="5:7" ht="15.75" customHeight="1">
      <c r="E729" s="36"/>
      <c r="G729" s="35"/>
    </row>
    <row r="730" spans="5:7" ht="15.75" customHeight="1">
      <c r="E730" s="36"/>
      <c r="G730" s="35"/>
    </row>
    <row r="731" spans="5:7" ht="15.75" customHeight="1">
      <c r="E731" s="36"/>
      <c r="G731" s="35"/>
    </row>
    <row r="732" spans="5:7" ht="15.75" customHeight="1">
      <c r="E732" s="36"/>
      <c r="G732" s="35"/>
    </row>
    <row r="733" spans="5:7" ht="15.75" customHeight="1">
      <c r="E733" s="36"/>
      <c r="G733" s="35"/>
    </row>
    <row r="734" spans="5:7" ht="15.75" customHeight="1">
      <c r="E734" s="36"/>
      <c r="G734" s="35"/>
    </row>
    <row r="735" spans="5:7" ht="15.75" customHeight="1">
      <c r="E735" s="36"/>
      <c r="G735" s="35"/>
    </row>
    <row r="736" spans="5:7" ht="15.75" customHeight="1">
      <c r="E736" s="36"/>
      <c r="G736" s="35"/>
    </row>
    <row r="737" spans="5:7" ht="15.75" customHeight="1">
      <c r="E737" s="36"/>
      <c r="G737" s="35"/>
    </row>
    <row r="738" spans="5:7" ht="15.75" customHeight="1">
      <c r="E738" s="36"/>
      <c r="G738" s="35"/>
    </row>
    <row r="739" spans="5:7" ht="15.75" customHeight="1">
      <c r="E739" s="36"/>
      <c r="G739" s="35"/>
    </row>
    <row r="740" spans="5:7" ht="15.75" customHeight="1">
      <c r="E740" s="36"/>
      <c r="G740" s="35"/>
    </row>
    <row r="741" spans="5:7" ht="15.75" customHeight="1">
      <c r="E741" s="36"/>
      <c r="G741" s="35"/>
    </row>
    <row r="742" spans="5:7" ht="15.75" customHeight="1">
      <c r="E742" s="36"/>
      <c r="G742" s="35"/>
    </row>
    <row r="743" spans="5:7" ht="15.75" customHeight="1">
      <c r="E743" s="36"/>
      <c r="G743" s="35"/>
    </row>
    <row r="744" spans="5:7" ht="15.75" customHeight="1">
      <c r="E744" s="36"/>
      <c r="G744" s="35"/>
    </row>
    <row r="745" spans="5:7" ht="15.75" customHeight="1">
      <c r="E745" s="36"/>
      <c r="G745" s="35"/>
    </row>
    <row r="746" spans="5:7" ht="15.75" customHeight="1">
      <c r="E746" s="36"/>
      <c r="G746" s="35"/>
    </row>
    <row r="747" spans="5:7" ht="15.75" customHeight="1">
      <c r="E747" s="36"/>
      <c r="G747" s="35"/>
    </row>
    <row r="748" spans="5:7" ht="15.75" customHeight="1">
      <c r="E748" s="36"/>
      <c r="G748" s="35"/>
    </row>
    <row r="749" spans="5:7" ht="15.75" customHeight="1">
      <c r="E749" s="36"/>
      <c r="G749" s="35"/>
    </row>
    <row r="750" spans="5:7" ht="15.75" customHeight="1">
      <c r="E750" s="36"/>
      <c r="G750" s="35"/>
    </row>
    <row r="751" spans="5:7" ht="15.75" customHeight="1">
      <c r="E751" s="36"/>
      <c r="G751" s="35"/>
    </row>
    <row r="752" spans="5:7" ht="15.75" customHeight="1">
      <c r="E752" s="36"/>
      <c r="G752" s="35"/>
    </row>
    <row r="753" spans="5:7" ht="15.75" customHeight="1">
      <c r="E753" s="36"/>
      <c r="G753" s="35"/>
    </row>
    <row r="754" spans="5:7" ht="15.75" customHeight="1">
      <c r="E754" s="36"/>
      <c r="G754" s="35"/>
    </row>
    <row r="755" spans="5:7" ht="15.75" customHeight="1">
      <c r="E755" s="36"/>
      <c r="G755" s="35"/>
    </row>
    <row r="756" spans="5:7" ht="15.75" customHeight="1">
      <c r="E756" s="36"/>
      <c r="G756" s="35"/>
    </row>
    <row r="757" spans="5:7" ht="15.75" customHeight="1">
      <c r="E757" s="36"/>
      <c r="G757" s="35"/>
    </row>
    <row r="758" spans="5:7" ht="15.75" customHeight="1">
      <c r="E758" s="36"/>
      <c r="G758" s="35"/>
    </row>
    <row r="759" spans="5:7" ht="15.75" customHeight="1">
      <c r="E759" s="36"/>
      <c r="G759" s="35"/>
    </row>
    <row r="760" spans="5:7" ht="15.75" customHeight="1">
      <c r="E760" s="36"/>
      <c r="G760" s="35"/>
    </row>
    <row r="761" spans="5:7" ht="15.75" customHeight="1">
      <c r="E761" s="36"/>
      <c r="G761" s="35"/>
    </row>
    <row r="762" spans="5:7" ht="15.75" customHeight="1">
      <c r="E762" s="36"/>
      <c r="G762" s="35"/>
    </row>
    <row r="763" spans="5:7" ht="15.75" customHeight="1">
      <c r="E763" s="36"/>
      <c r="G763" s="35"/>
    </row>
    <row r="764" spans="5:7" ht="15.75" customHeight="1">
      <c r="E764" s="36"/>
      <c r="G764" s="35"/>
    </row>
    <row r="765" spans="5:7" ht="15.75" customHeight="1">
      <c r="E765" s="36"/>
      <c r="G765" s="35"/>
    </row>
    <row r="766" spans="5:7" ht="15.75" customHeight="1">
      <c r="E766" s="36"/>
      <c r="G766" s="35"/>
    </row>
    <row r="767" spans="5:7" ht="15.75" customHeight="1">
      <c r="E767" s="36"/>
      <c r="G767" s="35"/>
    </row>
    <row r="768" spans="5:7" ht="15.75" customHeight="1">
      <c r="E768" s="36"/>
      <c r="G768" s="35"/>
    </row>
    <row r="769" spans="5:7" ht="15.75" customHeight="1">
      <c r="E769" s="36"/>
      <c r="G769" s="35"/>
    </row>
    <row r="770" spans="5:7" ht="15.75" customHeight="1">
      <c r="E770" s="36"/>
      <c r="G770" s="35"/>
    </row>
    <row r="771" spans="5:7" ht="15.75" customHeight="1">
      <c r="E771" s="36"/>
      <c r="G771" s="35"/>
    </row>
    <row r="772" spans="5:7" ht="15.75" customHeight="1">
      <c r="E772" s="36"/>
      <c r="G772" s="35"/>
    </row>
    <row r="773" spans="5:7" ht="15.75" customHeight="1">
      <c r="E773" s="36"/>
      <c r="G773" s="35"/>
    </row>
    <row r="774" spans="5:7" ht="15.75" customHeight="1">
      <c r="E774" s="36"/>
      <c r="G774" s="35"/>
    </row>
    <row r="775" spans="5:7" ht="15.75" customHeight="1">
      <c r="E775" s="36"/>
      <c r="G775" s="35"/>
    </row>
    <row r="776" spans="5:7" ht="15.75" customHeight="1">
      <c r="E776" s="36"/>
      <c r="G776" s="35"/>
    </row>
    <row r="777" spans="5:7" ht="15.75" customHeight="1">
      <c r="E777" s="36"/>
      <c r="G777" s="35"/>
    </row>
    <row r="778" spans="5:7" ht="15.75" customHeight="1">
      <c r="E778" s="36"/>
      <c r="G778" s="35"/>
    </row>
    <row r="779" spans="5:7" ht="15.75" customHeight="1">
      <c r="E779" s="36"/>
      <c r="G779" s="35"/>
    </row>
    <row r="780" spans="5:7" ht="15.75" customHeight="1">
      <c r="E780" s="36"/>
      <c r="G780" s="35"/>
    </row>
    <row r="781" spans="5:7" ht="15.75" customHeight="1">
      <c r="E781" s="36"/>
      <c r="G781" s="35"/>
    </row>
    <row r="782" spans="5:7" ht="15.75" customHeight="1">
      <c r="E782" s="36"/>
      <c r="G782" s="35"/>
    </row>
    <row r="783" spans="5:7" ht="15.75" customHeight="1">
      <c r="E783" s="36"/>
      <c r="G783" s="35"/>
    </row>
    <row r="784" spans="5:7" ht="15.75" customHeight="1">
      <c r="E784" s="36"/>
      <c r="G784" s="35"/>
    </row>
    <row r="785" spans="5:7" ht="15.75" customHeight="1">
      <c r="E785" s="36"/>
      <c r="G785" s="35"/>
    </row>
    <row r="786" spans="5:7" ht="15.75" customHeight="1">
      <c r="E786" s="36"/>
      <c r="G786" s="35"/>
    </row>
    <row r="787" spans="5:7" ht="15.75" customHeight="1">
      <c r="E787" s="36"/>
      <c r="G787" s="35"/>
    </row>
    <row r="788" spans="5:7" ht="15.75" customHeight="1">
      <c r="E788" s="36"/>
      <c r="G788" s="35"/>
    </row>
    <row r="789" spans="5:7" ht="15.75" customHeight="1">
      <c r="E789" s="36"/>
      <c r="G789" s="35"/>
    </row>
    <row r="790" spans="5:7" ht="15.75" customHeight="1">
      <c r="E790" s="36"/>
      <c r="G790" s="35"/>
    </row>
    <row r="791" spans="5:7" ht="15.75" customHeight="1">
      <c r="E791" s="36"/>
      <c r="G791" s="35"/>
    </row>
    <row r="792" spans="5:7" ht="15.75" customHeight="1">
      <c r="E792" s="36"/>
      <c r="G792" s="35"/>
    </row>
    <row r="793" spans="5:7" ht="15.75" customHeight="1">
      <c r="E793" s="36"/>
      <c r="G793" s="35"/>
    </row>
    <row r="794" spans="5:7" ht="15.75" customHeight="1">
      <c r="E794" s="36"/>
      <c r="G794" s="35"/>
    </row>
    <row r="795" spans="5:7" ht="15.75" customHeight="1">
      <c r="E795" s="36"/>
      <c r="G795" s="35"/>
    </row>
    <row r="796" spans="5:7" ht="15.75" customHeight="1">
      <c r="E796" s="36"/>
      <c r="G796" s="35"/>
    </row>
    <row r="797" spans="5:7" ht="15.75" customHeight="1">
      <c r="E797" s="36"/>
      <c r="G797" s="35"/>
    </row>
    <row r="798" spans="5:7" ht="15.75" customHeight="1">
      <c r="E798" s="36"/>
      <c r="G798" s="35"/>
    </row>
    <row r="799" spans="5:7" ht="15.75" customHeight="1">
      <c r="E799" s="36"/>
      <c r="G799" s="35"/>
    </row>
    <row r="800" spans="5:7" ht="15.75" customHeight="1">
      <c r="E800" s="36"/>
      <c r="G800" s="35"/>
    </row>
    <row r="801" spans="5:7" ht="15.75" customHeight="1">
      <c r="E801" s="36"/>
      <c r="G801" s="35"/>
    </row>
    <row r="802" spans="5:7" ht="15.75" customHeight="1">
      <c r="E802" s="36"/>
      <c r="G802" s="35"/>
    </row>
    <row r="803" spans="5:7" ht="15.75" customHeight="1">
      <c r="E803" s="36"/>
      <c r="G803" s="35"/>
    </row>
    <row r="804" spans="5:7" ht="15.75" customHeight="1">
      <c r="E804" s="36"/>
      <c r="G804" s="35"/>
    </row>
    <row r="805" spans="5:7" ht="15.75" customHeight="1">
      <c r="E805" s="36"/>
      <c r="G805" s="35"/>
    </row>
    <row r="806" spans="5:7" ht="15.75" customHeight="1">
      <c r="E806" s="36"/>
      <c r="G806" s="35"/>
    </row>
    <row r="807" spans="5:7" ht="15.75" customHeight="1">
      <c r="E807" s="36"/>
      <c r="G807" s="35"/>
    </row>
    <row r="808" spans="5:7" ht="15.75" customHeight="1">
      <c r="E808" s="36"/>
      <c r="G808" s="35"/>
    </row>
    <row r="809" spans="5:7" ht="15.75" customHeight="1">
      <c r="E809" s="36"/>
      <c r="G809" s="35"/>
    </row>
    <row r="810" spans="5:7" ht="15.75" customHeight="1">
      <c r="E810" s="36"/>
      <c r="G810" s="35"/>
    </row>
    <row r="811" spans="5:7" ht="15.75" customHeight="1">
      <c r="E811" s="36"/>
      <c r="G811" s="35"/>
    </row>
    <row r="812" spans="5:7" ht="15.75" customHeight="1">
      <c r="E812" s="36"/>
      <c r="G812" s="35"/>
    </row>
    <row r="813" spans="5:7" ht="15.75" customHeight="1">
      <c r="E813" s="36"/>
      <c r="G813" s="35"/>
    </row>
    <row r="814" spans="5:7" ht="15.75" customHeight="1">
      <c r="E814" s="36"/>
      <c r="G814" s="35"/>
    </row>
    <row r="815" spans="5:7" ht="15.75" customHeight="1">
      <c r="E815" s="36"/>
      <c r="G815" s="35"/>
    </row>
    <row r="816" spans="5:7" ht="15.75" customHeight="1">
      <c r="E816" s="36"/>
      <c r="G816" s="35"/>
    </row>
    <row r="817" spans="5:7" ht="15.75" customHeight="1">
      <c r="E817" s="36"/>
      <c r="G817" s="35"/>
    </row>
    <row r="818" spans="5:7" ht="15.75" customHeight="1">
      <c r="E818" s="36"/>
      <c r="G818" s="35"/>
    </row>
    <row r="819" spans="5:7" ht="15.75" customHeight="1">
      <c r="E819" s="36"/>
      <c r="G819" s="35"/>
    </row>
    <row r="820" spans="5:7" ht="15.75" customHeight="1">
      <c r="E820" s="36"/>
      <c r="G820" s="35"/>
    </row>
    <row r="821" spans="5:7" ht="15.75" customHeight="1">
      <c r="E821" s="36"/>
      <c r="G821" s="35"/>
    </row>
    <row r="822" spans="5:7" ht="15.75" customHeight="1">
      <c r="E822" s="36"/>
      <c r="G822" s="35"/>
    </row>
    <row r="823" spans="5:7" ht="15.75" customHeight="1">
      <c r="E823" s="36"/>
      <c r="G823" s="35"/>
    </row>
    <row r="824" spans="5:7" ht="15.75" customHeight="1">
      <c r="E824" s="36"/>
      <c r="G824" s="35"/>
    </row>
    <row r="825" spans="5:7" ht="15.75" customHeight="1">
      <c r="E825" s="36"/>
      <c r="G825" s="35"/>
    </row>
    <row r="826" spans="5:7" ht="15.75" customHeight="1">
      <c r="E826" s="36"/>
      <c r="G826" s="35"/>
    </row>
    <row r="827" spans="5:7" ht="15.75" customHeight="1">
      <c r="E827" s="36"/>
      <c r="G827" s="35"/>
    </row>
    <row r="828" spans="5:7" ht="15.75" customHeight="1">
      <c r="E828" s="36"/>
      <c r="G828" s="35"/>
    </row>
    <row r="829" spans="5:7" ht="15.75" customHeight="1">
      <c r="E829" s="36"/>
      <c r="G829" s="35"/>
    </row>
    <row r="830" spans="5:7" ht="15.75" customHeight="1">
      <c r="E830" s="36"/>
      <c r="G830" s="35"/>
    </row>
    <row r="831" spans="5:7" ht="15.75" customHeight="1">
      <c r="E831" s="36"/>
      <c r="G831" s="35"/>
    </row>
    <row r="832" spans="5:7" ht="15.75" customHeight="1">
      <c r="E832" s="36"/>
      <c r="G832" s="35"/>
    </row>
    <row r="833" spans="5:7" ht="15.75" customHeight="1">
      <c r="E833" s="36"/>
      <c r="G833" s="35"/>
    </row>
    <row r="834" spans="5:7" ht="15.75" customHeight="1">
      <c r="E834" s="36"/>
      <c r="G834" s="35"/>
    </row>
    <row r="835" spans="5:7" ht="15.75" customHeight="1">
      <c r="E835" s="36"/>
      <c r="G835" s="35"/>
    </row>
    <row r="836" spans="5:7" ht="15.75" customHeight="1">
      <c r="E836" s="36"/>
      <c r="G836" s="35"/>
    </row>
    <row r="837" spans="5:7" ht="15.75" customHeight="1">
      <c r="E837" s="36"/>
      <c r="G837" s="35"/>
    </row>
    <row r="838" spans="5:7" ht="15.75" customHeight="1">
      <c r="E838" s="36"/>
      <c r="G838" s="35"/>
    </row>
    <row r="839" spans="5:7" ht="15.75" customHeight="1">
      <c r="E839" s="36"/>
      <c r="G839" s="35"/>
    </row>
    <row r="840" spans="5:7" ht="15.75" customHeight="1">
      <c r="E840" s="36"/>
      <c r="G840" s="35"/>
    </row>
    <row r="841" spans="5:7" ht="15.75" customHeight="1">
      <c r="E841" s="36"/>
      <c r="G841" s="35"/>
    </row>
    <row r="842" spans="5:7" ht="15.75" customHeight="1">
      <c r="E842" s="36"/>
      <c r="G842" s="35"/>
    </row>
    <row r="843" spans="5:7" ht="15.75" customHeight="1">
      <c r="E843" s="36"/>
      <c r="G843" s="35"/>
    </row>
    <row r="844" spans="5:7" ht="15.75" customHeight="1">
      <c r="E844" s="36"/>
      <c r="G844" s="35"/>
    </row>
    <row r="845" spans="5:7" ht="15.75" customHeight="1">
      <c r="E845" s="36"/>
      <c r="G845" s="35"/>
    </row>
    <row r="846" spans="5:7" ht="15.75" customHeight="1">
      <c r="E846" s="36"/>
      <c r="G846" s="35"/>
    </row>
    <row r="847" spans="5:7" ht="15.75" customHeight="1">
      <c r="E847" s="36"/>
      <c r="G847" s="35"/>
    </row>
    <row r="848" spans="5:7" ht="15.75" customHeight="1">
      <c r="E848" s="36"/>
      <c r="G848" s="35"/>
    </row>
    <row r="849" spans="5:7" ht="15.75" customHeight="1">
      <c r="E849" s="36"/>
      <c r="G849" s="35"/>
    </row>
    <row r="850" spans="5:7" ht="15.75" customHeight="1">
      <c r="E850" s="36"/>
      <c r="G850" s="35"/>
    </row>
    <row r="851" spans="5:7" ht="15.75" customHeight="1">
      <c r="E851" s="36"/>
      <c r="G851" s="35"/>
    </row>
    <row r="852" spans="5:7" ht="15.75" customHeight="1">
      <c r="E852" s="36"/>
      <c r="G852" s="35"/>
    </row>
    <row r="853" spans="5:7" ht="15.75" customHeight="1">
      <c r="E853" s="36"/>
      <c r="G853" s="35"/>
    </row>
    <row r="854" spans="5:7" ht="15.75" customHeight="1">
      <c r="E854" s="36"/>
      <c r="G854" s="35"/>
    </row>
    <row r="855" spans="5:7" ht="15.75" customHeight="1">
      <c r="E855" s="36"/>
      <c r="G855" s="35"/>
    </row>
    <row r="856" spans="5:7" ht="15.75" customHeight="1">
      <c r="E856" s="36"/>
      <c r="G856" s="35"/>
    </row>
    <row r="857" spans="5:7" ht="15.75" customHeight="1">
      <c r="E857" s="36"/>
      <c r="G857" s="35"/>
    </row>
    <row r="858" spans="5:7" ht="15.75" customHeight="1">
      <c r="E858" s="36"/>
      <c r="G858" s="35"/>
    </row>
    <row r="859" spans="5:7" ht="15.75" customHeight="1">
      <c r="E859" s="36"/>
      <c r="G859" s="35"/>
    </row>
    <row r="860" spans="5:7" ht="15.75" customHeight="1">
      <c r="E860" s="36"/>
      <c r="G860" s="35"/>
    </row>
    <row r="861" spans="5:7" ht="15.75" customHeight="1">
      <c r="E861" s="36"/>
      <c r="G861" s="35"/>
    </row>
    <row r="862" spans="5:7" ht="15.75" customHeight="1">
      <c r="E862" s="36"/>
      <c r="G862" s="35"/>
    </row>
    <row r="863" spans="5:7" ht="15.75" customHeight="1">
      <c r="E863" s="36"/>
      <c r="G863" s="35"/>
    </row>
    <row r="864" spans="5:7" ht="15.75" customHeight="1">
      <c r="E864" s="36"/>
      <c r="G864" s="35"/>
    </row>
    <row r="865" spans="5:7" ht="15.75" customHeight="1">
      <c r="E865" s="36"/>
      <c r="G865" s="35"/>
    </row>
    <row r="866" spans="5:7" ht="15.75" customHeight="1">
      <c r="E866" s="36"/>
      <c r="G866" s="35"/>
    </row>
    <row r="867" spans="5:7" ht="15.75" customHeight="1">
      <c r="E867" s="36"/>
      <c r="G867" s="35"/>
    </row>
    <row r="868" spans="5:7" ht="15.75" customHeight="1">
      <c r="E868" s="36"/>
      <c r="G868" s="35"/>
    </row>
    <row r="869" spans="5:7" ht="15.75" customHeight="1">
      <c r="E869" s="36"/>
      <c r="G869" s="35"/>
    </row>
    <row r="870" spans="5:7" ht="15.75" customHeight="1">
      <c r="E870" s="36"/>
      <c r="G870" s="35"/>
    </row>
    <row r="871" spans="5:7" ht="15.75" customHeight="1">
      <c r="E871" s="36"/>
      <c r="G871" s="35"/>
    </row>
    <row r="872" spans="5:7" ht="15.75" customHeight="1">
      <c r="E872" s="36"/>
      <c r="G872" s="35"/>
    </row>
    <row r="873" spans="5:7" ht="15.75" customHeight="1">
      <c r="E873" s="36"/>
      <c r="G873" s="35"/>
    </row>
    <row r="874" spans="5:7" ht="15.75" customHeight="1">
      <c r="E874" s="36"/>
      <c r="G874" s="35"/>
    </row>
    <row r="875" spans="5:7" ht="15.75" customHeight="1">
      <c r="E875" s="36"/>
      <c r="G875" s="35"/>
    </row>
    <row r="876" spans="5:7" ht="15.75" customHeight="1">
      <c r="E876" s="36"/>
      <c r="G876" s="35"/>
    </row>
    <row r="877" spans="5:7" ht="15.75" customHeight="1">
      <c r="E877" s="36"/>
      <c r="G877" s="35"/>
    </row>
    <row r="878" spans="5:7" ht="15.75" customHeight="1">
      <c r="E878" s="36"/>
      <c r="G878" s="35"/>
    </row>
    <row r="879" spans="5:7" ht="15.75" customHeight="1">
      <c r="E879" s="36"/>
      <c r="G879" s="35"/>
    </row>
    <row r="880" spans="5:7" ht="15.75" customHeight="1">
      <c r="E880" s="36"/>
      <c r="G880" s="35"/>
    </row>
    <row r="881" spans="5:7" ht="15.75" customHeight="1">
      <c r="E881" s="36"/>
      <c r="G881" s="35"/>
    </row>
    <row r="882" spans="5:7" ht="15.75" customHeight="1">
      <c r="E882" s="36"/>
      <c r="G882" s="35"/>
    </row>
    <row r="883" spans="5:7" ht="15.75" customHeight="1">
      <c r="E883" s="36"/>
      <c r="G883" s="35"/>
    </row>
    <row r="884" spans="5:7" ht="15.75" customHeight="1">
      <c r="E884" s="36"/>
      <c r="G884" s="35"/>
    </row>
    <row r="885" spans="5:7" ht="15.75" customHeight="1">
      <c r="E885" s="36"/>
      <c r="G885" s="35"/>
    </row>
    <row r="886" spans="5:7" ht="15.75" customHeight="1">
      <c r="E886" s="36"/>
      <c r="G886" s="35"/>
    </row>
    <row r="887" spans="5:7" ht="15.75" customHeight="1">
      <c r="E887" s="36"/>
      <c r="G887" s="35"/>
    </row>
    <row r="888" spans="5:7" ht="15.75" customHeight="1">
      <c r="E888" s="36"/>
      <c r="G888" s="35"/>
    </row>
    <row r="889" spans="5:7" ht="15.75" customHeight="1">
      <c r="E889" s="36"/>
      <c r="G889" s="35"/>
    </row>
    <row r="890" spans="5:7" ht="15.75" customHeight="1">
      <c r="E890" s="36"/>
      <c r="G890" s="35"/>
    </row>
    <row r="891" spans="5:7" ht="15.75" customHeight="1">
      <c r="E891" s="36"/>
      <c r="G891" s="35"/>
    </row>
    <row r="892" spans="5:7" ht="15.75" customHeight="1">
      <c r="E892" s="36"/>
      <c r="G892" s="35"/>
    </row>
    <row r="893" spans="5:7" ht="15.75" customHeight="1">
      <c r="E893" s="36"/>
      <c r="G893" s="35"/>
    </row>
    <row r="894" spans="5:7" ht="15.75" customHeight="1">
      <c r="E894" s="36"/>
      <c r="G894" s="35"/>
    </row>
    <row r="895" spans="5:7" ht="15.75" customHeight="1">
      <c r="E895" s="36"/>
      <c r="G895" s="35"/>
    </row>
    <row r="896" spans="5:7" ht="15.75" customHeight="1">
      <c r="E896" s="36"/>
      <c r="G896" s="35"/>
    </row>
    <row r="897" spans="5:7" ht="15.75" customHeight="1">
      <c r="E897" s="36"/>
      <c r="G897" s="35"/>
    </row>
    <row r="898" spans="5:7" ht="15.75" customHeight="1">
      <c r="E898" s="36"/>
      <c r="G898" s="35"/>
    </row>
    <row r="899" spans="5:7" ht="15.75" customHeight="1">
      <c r="E899" s="36"/>
      <c r="G899" s="35"/>
    </row>
    <row r="900" spans="5:7" ht="15.75" customHeight="1">
      <c r="E900" s="36"/>
      <c r="G900" s="35"/>
    </row>
    <row r="901" spans="5:7" ht="15.75" customHeight="1">
      <c r="E901" s="36"/>
      <c r="G901" s="35"/>
    </row>
    <row r="902" spans="5:7" ht="15.75" customHeight="1">
      <c r="E902" s="36"/>
      <c r="G902" s="35"/>
    </row>
    <row r="903" spans="5:7" ht="15.75" customHeight="1">
      <c r="E903" s="36"/>
      <c r="G903" s="35"/>
    </row>
    <row r="904" spans="5:7" ht="15.75" customHeight="1">
      <c r="E904" s="36"/>
      <c r="G904" s="35"/>
    </row>
    <row r="905" spans="5:7" ht="15.75" customHeight="1">
      <c r="E905" s="36"/>
      <c r="G905" s="35"/>
    </row>
    <row r="906" spans="5:7" ht="15.75" customHeight="1">
      <c r="E906" s="36"/>
      <c r="G906" s="35"/>
    </row>
    <row r="907" spans="5:7" ht="15.75" customHeight="1">
      <c r="E907" s="36"/>
      <c r="G907" s="35"/>
    </row>
    <row r="908" spans="5:7" ht="15.75" customHeight="1">
      <c r="E908" s="36"/>
      <c r="G908" s="35"/>
    </row>
    <row r="909" spans="5:7" ht="15.75" customHeight="1">
      <c r="E909" s="36"/>
      <c r="G909" s="35"/>
    </row>
    <row r="910" spans="5:7" ht="15.75" customHeight="1">
      <c r="E910" s="36"/>
      <c r="G910" s="35"/>
    </row>
    <row r="911" spans="5:7" ht="15.75" customHeight="1">
      <c r="E911" s="36"/>
      <c r="G911" s="35"/>
    </row>
    <row r="912" spans="5:7" ht="15.75" customHeight="1">
      <c r="E912" s="36"/>
      <c r="G912" s="35"/>
    </row>
    <row r="913" spans="5:7" ht="15.75" customHeight="1">
      <c r="E913" s="36"/>
      <c r="G913" s="35"/>
    </row>
    <row r="914" spans="5:7" ht="15.75" customHeight="1">
      <c r="E914" s="36"/>
      <c r="G914" s="35"/>
    </row>
    <row r="915" spans="5:7" ht="15.75" customHeight="1">
      <c r="E915" s="36"/>
      <c r="G915" s="35"/>
    </row>
    <row r="916" spans="5:7" ht="15.75" customHeight="1">
      <c r="E916" s="36"/>
      <c r="G916" s="35"/>
    </row>
    <row r="917" spans="5:7" ht="15.75" customHeight="1">
      <c r="E917" s="36"/>
      <c r="G917" s="35"/>
    </row>
    <row r="918" spans="5:7" ht="15.75" customHeight="1">
      <c r="E918" s="36"/>
      <c r="G918" s="35"/>
    </row>
    <row r="919" spans="5:7" ht="15.75" customHeight="1">
      <c r="E919" s="36"/>
      <c r="G919" s="35"/>
    </row>
    <row r="920" spans="5:7" ht="15.75" customHeight="1">
      <c r="E920" s="36"/>
      <c r="G920" s="35"/>
    </row>
    <row r="921" spans="5:7" ht="15.75" customHeight="1">
      <c r="E921" s="36"/>
      <c r="G921" s="35"/>
    </row>
    <row r="922" spans="5:7" ht="15.75" customHeight="1">
      <c r="E922" s="36"/>
      <c r="G922" s="35"/>
    </row>
    <row r="923" spans="5:7" ht="15.75" customHeight="1">
      <c r="E923" s="36"/>
      <c r="G923" s="35"/>
    </row>
    <row r="924" spans="5:7" ht="15.75" customHeight="1">
      <c r="E924" s="36"/>
      <c r="G924" s="35"/>
    </row>
    <row r="925" spans="5:7" ht="15.75" customHeight="1">
      <c r="E925" s="36"/>
      <c r="G925" s="35"/>
    </row>
    <row r="926" spans="5:7" ht="15.75" customHeight="1">
      <c r="E926" s="36"/>
      <c r="G926" s="35"/>
    </row>
    <row r="927" spans="5:7" ht="15.75" customHeight="1">
      <c r="E927" s="36"/>
      <c r="G927" s="35"/>
    </row>
    <row r="928" spans="5:7" ht="15.75" customHeight="1">
      <c r="E928" s="36"/>
      <c r="G928" s="35"/>
    </row>
    <row r="929" spans="5:7" ht="15.75" customHeight="1">
      <c r="E929" s="36"/>
      <c r="G929" s="35"/>
    </row>
    <row r="930" spans="5:7" ht="15.75" customHeight="1">
      <c r="E930" s="36"/>
      <c r="G930" s="35"/>
    </row>
    <row r="931" spans="5:7" ht="15.75" customHeight="1">
      <c r="E931" s="36"/>
      <c r="G931" s="35"/>
    </row>
    <row r="932" spans="5:7" ht="15.75" customHeight="1">
      <c r="E932" s="36"/>
      <c r="G932" s="35"/>
    </row>
    <row r="933" spans="5:7" ht="15.75" customHeight="1">
      <c r="E933" s="36"/>
      <c r="G933" s="35"/>
    </row>
    <row r="934" spans="5:7" ht="15.75" customHeight="1">
      <c r="E934" s="36"/>
      <c r="G934" s="35"/>
    </row>
    <row r="935" spans="5:7" ht="15.75" customHeight="1">
      <c r="E935" s="36"/>
      <c r="G935" s="35"/>
    </row>
    <row r="936" spans="5:7" ht="15.75" customHeight="1">
      <c r="E936" s="36"/>
      <c r="G936" s="35"/>
    </row>
    <row r="937" spans="5:7" ht="15.75" customHeight="1">
      <c r="E937" s="36"/>
      <c r="G937" s="35"/>
    </row>
    <row r="938" spans="5:7" ht="15.75" customHeight="1">
      <c r="E938" s="36"/>
      <c r="G938" s="35"/>
    </row>
    <row r="939" spans="5:7" ht="15.75" customHeight="1">
      <c r="E939" s="36"/>
      <c r="G939" s="35"/>
    </row>
    <row r="940" spans="5:7" ht="15.75" customHeight="1">
      <c r="E940" s="36"/>
      <c r="G940" s="35"/>
    </row>
    <row r="941" spans="5:7" ht="15.75" customHeight="1">
      <c r="E941" s="36"/>
      <c r="G941" s="35"/>
    </row>
    <row r="942" spans="5:7" ht="15.75" customHeight="1">
      <c r="E942" s="36"/>
      <c r="G942" s="35"/>
    </row>
    <row r="943" spans="5:7" ht="15.75" customHeight="1">
      <c r="E943" s="36"/>
      <c r="G943" s="35"/>
    </row>
    <row r="944" spans="5:7" ht="15.75" customHeight="1">
      <c r="E944" s="36"/>
      <c r="G944" s="35"/>
    </row>
    <row r="945" spans="5:7" ht="15.75" customHeight="1">
      <c r="E945" s="36"/>
      <c r="G945" s="35"/>
    </row>
    <row r="946" spans="5:7" ht="15.75" customHeight="1">
      <c r="E946" s="36"/>
      <c r="G946" s="35"/>
    </row>
    <row r="947" spans="5:7" ht="15.75" customHeight="1">
      <c r="E947" s="36"/>
      <c r="G947" s="35"/>
    </row>
    <row r="948" spans="5:7" ht="15.75" customHeight="1">
      <c r="E948" s="36"/>
      <c r="G948" s="35"/>
    </row>
    <row r="949" spans="5:7" ht="15.75" customHeight="1">
      <c r="E949" s="36"/>
      <c r="G949" s="35"/>
    </row>
    <row r="950" spans="5:7" ht="15.75" customHeight="1">
      <c r="E950" s="36"/>
      <c r="G950" s="35"/>
    </row>
    <row r="951" spans="5:7" ht="15.75" customHeight="1">
      <c r="E951" s="36"/>
      <c r="G951" s="35"/>
    </row>
    <row r="952" spans="5:7" ht="15.75" customHeight="1">
      <c r="E952" s="36"/>
      <c r="G952" s="35"/>
    </row>
    <row r="953" spans="5:7" ht="15.75" customHeight="1">
      <c r="E953" s="36"/>
      <c r="G953" s="35"/>
    </row>
    <row r="954" spans="5:7" ht="15.75" customHeight="1">
      <c r="E954" s="36"/>
      <c r="G954" s="35"/>
    </row>
    <row r="955" spans="5:7" ht="15.75" customHeight="1">
      <c r="E955" s="36"/>
      <c r="G955" s="35"/>
    </row>
    <row r="956" spans="5:7" ht="15.75" customHeight="1">
      <c r="E956" s="36"/>
      <c r="G956" s="35"/>
    </row>
    <row r="957" spans="5:7" ht="15.75" customHeight="1">
      <c r="E957" s="36"/>
      <c r="G957" s="35"/>
    </row>
    <row r="958" spans="5:7" ht="15.75" customHeight="1">
      <c r="E958" s="36"/>
      <c r="G958" s="35"/>
    </row>
    <row r="959" spans="5:7" ht="15.75" customHeight="1">
      <c r="E959" s="36"/>
      <c r="G959" s="35"/>
    </row>
    <row r="960" spans="5:7" ht="15.75" customHeight="1">
      <c r="E960" s="36"/>
      <c r="G960" s="35"/>
    </row>
    <row r="961" spans="5:7" ht="15.75" customHeight="1">
      <c r="E961" s="36"/>
      <c r="G961" s="35"/>
    </row>
    <row r="962" spans="5:7" ht="15.75" customHeight="1">
      <c r="E962" s="36"/>
      <c r="G962" s="35"/>
    </row>
    <row r="963" spans="5:7" ht="15.75" customHeight="1">
      <c r="E963" s="36"/>
      <c r="G963" s="35"/>
    </row>
    <row r="964" spans="5:7" ht="15.75" customHeight="1">
      <c r="E964" s="36"/>
      <c r="G964" s="35"/>
    </row>
    <row r="965" spans="5:7" ht="15.75" customHeight="1">
      <c r="E965" s="36"/>
      <c r="G965" s="35"/>
    </row>
    <row r="966" spans="5:7" ht="15.75" customHeight="1">
      <c r="E966" s="36"/>
      <c r="G966" s="35"/>
    </row>
    <row r="967" spans="5:7" ht="15.75" customHeight="1">
      <c r="E967" s="36"/>
      <c r="G967" s="35"/>
    </row>
    <row r="968" spans="5:7" ht="15.75" customHeight="1">
      <c r="E968" s="36"/>
      <c r="G968" s="35"/>
    </row>
    <row r="969" spans="5:7" ht="15.75" customHeight="1">
      <c r="E969" s="36"/>
      <c r="G969" s="35"/>
    </row>
    <row r="970" spans="5:7" ht="15.75" customHeight="1">
      <c r="E970" s="36"/>
      <c r="G970" s="35"/>
    </row>
    <row r="971" spans="5:7" ht="15.75" customHeight="1">
      <c r="E971" s="36"/>
      <c r="G971" s="35"/>
    </row>
    <row r="972" spans="5:7" ht="15.75" customHeight="1">
      <c r="E972" s="36"/>
      <c r="G972" s="35"/>
    </row>
    <row r="973" spans="5:7" ht="15.75" customHeight="1">
      <c r="E973" s="36"/>
      <c r="G973" s="35"/>
    </row>
    <row r="974" spans="5:7" ht="15.75" customHeight="1">
      <c r="E974" s="36"/>
    </row>
    <row r="975" spans="5:7" ht="15.75" customHeight="1">
      <c r="E975" s="36"/>
    </row>
    <row r="976" spans="5:7" ht="15.75" customHeight="1">
      <c r="E976" s="36"/>
    </row>
    <row r="977" spans="5:5" ht="15.75" customHeight="1">
      <c r="E977" s="36"/>
    </row>
    <row r="978" spans="5:5" ht="15.75" customHeight="1">
      <c r="E978" s="36"/>
    </row>
    <row r="979" spans="5:5" ht="15.75" customHeight="1">
      <c r="E979" s="36"/>
    </row>
    <row r="980" spans="5:5" ht="15.75" customHeight="1">
      <c r="E980" s="36"/>
    </row>
    <row r="981" spans="5:5" ht="15.75" customHeight="1">
      <c r="E981" s="36"/>
    </row>
    <row r="982" spans="5:5" ht="15.75" customHeight="1">
      <c r="E982" s="36"/>
    </row>
    <row r="983" spans="5:5" ht="15.75" customHeight="1">
      <c r="E983" s="36"/>
    </row>
    <row r="984" spans="5:5" ht="15.75" customHeight="1">
      <c r="E984" s="36"/>
    </row>
    <row r="985" spans="5:5" ht="15.75" customHeight="1">
      <c r="E985" s="36"/>
    </row>
    <row r="986" spans="5:5" ht="15.75" customHeight="1">
      <c r="E986" s="36"/>
    </row>
    <row r="987" spans="5:5" ht="15.75" customHeight="1">
      <c r="E987" s="36"/>
    </row>
    <row r="988" spans="5:5" ht="15.75" customHeight="1">
      <c r="E988" s="36"/>
    </row>
    <row r="989" spans="5:5" ht="15.75" customHeight="1">
      <c r="E989" s="36"/>
    </row>
    <row r="990" spans="5:5" ht="15.75" customHeight="1">
      <c r="E990" s="36"/>
    </row>
    <row r="991" spans="5:5" ht="15.75" customHeight="1">
      <c r="E991" s="36"/>
    </row>
    <row r="992" spans="5:5" ht="15.75" customHeight="1">
      <c r="E992" s="36"/>
    </row>
    <row r="993" spans="5:5" ht="15.75" customHeight="1">
      <c r="E993" s="36"/>
    </row>
    <row r="994" spans="5:5" ht="15.75" customHeight="1">
      <c r="E994" s="36"/>
    </row>
    <row r="995" spans="5:5" ht="15.75" customHeight="1">
      <c r="E995" s="36"/>
    </row>
    <row r="996" spans="5:5" ht="15.75" customHeight="1">
      <c r="E996" s="36"/>
    </row>
    <row r="997" spans="5:5" ht="15.75" customHeight="1">
      <c r="E997" s="36"/>
    </row>
  </sheetData>
  <mergeCells count="1">
    <mergeCell ref="A1:B1"/>
  </mergeCells>
  <dataValidations count="2">
    <dataValidation type="decimal" allowBlank="1" showInputMessage="1" showErrorMessage="1" prompt="Marks must be binary: 1 or 0" sqref="G3:G53 G55:G67 A68 G69:G170 G172:G174 G176:G973">
      <formula1>0</formula1>
      <formula2>1</formula2>
    </dataValidation>
    <dataValidation type="list" allowBlank="1" showErrorMessage="1" sqref="H3:H170">
      <formula1>$L$8:$L$13</formula1>
    </dataValidation>
  </dataValidations>
  <pageMargins left="0.7" right="0.7" top="0.75" bottom="0.75" header="0" footer="0"/>
  <pageSetup paperSize="9" orientation="portrait"/>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R993"/>
  <sheetViews>
    <sheetView zoomScale="90" zoomScaleNormal="90" workbookViewId="0">
      <pane xSplit="4" ySplit="2" topLeftCell="E3" activePane="bottomRight" state="frozen"/>
      <selection activeCell="F3" sqref="F3"/>
      <selection pane="topRight" activeCell="F3" sqref="F3"/>
      <selection pane="bottomLeft" activeCell="F3" sqref="F3"/>
      <selection pane="bottomRight" activeCell="G7" sqref="G7"/>
    </sheetView>
  </sheetViews>
  <sheetFormatPr defaultColWidth="14.44140625" defaultRowHeight="15" customHeight="1"/>
  <cols>
    <col min="1" max="1" width="7.44140625" style="104" customWidth="1"/>
    <col min="2" max="2" width="12.5546875" style="104" customWidth="1"/>
    <col min="3" max="3" width="13" style="104" customWidth="1"/>
    <col min="4" max="4" width="19.6640625" style="104" customWidth="1"/>
    <col min="5" max="5" width="8.88671875" style="104" customWidth="1"/>
    <col min="6" max="6" width="12.109375" style="104" customWidth="1"/>
    <col min="7" max="7" width="8.5546875" style="104" customWidth="1"/>
    <col min="8" max="8" width="44" style="104" customWidth="1"/>
    <col min="9" max="9" width="66.33203125" style="104" customWidth="1"/>
    <col min="10" max="10" width="65.109375" style="104" customWidth="1"/>
    <col min="11" max="11" width="3.109375" style="104" customWidth="1"/>
    <col min="12" max="12" width="46" style="104" customWidth="1"/>
    <col min="13" max="15" width="8.88671875" style="104" customWidth="1"/>
    <col min="16" max="16" width="12.6640625" style="104" customWidth="1"/>
    <col min="17" max="17" width="8.88671875" style="104" customWidth="1"/>
    <col min="18" max="16384" width="14.44140625" style="104"/>
  </cols>
  <sheetData>
    <row r="1" spans="1:18" ht="31.2">
      <c r="A1" s="257" t="s">
        <v>266</v>
      </c>
      <c r="B1" s="258"/>
      <c r="C1" s="101"/>
      <c r="D1" s="101"/>
      <c r="E1" s="102"/>
      <c r="F1" s="102"/>
      <c r="G1" s="103"/>
      <c r="H1" s="101"/>
      <c r="I1" s="101"/>
      <c r="J1" s="101"/>
      <c r="K1" s="101"/>
      <c r="L1" s="101"/>
      <c r="M1" s="101"/>
      <c r="N1" s="101"/>
      <c r="O1" s="101"/>
      <c r="P1" s="101"/>
      <c r="Q1" s="101"/>
    </row>
    <row r="2" spans="1:18" ht="14.25" customHeight="1">
      <c r="A2" s="105" t="s">
        <v>616</v>
      </c>
      <c r="B2" s="105" t="s">
        <v>617</v>
      </c>
      <c r="C2" s="105" t="s">
        <v>442</v>
      </c>
      <c r="D2" s="105" t="s">
        <v>618</v>
      </c>
      <c r="E2" s="105" t="s">
        <v>619</v>
      </c>
      <c r="F2" s="106" t="s">
        <v>620</v>
      </c>
      <c r="G2" s="105" t="s">
        <v>443</v>
      </c>
      <c r="H2" s="105" t="s">
        <v>621</v>
      </c>
      <c r="I2" s="105" t="s">
        <v>24</v>
      </c>
      <c r="J2" s="105" t="s">
        <v>907</v>
      </c>
      <c r="K2" s="107"/>
      <c r="L2" s="108" t="s">
        <v>623</v>
      </c>
      <c r="M2" s="109"/>
      <c r="N2" s="101"/>
      <c r="O2" s="101"/>
      <c r="P2" s="101"/>
      <c r="Q2" s="101"/>
    </row>
    <row r="3" spans="1:18" ht="14.25" customHeight="1">
      <c r="A3" s="110">
        <v>39</v>
      </c>
      <c r="B3" s="111" t="s">
        <v>271</v>
      </c>
      <c r="C3" s="111" t="s">
        <v>38</v>
      </c>
      <c r="D3" s="112" t="s">
        <v>791</v>
      </c>
      <c r="E3" s="112" t="s">
        <v>663</v>
      </c>
      <c r="F3" s="111" t="s">
        <v>651</v>
      </c>
      <c r="G3" s="113">
        <v>0</v>
      </c>
      <c r="H3" s="114" t="s">
        <v>634</v>
      </c>
      <c r="I3" s="238"/>
      <c r="J3" s="114" t="s">
        <v>945</v>
      </c>
      <c r="K3" s="101"/>
      <c r="L3" s="116" t="s">
        <v>917</v>
      </c>
      <c r="M3" s="117"/>
      <c r="N3" s="117"/>
      <c r="O3" s="117"/>
      <c r="P3" s="117"/>
      <c r="Q3" s="117"/>
      <c r="R3" s="117"/>
    </row>
    <row r="4" spans="1:18" ht="14.25" customHeight="1">
      <c r="A4" s="110">
        <v>28</v>
      </c>
      <c r="B4" s="111" t="s">
        <v>272</v>
      </c>
      <c r="C4" s="111" t="s">
        <v>40</v>
      </c>
      <c r="D4" s="112" t="s">
        <v>767</v>
      </c>
      <c r="E4" s="112" t="s">
        <v>659</v>
      </c>
      <c r="F4" s="111" t="s">
        <v>625</v>
      </c>
      <c r="G4" s="113">
        <v>1</v>
      </c>
      <c r="H4" s="121"/>
      <c r="I4" s="114" t="s">
        <v>930</v>
      </c>
      <c r="J4" s="111"/>
      <c r="K4" s="101"/>
      <c r="L4" s="101" t="s">
        <v>632</v>
      </c>
      <c r="M4" s="101"/>
      <c r="N4" s="101"/>
      <c r="O4" s="101"/>
      <c r="P4" s="101"/>
      <c r="Q4" s="101"/>
    </row>
    <row r="5" spans="1:18" ht="14.25" customHeight="1">
      <c r="A5" s="110">
        <v>29</v>
      </c>
      <c r="B5" s="111" t="s">
        <v>273</v>
      </c>
      <c r="C5" s="111" t="s">
        <v>41</v>
      </c>
      <c r="D5" s="112" t="s">
        <v>769</v>
      </c>
      <c r="E5" s="112" t="s">
        <v>659</v>
      </c>
      <c r="F5" s="111" t="s">
        <v>625</v>
      </c>
      <c r="G5" s="113">
        <v>1</v>
      </c>
      <c r="H5" s="114"/>
      <c r="I5" s="112" t="s">
        <v>933</v>
      </c>
      <c r="J5" s="114" t="s">
        <v>934</v>
      </c>
      <c r="K5" s="101"/>
      <c r="L5" s="101"/>
      <c r="M5" s="101"/>
      <c r="N5" s="101"/>
      <c r="O5" s="101"/>
      <c r="P5" s="101"/>
      <c r="Q5" s="101"/>
    </row>
    <row r="6" spans="1:18" ht="14.25" customHeight="1">
      <c r="A6" s="110">
        <v>57</v>
      </c>
      <c r="B6" s="111" t="s">
        <v>274</v>
      </c>
      <c r="C6" s="111" t="s">
        <v>43</v>
      </c>
      <c r="D6" s="112" t="s">
        <v>835</v>
      </c>
      <c r="E6" s="112" t="s">
        <v>673</v>
      </c>
      <c r="F6" s="111" t="s">
        <v>670</v>
      </c>
      <c r="G6" s="113">
        <v>1</v>
      </c>
      <c r="H6" s="111"/>
      <c r="I6" s="101"/>
      <c r="J6" s="111"/>
      <c r="K6" s="101"/>
      <c r="L6" s="118" t="s">
        <v>635</v>
      </c>
      <c r="M6" s="118" t="s">
        <v>24</v>
      </c>
      <c r="N6" s="118"/>
      <c r="O6" s="118"/>
      <c r="P6" s="118"/>
      <c r="Q6" s="118"/>
      <c r="R6" s="118"/>
    </row>
    <row r="7" spans="1:18" ht="14.25" customHeight="1">
      <c r="A7" s="110">
        <v>11</v>
      </c>
      <c r="B7" s="111" t="s">
        <v>275</v>
      </c>
      <c r="C7" s="111" t="s">
        <v>44</v>
      </c>
      <c r="D7" s="112" t="s">
        <v>726</v>
      </c>
      <c r="E7" s="112" t="s">
        <v>624</v>
      </c>
      <c r="F7" s="111" t="s">
        <v>681</v>
      </c>
      <c r="G7" s="113"/>
      <c r="H7" s="111"/>
      <c r="I7" s="115" t="s">
        <v>924</v>
      </c>
      <c r="J7" s="111"/>
      <c r="K7" s="101"/>
      <c r="L7" s="101" t="s">
        <v>633</v>
      </c>
      <c r="M7" s="101" t="s">
        <v>636</v>
      </c>
      <c r="N7" s="101"/>
      <c r="O7" s="101"/>
      <c r="P7" s="101"/>
      <c r="Q7" s="101"/>
    </row>
    <row r="8" spans="1:18" ht="14.25" customHeight="1">
      <c r="A8" s="110">
        <v>86</v>
      </c>
      <c r="B8" s="111" t="s">
        <v>276</v>
      </c>
      <c r="C8" s="111" t="s">
        <v>45</v>
      </c>
      <c r="D8" s="112" t="s">
        <v>899</v>
      </c>
      <c r="E8" s="112" t="s">
        <v>686</v>
      </c>
      <c r="F8" s="111" t="s">
        <v>664</v>
      </c>
      <c r="G8" s="113">
        <v>0</v>
      </c>
      <c r="H8" s="114" t="s">
        <v>634</v>
      </c>
      <c r="I8" s="111"/>
      <c r="J8" s="111"/>
      <c r="K8" s="101"/>
      <c r="L8" s="101" t="s">
        <v>639</v>
      </c>
      <c r="M8" s="101" t="s">
        <v>636</v>
      </c>
      <c r="N8" s="101"/>
      <c r="O8" s="101"/>
      <c r="P8" s="101"/>
      <c r="Q8" s="101"/>
    </row>
    <row r="9" spans="1:18" ht="14.25" customHeight="1">
      <c r="A9" s="110">
        <v>50</v>
      </c>
      <c r="B9" s="111" t="s">
        <v>277</v>
      </c>
      <c r="C9" s="111" t="s">
        <v>46</v>
      </c>
      <c r="D9" s="112" t="s">
        <v>815</v>
      </c>
      <c r="E9" s="112" t="s">
        <v>669</v>
      </c>
      <c r="F9" s="111" t="s">
        <v>660</v>
      </c>
      <c r="G9" s="113">
        <v>0</v>
      </c>
      <c r="H9" s="114" t="s">
        <v>634</v>
      </c>
      <c r="I9" s="111"/>
      <c r="J9" s="111"/>
      <c r="K9" s="101"/>
      <c r="L9" s="101" t="s">
        <v>637</v>
      </c>
      <c r="M9" s="119" t="s">
        <v>640</v>
      </c>
      <c r="N9" s="119"/>
      <c r="O9" s="119"/>
      <c r="P9" s="119"/>
      <c r="Q9" s="119"/>
      <c r="R9" s="119"/>
    </row>
    <row r="10" spans="1:18" ht="14.25" customHeight="1">
      <c r="A10" s="110">
        <v>37</v>
      </c>
      <c r="B10" s="111" t="s">
        <v>278</v>
      </c>
      <c r="C10" s="111" t="s">
        <v>47</v>
      </c>
      <c r="D10" s="112" t="s">
        <v>787</v>
      </c>
      <c r="E10" s="112" t="s">
        <v>663</v>
      </c>
      <c r="F10" s="111" t="s">
        <v>651</v>
      </c>
      <c r="G10" s="113">
        <v>0</v>
      </c>
      <c r="H10" s="114" t="s">
        <v>637</v>
      </c>
      <c r="I10" s="114" t="s">
        <v>943</v>
      </c>
      <c r="J10" s="122" t="s">
        <v>944</v>
      </c>
      <c r="K10" s="101"/>
      <c r="L10" s="101" t="s">
        <v>626</v>
      </c>
      <c r="M10" s="119" t="s">
        <v>641</v>
      </c>
      <c r="N10" s="119"/>
      <c r="O10" s="119"/>
      <c r="P10" s="119"/>
      <c r="Q10" s="101"/>
    </row>
    <row r="11" spans="1:18" ht="14.25" customHeight="1">
      <c r="A11" s="110">
        <v>28</v>
      </c>
      <c r="B11" s="111" t="s">
        <v>279</v>
      </c>
      <c r="C11" s="111" t="s">
        <v>49</v>
      </c>
      <c r="D11" s="112" t="s">
        <v>768</v>
      </c>
      <c r="E11" s="112" t="s">
        <v>659</v>
      </c>
      <c r="F11" s="111" t="s">
        <v>625</v>
      </c>
      <c r="G11" s="113">
        <v>1</v>
      </c>
      <c r="H11" s="114"/>
      <c r="I11" s="114" t="s">
        <v>930</v>
      </c>
      <c r="J11" s="111"/>
      <c r="K11" s="101"/>
      <c r="L11" s="101" t="s">
        <v>642</v>
      </c>
      <c r="M11" s="119" t="s">
        <v>641</v>
      </c>
      <c r="N11" s="119"/>
      <c r="O11" s="119"/>
      <c r="P11" s="119"/>
      <c r="Q11" s="101"/>
    </row>
    <row r="12" spans="1:18" ht="14.25" customHeight="1">
      <c r="A12" s="110">
        <v>86</v>
      </c>
      <c r="B12" s="111" t="s">
        <v>280</v>
      </c>
      <c r="C12" s="111" t="s">
        <v>51</v>
      </c>
      <c r="D12" s="112" t="s">
        <v>900</v>
      </c>
      <c r="E12" s="112" t="s">
        <v>686</v>
      </c>
      <c r="F12" s="111" t="s">
        <v>664</v>
      </c>
      <c r="G12" s="113">
        <v>0</v>
      </c>
      <c r="H12" s="114" t="s">
        <v>634</v>
      </c>
      <c r="I12" s="101"/>
      <c r="J12" s="111"/>
      <c r="K12" s="101"/>
      <c r="L12" s="101" t="s">
        <v>634</v>
      </c>
      <c r="M12" s="101" t="s">
        <v>643</v>
      </c>
      <c r="N12" s="101"/>
      <c r="O12" s="101"/>
      <c r="P12" s="101"/>
      <c r="Q12" s="101"/>
    </row>
    <row r="13" spans="1:18" ht="14.25" customHeight="1">
      <c r="A13" s="110">
        <v>34</v>
      </c>
      <c r="B13" s="111" t="s">
        <v>281</v>
      </c>
      <c r="C13" s="111" t="s">
        <v>53</v>
      </c>
      <c r="D13" s="112" t="s">
        <v>781</v>
      </c>
      <c r="E13" s="112" t="s">
        <v>663</v>
      </c>
      <c r="F13" s="111" t="s">
        <v>651</v>
      </c>
      <c r="G13" s="113">
        <v>1</v>
      </c>
      <c r="H13" s="111"/>
      <c r="I13" s="111"/>
      <c r="J13" s="111"/>
      <c r="K13" s="101"/>
      <c r="M13" s="120" t="s">
        <v>644</v>
      </c>
      <c r="N13" s="101"/>
      <c r="O13" s="101"/>
      <c r="P13" s="101"/>
      <c r="Q13" s="101"/>
    </row>
    <row r="14" spans="1:18" ht="14.25" customHeight="1">
      <c r="A14" s="110">
        <v>11</v>
      </c>
      <c r="B14" s="111" t="s">
        <v>282</v>
      </c>
      <c r="C14" s="111" t="s">
        <v>54</v>
      </c>
      <c r="D14" s="112" t="s">
        <v>727</v>
      </c>
      <c r="E14" s="112" t="s">
        <v>624</v>
      </c>
      <c r="F14" s="111" t="s">
        <v>681</v>
      </c>
      <c r="G14" s="113">
        <v>1</v>
      </c>
      <c r="H14" s="111"/>
      <c r="I14" s="111"/>
      <c r="J14" s="111"/>
      <c r="K14" s="101"/>
      <c r="L14" s="101"/>
      <c r="N14" s="101"/>
      <c r="O14" s="101"/>
      <c r="P14" s="101"/>
      <c r="Q14" s="101"/>
    </row>
    <row r="15" spans="1:18" ht="14.25" customHeight="1">
      <c r="A15" s="110">
        <v>44</v>
      </c>
      <c r="B15" s="111" t="s">
        <v>283</v>
      </c>
      <c r="C15" s="111" t="s">
        <v>55</v>
      </c>
      <c r="D15" s="112" t="s">
        <v>802</v>
      </c>
      <c r="E15" s="112" t="s">
        <v>663</v>
      </c>
      <c r="F15" s="111" t="s">
        <v>651</v>
      </c>
      <c r="G15" s="113">
        <v>1</v>
      </c>
      <c r="H15" s="111"/>
      <c r="I15" s="114"/>
      <c r="J15" s="111"/>
      <c r="K15" s="101"/>
    </row>
    <row r="16" spans="1:18" ht="14.25" customHeight="1">
      <c r="A16" s="110">
        <v>50</v>
      </c>
      <c r="B16" s="111" t="s">
        <v>284</v>
      </c>
      <c r="C16" s="111" t="s">
        <v>56</v>
      </c>
      <c r="D16" s="112" t="s">
        <v>817</v>
      </c>
      <c r="E16" s="112" t="s">
        <v>669</v>
      </c>
      <c r="F16" s="111" t="s">
        <v>660</v>
      </c>
      <c r="G16" s="113">
        <v>0</v>
      </c>
      <c r="H16" s="114" t="s">
        <v>634</v>
      </c>
      <c r="I16" s="111"/>
      <c r="J16" s="111"/>
      <c r="K16" s="101"/>
    </row>
    <row r="17" spans="1:17" ht="14.25" customHeight="1">
      <c r="A17" s="110">
        <v>74</v>
      </c>
      <c r="B17" s="111" t="s">
        <v>285</v>
      </c>
      <c r="C17" s="111" t="s">
        <v>57</v>
      </c>
      <c r="D17" s="112" t="s">
        <v>875</v>
      </c>
      <c r="E17" s="112" t="s">
        <v>680</v>
      </c>
      <c r="F17" s="111" t="s">
        <v>674</v>
      </c>
      <c r="G17" s="113">
        <v>0</v>
      </c>
      <c r="H17" s="114" t="s">
        <v>634</v>
      </c>
      <c r="I17" s="111"/>
      <c r="J17" s="111"/>
      <c r="K17" s="101"/>
      <c r="L17" s="101"/>
      <c r="M17" s="101"/>
      <c r="N17" s="101"/>
      <c r="O17" s="101"/>
      <c r="P17" s="101"/>
      <c r="Q17" s="101"/>
    </row>
    <row r="18" spans="1:17" ht="14.25" customHeight="1">
      <c r="A18" s="110">
        <v>16</v>
      </c>
      <c r="B18" s="111" t="s">
        <v>286</v>
      </c>
      <c r="C18" s="111" t="s">
        <v>59</v>
      </c>
      <c r="D18" s="112" t="s">
        <v>739</v>
      </c>
      <c r="E18" s="112" t="s">
        <v>650</v>
      </c>
      <c r="F18" s="111" t="s">
        <v>687</v>
      </c>
      <c r="G18" s="113">
        <v>1</v>
      </c>
      <c r="H18" s="111"/>
      <c r="I18" s="111"/>
      <c r="J18" s="111"/>
      <c r="K18" s="101"/>
      <c r="L18" s="101"/>
      <c r="M18" s="101"/>
      <c r="N18" s="101"/>
      <c r="O18" s="101"/>
      <c r="P18" s="101"/>
      <c r="Q18" s="101"/>
    </row>
    <row r="19" spans="1:17" ht="14.25" customHeight="1">
      <c r="A19" s="110">
        <v>21</v>
      </c>
      <c r="B19" s="111" t="s">
        <v>287</v>
      </c>
      <c r="C19" s="111" t="s">
        <v>60</v>
      </c>
      <c r="D19" s="112" t="s">
        <v>750</v>
      </c>
      <c r="E19" s="112" t="s">
        <v>650</v>
      </c>
      <c r="F19" s="111" t="s">
        <v>687</v>
      </c>
      <c r="G19" s="113">
        <v>0</v>
      </c>
      <c r="H19" s="114" t="s">
        <v>637</v>
      </c>
      <c r="I19" s="114" t="s">
        <v>925</v>
      </c>
      <c r="J19" s="111"/>
      <c r="K19" s="101"/>
      <c r="L19" s="101"/>
      <c r="M19" s="101"/>
      <c r="N19" s="101"/>
      <c r="O19" s="101"/>
      <c r="P19" s="101"/>
      <c r="Q19" s="101"/>
    </row>
    <row r="20" spans="1:17" ht="14.25" customHeight="1">
      <c r="A20" s="110">
        <v>56</v>
      </c>
      <c r="B20" s="111" t="s">
        <v>288</v>
      </c>
      <c r="C20" s="111" t="s">
        <v>61</v>
      </c>
      <c r="D20" s="112" t="s">
        <v>833</v>
      </c>
      <c r="E20" s="112" t="s">
        <v>673</v>
      </c>
      <c r="F20" s="111" t="s">
        <v>670</v>
      </c>
      <c r="G20" s="113">
        <v>1</v>
      </c>
      <c r="H20" s="111"/>
      <c r="I20" s="101"/>
      <c r="J20" s="111"/>
      <c r="K20" s="101"/>
      <c r="L20" s="101"/>
      <c r="M20" s="101"/>
      <c r="N20" s="101"/>
      <c r="O20" s="101"/>
      <c r="P20" s="101"/>
      <c r="Q20" s="101"/>
    </row>
    <row r="21" spans="1:17" ht="14.25" customHeight="1">
      <c r="A21" s="110">
        <v>31</v>
      </c>
      <c r="B21" s="111" t="s">
        <v>289</v>
      </c>
      <c r="C21" s="111" t="s">
        <v>62</v>
      </c>
      <c r="D21" s="112" t="s">
        <v>775</v>
      </c>
      <c r="E21" s="112" t="s">
        <v>659</v>
      </c>
      <c r="F21" s="111" t="s">
        <v>625</v>
      </c>
      <c r="G21" s="113">
        <v>0</v>
      </c>
      <c r="H21" s="114" t="s">
        <v>642</v>
      </c>
      <c r="I21" s="114" t="s">
        <v>937</v>
      </c>
      <c r="J21" s="114" t="s">
        <v>938</v>
      </c>
      <c r="K21" s="101"/>
      <c r="L21" s="101"/>
      <c r="M21" s="101"/>
      <c r="N21" s="101"/>
      <c r="O21" s="101"/>
      <c r="P21" s="101"/>
      <c r="Q21" s="101"/>
    </row>
    <row r="22" spans="1:17" ht="14.25" customHeight="1">
      <c r="A22" s="110">
        <v>4</v>
      </c>
      <c r="B22" s="111" t="s">
        <v>290</v>
      </c>
      <c r="C22" s="111" t="s">
        <v>63</v>
      </c>
      <c r="D22" s="112" t="s">
        <v>710</v>
      </c>
      <c r="E22" s="112" t="s">
        <v>624</v>
      </c>
      <c r="F22" s="111" t="s">
        <v>681</v>
      </c>
      <c r="G22" s="113">
        <v>0</v>
      </c>
      <c r="H22" s="114" t="s">
        <v>642</v>
      </c>
      <c r="I22" s="114" t="s">
        <v>919</v>
      </c>
      <c r="J22" s="111"/>
      <c r="K22" s="101"/>
      <c r="L22" s="101"/>
      <c r="M22" s="101"/>
      <c r="N22" s="101"/>
      <c r="O22" s="101"/>
      <c r="P22" s="101"/>
      <c r="Q22" s="101"/>
    </row>
    <row r="23" spans="1:17" ht="14.25" customHeight="1">
      <c r="A23" s="110">
        <v>43</v>
      </c>
      <c r="B23" s="111" t="s">
        <v>291</v>
      </c>
      <c r="C23" s="111" t="s">
        <v>65</v>
      </c>
      <c r="D23" s="112" t="s">
        <v>800</v>
      </c>
      <c r="E23" s="112" t="s">
        <v>663</v>
      </c>
      <c r="F23" s="111" t="s">
        <v>651</v>
      </c>
      <c r="G23" s="113">
        <v>1</v>
      </c>
      <c r="H23" s="111"/>
      <c r="I23" s="101"/>
      <c r="J23" s="111"/>
      <c r="K23" s="101"/>
      <c r="L23" s="101"/>
      <c r="M23" s="101"/>
      <c r="N23" s="101"/>
      <c r="O23" s="101"/>
      <c r="P23" s="101"/>
      <c r="Q23" s="101"/>
    </row>
    <row r="24" spans="1:17" ht="14.25" customHeight="1">
      <c r="A24" s="110">
        <v>40</v>
      </c>
      <c r="B24" s="111" t="s">
        <v>293</v>
      </c>
      <c r="C24" s="111" t="s">
        <v>66</v>
      </c>
      <c r="D24" s="112" t="s">
        <v>793</v>
      </c>
      <c r="E24" s="112" t="s">
        <v>663</v>
      </c>
      <c r="F24" s="111" t="s">
        <v>651</v>
      </c>
      <c r="G24" s="113">
        <v>0</v>
      </c>
      <c r="H24" s="114" t="s">
        <v>626</v>
      </c>
      <c r="I24" s="114" t="s">
        <v>946</v>
      </c>
      <c r="J24" s="111"/>
      <c r="K24" s="101"/>
      <c r="L24" s="101"/>
      <c r="M24" s="101"/>
      <c r="N24" s="101"/>
      <c r="O24" s="101"/>
      <c r="P24" s="101"/>
      <c r="Q24" s="101"/>
    </row>
    <row r="25" spans="1:17" ht="14.25" customHeight="1">
      <c r="A25" s="110">
        <v>19</v>
      </c>
      <c r="B25" s="111" t="s">
        <v>294</v>
      </c>
      <c r="C25" s="111" t="s">
        <v>67</v>
      </c>
      <c r="D25" s="112" t="s">
        <v>745</v>
      </c>
      <c r="E25" s="112" t="s">
        <v>650</v>
      </c>
      <c r="F25" s="111" t="s">
        <v>687</v>
      </c>
      <c r="G25" s="113">
        <v>1</v>
      </c>
      <c r="H25" s="111"/>
      <c r="I25" s="111"/>
      <c r="J25" s="111"/>
      <c r="K25" s="101"/>
      <c r="L25" s="101"/>
      <c r="M25" s="101"/>
      <c r="N25" s="101"/>
      <c r="O25" s="101"/>
      <c r="P25" s="101"/>
      <c r="Q25" s="101"/>
    </row>
    <row r="26" spans="1:17" ht="14.25" customHeight="1">
      <c r="A26" s="110">
        <v>71</v>
      </c>
      <c r="B26" s="111" t="s">
        <v>295</v>
      </c>
      <c r="C26" s="111" t="s">
        <v>68</v>
      </c>
      <c r="D26" s="112" t="s">
        <v>869</v>
      </c>
      <c r="E26" s="112" t="s">
        <v>680</v>
      </c>
      <c r="F26" s="111" t="s">
        <v>674</v>
      </c>
      <c r="G26" s="113">
        <v>0</v>
      </c>
      <c r="H26" s="114" t="s">
        <v>634</v>
      </c>
      <c r="I26" s="111"/>
      <c r="J26" s="111"/>
      <c r="K26" s="101"/>
      <c r="L26" s="101"/>
      <c r="M26" s="101"/>
      <c r="N26" s="101"/>
      <c r="O26" s="101"/>
      <c r="P26" s="101"/>
      <c r="Q26" s="101"/>
    </row>
    <row r="27" spans="1:17" ht="14.25" customHeight="1">
      <c r="A27" s="110">
        <v>24</v>
      </c>
      <c r="B27" s="111" t="s">
        <v>296</v>
      </c>
      <c r="C27" s="111" t="s">
        <v>69</v>
      </c>
      <c r="D27" s="112" t="s">
        <v>757</v>
      </c>
      <c r="E27" s="112" t="s">
        <v>659</v>
      </c>
      <c r="F27" s="111" t="s">
        <v>625</v>
      </c>
      <c r="G27" s="113">
        <v>1</v>
      </c>
      <c r="H27" s="114"/>
      <c r="I27" s="101"/>
      <c r="J27" s="111"/>
      <c r="K27" s="101"/>
      <c r="L27" s="101"/>
      <c r="M27" s="101"/>
      <c r="N27" s="101"/>
      <c r="O27" s="101"/>
      <c r="P27" s="101"/>
      <c r="Q27" s="101"/>
    </row>
    <row r="28" spans="1:17" ht="14.25" customHeight="1">
      <c r="A28" s="110">
        <v>21</v>
      </c>
      <c r="B28" s="111" t="s">
        <v>297</v>
      </c>
      <c r="C28" s="111" t="s">
        <v>70</v>
      </c>
      <c r="D28" s="112" t="s">
        <v>751</v>
      </c>
      <c r="E28" s="112" t="s">
        <v>650</v>
      </c>
      <c r="F28" s="111" t="s">
        <v>687</v>
      </c>
      <c r="G28" s="113">
        <v>0</v>
      </c>
      <c r="H28" s="114" t="s">
        <v>637</v>
      </c>
      <c r="I28" s="114" t="s">
        <v>926</v>
      </c>
      <c r="J28" s="111"/>
      <c r="K28" s="101"/>
      <c r="L28" s="101"/>
      <c r="M28" s="101"/>
      <c r="N28" s="101"/>
      <c r="O28" s="101"/>
      <c r="P28" s="101"/>
      <c r="Q28" s="101"/>
    </row>
    <row r="29" spans="1:17" ht="14.25" customHeight="1">
      <c r="A29" s="110">
        <v>14</v>
      </c>
      <c r="B29" s="111" t="s">
        <v>298</v>
      </c>
      <c r="C29" s="111" t="s">
        <v>71</v>
      </c>
      <c r="D29" s="112" t="s">
        <v>732</v>
      </c>
      <c r="E29" s="112" t="s">
        <v>650</v>
      </c>
      <c r="F29" s="111" t="s">
        <v>687</v>
      </c>
      <c r="G29" s="113">
        <v>1</v>
      </c>
      <c r="H29" s="111"/>
      <c r="I29" s="111"/>
      <c r="J29" s="111"/>
      <c r="K29" s="101"/>
      <c r="L29" s="101"/>
      <c r="M29" s="101"/>
      <c r="N29" s="101"/>
      <c r="O29" s="101"/>
      <c r="P29" s="101"/>
      <c r="Q29" s="101"/>
    </row>
    <row r="30" spans="1:17" ht="14.25" customHeight="1">
      <c r="A30" s="110">
        <v>39</v>
      </c>
      <c r="B30" s="111" t="s">
        <v>299</v>
      </c>
      <c r="C30" s="111" t="s">
        <v>72</v>
      </c>
      <c r="D30" s="112" t="s">
        <v>792</v>
      </c>
      <c r="E30" s="112" t="s">
        <v>663</v>
      </c>
      <c r="F30" s="111" t="s">
        <v>651</v>
      </c>
      <c r="G30" s="113">
        <v>0</v>
      </c>
      <c r="H30" s="114" t="s">
        <v>634</v>
      </c>
      <c r="I30" s="238"/>
      <c r="J30" s="114" t="s">
        <v>945</v>
      </c>
      <c r="K30" s="101"/>
      <c r="L30" s="101"/>
      <c r="M30" s="101"/>
      <c r="N30" s="101"/>
      <c r="O30" s="101"/>
      <c r="P30" s="101"/>
      <c r="Q30" s="101"/>
    </row>
    <row r="31" spans="1:17" ht="14.25" customHeight="1">
      <c r="A31" s="110">
        <v>29</v>
      </c>
      <c r="B31" s="111" t="s">
        <v>300</v>
      </c>
      <c r="C31" s="111" t="s">
        <v>74</v>
      </c>
      <c r="D31" s="112" t="s">
        <v>770</v>
      </c>
      <c r="E31" s="112" t="s">
        <v>659</v>
      </c>
      <c r="F31" s="111" t="s">
        <v>625</v>
      </c>
      <c r="G31" s="113">
        <v>1</v>
      </c>
      <c r="H31" s="111"/>
      <c r="I31" s="111"/>
      <c r="J31" s="111"/>
      <c r="K31" s="101"/>
      <c r="L31" s="101"/>
      <c r="M31" s="101"/>
      <c r="N31" s="101"/>
      <c r="O31" s="101"/>
      <c r="P31" s="101"/>
      <c r="Q31" s="101"/>
    </row>
    <row r="32" spans="1:17" ht="14.25" customHeight="1">
      <c r="A32" s="110">
        <v>79</v>
      </c>
      <c r="B32" s="111" t="s">
        <v>301</v>
      </c>
      <c r="C32" s="111" t="s">
        <v>75</v>
      </c>
      <c r="D32" s="112" t="s">
        <v>884</v>
      </c>
      <c r="E32" s="112" t="s">
        <v>686</v>
      </c>
      <c r="F32" s="111" t="s">
        <v>664</v>
      </c>
      <c r="G32" s="113">
        <v>1</v>
      </c>
      <c r="H32" s="114"/>
      <c r="I32" s="112" t="s">
        <v>960</v>
      </c>
      <c r="J32" s="111"/>
      <c r="K32" s="101"/>
      <c r="L32" s="101"/>
      <c r="M32" s="101"/>
      <c r="N32" s="101"/>
      <c r="O32" s="101"/>
      <c r="P32" s="101"/>
      <c r="Q32" s="101"/>
    </row>
    <row r="33" spans="1:17" ht="14.25" customHeight="1">
      <c r="A33" s="110">
        <v>57</v>
      </c>
      <c r="B33" s="111" t="s">
        <v>302</v>
      </c>
      <c r="C33" s="111" t="s">
        <v>76</v>
      </c>
      <c r="D33" s="112" t="s">
        <v>836</v>
      </c>
      <c r="E33" s="112" t="s">
        <v>673</v>
      </c>
      <c r="F33" s="111" t="s">
        <v>670</v>
      </c>
      <c r="G33" s="113">
        <v>1</v>
      </c>
      <c r="H33" s="111"/>
      <c r="I33" s="111"/>
      <c r="J33" s="111"/>
      <c r="K33" s="101"/>
      <c r="L33" s="101"/>
      <c r="M33" s="101"/>
      <c r="N33" s="101"/>
      <c r="O33" s="101"/>
      <c r="P33" s="101"/>
      <c r="Q33" s="101"/>
    </row>
    <row r="34" spans="1:17" ht="14.25" customHeight="1">
      <c r="A34" s="110">
        <v>5</v>
      </c>
      <c r="B34" s="111" t="s">
        <v>303</v>
      </c>
      <c r="C34" s="111" t="s">
        <v>78</v>
      </c>
      <c r="D34" s="112" t="s">
        <v>712</v>
      </c>
      <c r="E34" s="112" t="s">
        <v>624</v>
      </c>
      <c r="F34" s="111" t="s">
        <v>681</v>
      </c>
      <c r="G34" s="113">
        <v>1</v>
      </c>
      <c r="H34" s="111"/>
      <c r="I34" s="111"/>
      <c r="J34" s="111"/>
      <c r="K34" s="101"/>
      <c r="L34" s="101"/>
      <c r="M34" s="101"/>
      <c r="N34" s="101"/>
      <c r="O34" s="101"/>
      <c r="P34" s="101"/>
      <c r="Q34" s="101"/>
    </row>
    <row r="35" spans="1:17" ht="14.25" customHeight="1">
      <c r="A35" s="110">
        <v>64</v>
      </c>
      <c r="B35" s="111" t="s">
        <v>304</v>
      </c>
      <c r="C35" s="111" t="s">
        <v>80</v>
      </c>
      <c r="D35" s="112" t="s">
        <v>853</v>
      </c>
      <c r="E35" s="112" t="s">
        <v>673</v>
      </c>
      <c r="F35" s="111" t="s">
        <v>670</v>
      </c>
      <c r="G35" s="113">
        <v>1</v>
      </c>
      <c r="H35" s="111"/>
      <c r="I35" s="111"/>
      <c r="J35" s="111"/>
      <c r="K35" s="101"/>
      <c r="L35" s="101"/>
      <c r="M35" s="101"/>
      <c r="N35" s="101"/>
      <c r="O35" s="101"/>
      <c r="P35" s="101"/>
      <c r="Q35" s="101"/>
    </row>
    <row r="36" spans="1:17" ht="14.25" customHeight="1">
      <c r="A36" s="110">
        <v>14</v>
      </c>
      <c r="B36" s="111" t="s">
        <v>305</v>
      </c>
      <c r="C36" s="111" t="s">
        <v>81</v>
      </c>
      <c r="D36" s="112" t="s">
        <v>734</v>
      </c>
      <c r="E36" s="112" t="s">
        <v>650</v>
      </c>
      <c r="F36" s="111" t="s">
        <v>687</v>
      </c>
      <c r="G36" s="113">
        <v>1</v>
      </c>
      <c r="H36" s="111"/>
      <c r="I36" s="111"/>
      <c r="J36" s="111"/>
      <c r="K36" s="101"/>
      <c r="L36" s="101"/>
      <c r="M36" s="101"/>
      <c r="N36" s="101"/>
      <c r="O36" s="101"/>
      <c r="P36" s="101"/>
      <c r="Q36" s="101"/>
    </row>
    <row r="37" spans="1:17" ht="14.25" customHeight="1">
      <c r="A37" s="110">
        <v>32</v>
      </c>
      <c r="B37" s="111" t="s">
        <v>306</v>
      </c>
      <c r="C37" s="111" t="s">
        <v>82</v>
      </c>
      <c r="D37" s="112" t="s">
        <v>778</v>
      </c>
      <c r="E37" s="112" t="s">
        <v>659</v>
      </c>
      <c r="F37" s="111" t="s">
        <v>625</v>
      </c>
      <c r="G37" s="113">
        <v>1</v>
      </c>
      <c r="H37" s="114"/>
      <c r="I37" s="112" t="s">
        <v>933</v>
      </c>
      <c r="J37" s="111"/>
      <c r="K37" s="101"/>
      <c r="L37" s="101"/>
      <c r="M37" s="101"/>
      <c r="N37" s="101"/>
      <c r="O37" s="101"/>
      <c r="P37" s="101"/>
      <c r="Q37" s="101"/>
    </row>
    <row r="38" spans="1:17" ht="14.25" customHeight="1">
      <c r="A38" s="110">
        <v>32</v>
      </c>
      <c r="B38" s="111" t="s">
        <v>307</v>
      </c>
      <c r="C38" s="111" t="s">
        <v>84</v>
      </c>
      <c r="D38" s="112" t="s">
        <v>779</v>
      </c>
      <c r="E38" s="112" t="s">
        <v>659</v>
      </c>
      <c r="F38" s="111" t="s">
        <v>625</v>
      </c>
      <c r="G38" s="113">
        <v>1</v>
      </c>
      <c r="H38" s="114"/>
      <c r="I38" s="114" t="s">
        <v>930</v>
      </c>
      <c r="J38" s="111"/>
      <c r="K38" s="101"/>
      <c r="L38" s="101"/>
      <c r="M38" s="101"/>
      <c r="N38" s="101"/>
      <c r="O38" s="101"/>
      <c r="P38" s="101"/>
      <c r="Q38" s="101"/>
    </row>
    <row r="39" spans="1:17" ht="14.25" customHeight="1">
      <c r="A39" s="110">
        <v>66</v>
      </c>
      <c r="B39" s="111" t="s">
        <v>308</v>
      </c>
      <c r="C39" s="111" t="s">
        <v>85</v>
      </c>
      <c r="D39" s="112" t="s">
        <v>857</v>
      </c>
      <c r="E39" s="112" t="s">
        <v>680</v>
      </c>
      <c r="F39" s="111" t="s">
        <v>674</v>
      </c>
      <c r="G39" s="113">
        <v>1</v>
      </c>
      <c r="H39" s="114"/>
      <c r="I39" s="101"/>
      <c r="J39" s="111"/>
      <c r="K39" s="101"/>
      <c r="L39" s="101"/>
      <c r="M39" s="101"/>
      <c r="N39" s="101"/>
      <c r="O39" s="101"/>
      <c r="P39" s="101"/>
      <c r="Q39" s="101"/>
    </row>
    <row r="40" spans="1:17" ht="14.25" customHeight="1">
      <c r="A40" s="110">
        <v>8</v>
      </c>
      <c r="B40" s="111" t="s">
        <v>309</v>
      </c>
      <c r="C40" s="111" t="s">
        <v>86</v>
      </c>
      <c r="D40" s="112" t="s">
        <v>719</v>
      </c>
      <c r="E40" s="112" t="s">
        <v>624</v>
      </c>
      <c r="F40" s="111" t="s">
        <v>681</v>
      </c>
      <c r="G40" s="113"/>
      <c r="H40" s="114" t="s">
        <v>626</v>
      </c>
      <c r="I40" s="114" t="s">
        <v>921</v>
      </c>
      <c r="J40" s="111"/>
      <c r="K40" s="101"/>
      <c r="L40" s="101"/>
      <c r="M40" s="101"/>
      <c r="N40" s="101"/>
      <c r="O40" s="101"/>
      <c r="P40" s="101"/>
      <c r="Q40" s="101"/>
    </row>
    <row r="41" spans="1:17" ht="14.25" customHeight="1">
      <c r="A41" s="110">
        <v>10</v>
      </c>
      <c r="B41" s="111" t="s">
        <v>310</v>
      </c>
      <c r="C41" s="111" t="s">
        <v>88</v>
      </c>
      <c r="D41" s="112" t="s">
        <v>724</v>
      </c>
      <c r="E41" s="112" t="s">
        <v>624</v>
      </c>
      <c r="F41" s="111" t="s">
        <v>681</v>
      </c>
      <c r="G41" s="113">
        <v>1</v>
      </c>
      <c r="H41" s="111"/>
      <c r="I41" s="114" t="s">
        <v>923</v>
      </c>
      <c r="J41" s="111"/>
      <c r="K41" s="101"/>
      <c r="L41" s="101"/>
      <c r="M41" s="101"/>
      <c r="N41" s="101"/>
      <c r="O41" s="101"/>
      <c r="P41" s="101"/>
      <c r="Q41" s="101"/>
    </row>
    <row r="42" spans="1:17" ht="14.25" customHeight="1">
      <c r="A42" s="110">
        <v>6</v>
      </c>
      <c r="B42" s="111" t="s">
        <v>311</v>
      </c>
      <c r="C42" s="111" t="s">
        <v>89</v>
      </c>
      <c r="D42" s="112" t="s">
        <v>715</v>
      </c>
      <c r="E42" s="112" t="s">
        <v>624</v>
      </c>
      <c r="F42" s="111" t="s">
        <v>681</v>
      </c>
      <c r="G42" s="113">
        <v>1</v>
      </c>
      <c r="H42" s="111"/>
      <c r="I42" s="114" t="s">
        <v>920</v>
      </c>
      <c r="J42" s="111"/>
      <c r="K42" s="101"/>
      <c r="L42" s="101"/>
      <c r="M42" s="101"/>
      <c r="N42" s="101"/>
      <c r="O42" s="101"/>
      <c r="P42" s="101"/>
      <c r="Q42" s="101"/>
    </row>
    <row r="43" spans="1:17" ht="14.25" customHeight="1">
      <c r="A43" s="110">
        <v>48</v>
      </c>
      <c r="B43" s="111" t="s">
        <v>312</v>
      </c>
      <c r="C43" s="111" t="s">
        <v>90</v>
      </c>
      <c r="D43" s="112" t="s">
        <v>811</v>
      </c>
      <c r="E43" s="112" t="s">
        <v>669</v>
      </c>
      <c r="F43" s="111" t="s">
        <v>660</v>
      </c>
      <c r="G43" s="113">
        <v>1</v>
      </c>
      <c r="H43" s="111"/>
      <c r="I43" s="111"/>
      <c r="J43" s="111"/>
      <c r="K43" s="101"/>
      <c r="L43" s="101"/>
      <c r="M43" s="101"/>
      <c r="N43" s="101"/>
      <c r="O43" s="101"/>
      <c r="P43" s="101"/>
      <c r="Q43" s="101"/>
    </row>
    <row r="44" spans="1:17" ht="14.25" customHeight="1">
      <c r="A44" s="110">
        <v>18</v>
      </c>
      <c r="B44" s="111" t="s">
        <v>313</v>
      </c>
      <c r="C44" s="111" t="s">
        <v>91</v>
      </c>
      <c r="D44" s="112" t="s">
        <v>743</v>
      </c>
      <c r="E44" s="112" t="s">
        <v>650</v>
      </c>
      <c r="F44" s="111" t="s">
        <v>687</v>
      </c>
      <c r="G44" s="113">
        <v>1</v>
      </c>
      <c r="H44" s="111"/>
      <c r="I44" s="111"/>
      <c r="J44" s="111"/>
      <c r="K44" s="101"/>
      <c r="L44" s="101"/>
      <c r="M44" s="101"/>
      <c r="N44" s="101"/>
      <c r="O44" s="101"/>
      <c r="P44" s="101"/>
      <c r="Q44" s="101"/>
    </row>
    <row r="45" spans="1:17" ht="14.25" customHeight="1">
      <c r="A45" s="110">
        <v>15</v>
      </c>
      <c r="B45" s="111" t="s">
        <v>314</v>
      </c>
      <c r="C45" s="111" t="s">
        <v>92</v>
      </c>
      <c r="D45" s="112" t="s">
        <v>736</v>
      </c>
      <c r="E45" s="112" t="s">
        <v>650</v>
      </c>
      <c r="F45" s="111" t="s">
        <v>687</v>
      </c>
      <c r="G45" s="113">
        <v>1</v>
      </c>
      <c r="H45" s="111"/>
      <c r="I45" s="111"/>
      <c r="J45" s="111"/>
      <c r="K45" s="101"/>
      <c r="L45" s="101"/>
      <c r="M45" s="101"/>
      <c r="N45" s="101"/>
      <c r="O45" s="101"/>
      <c r="P45" s="101"/>
      <c r="Q45" s="101"/>
    </row>
    <row r="46" spans="1:17" ht="14.25" customHeight="1">
      <c r="A46" s="110">
        <v>34</v>
      </c>
      <c r="B46" s="111" t="s">
        <v>315</v>
      </c>
      <c r="C46" s="111" t="s">
        <v>93</v>
      </c>
      <c r="D46" s="112" t="s">
        <v>782</v>
      </c>
      <c r="E46" s="112" t="s">
        <v>663</v>
      </c>
      <c r="F46" s="111" t="s">
        <v>651</v>
      </c>
      <c r="G46" s="113">
        <v>1</v>
      </c>
      <c r="H46" s="111"/>
      <c r="I46" s="111"/>
      <c r="J46" s="111"/>
      <c r="K46" s="101"/>
      <c r="L46" s="101"/>
      <c r="M46" s="101"/>
      <c r="N46" s="101"/>
      <c r="O46" s="101"/>
      <c r="P46" s="101"/>
      <c r="Q46" s="101"/>
    </row>
    <row r="47" spans="1:17" ht="14.25" customHeight="1">
      <c r="A47" s="110">
        <v>48</v>
      </c>
      <c r="B47" s="111" t="s">
        <v>316</v>
      </c>
      <c r="C47" s="111" t="s">
        <v>95</v>
      </c>
      <c r="D47" s="112" t="s">
        <v>812</v>
      </c>
      <c r="E47" s="112" t="s">
        <v>669</v>
      </c>
      <c r="F47" s="111" t="s">
        <v>660</v>
      </c>
      <c r="G47" s="113">
        <v>0</v>
      </c>
      <c r="H47" s="114" t="s">
        <v>626</v>
      </c>
      <c r="I47" s="114" t="s">
        <v>949</v>
      </c>
      <c r="J47" s="111"/>
      <c r="K47" s="101"/>
      <c r="L47" s="101"/>
      <c r="M47" s="101"/>
      <c r="N47" s="101"/>
      <c r="O47" s="101"/>
      <c r="P47" s="101"/>
      <c r="Q47" s="101"/>
    </row>
    <row r="48" spans="1:17" ht="14.25" customHeight="1">
      <c r="A48" s="110">
        <v>16</v>
      </c>
      <c r="B48" s="111" t="s">
        <v>317</v>
      </c>
      <c r="C48" s="111" t="s">
        <v>97</v>
      </c>
      <c r="D48" s="112" t="s">
        <v>740</v>
      </c>
      <c r="E48" s="112" t="s">
        <v>650</v>
      </c>
      <c r="F48" s="111" t="s">
        <v>687</v>
      </c>
      <c r="G48" s="113">
        <v>1</v>
      </c>
      <c r="H48" s="111"/>
      <c r="I48" s="111"/>
      <c r="J48" s="111"/>
      <c r="K48" s="101"/>
      <c r="L48" s="101"/>
      <c r="M48" s="101"/>
      <c r="N48" s="101"/>
      <c r="O48" s="101"/>
      <c r="P48" s="101"/>
      <c r="Q48" s="101"/>
    </row>
    <row r="49" spans="1:17" ht="14.25" customHeight="1">
      <c r="A49" s="110">
        <v>33</v>
      </c>
      <c r="B49" s="111" t="s">
        <v>318</v>
      </c>
      <c r="C49" s="111" t="s">
        <v>98</v>
      </c>
      <c r="D49" s="112" t="s">
        <v>99</v>
      </c>
      <c r="E49" s="112" t="s">
        <v>659</v>
      </c>
      <c r="F49" s="111" t="s">
        <v>625</v>
      </c>
      <c r="G49" s="113">
        <v>0</v>
      </c>
      <c r="H49" s="114" t="s">
        <v>642</v>
      </c>
      <c r="I49" s="114" t="s">
        <v>940</v>
      </c>
      <c r="J49" s="111"/>
      <c r="K49" s="101"/>
      <c r="L49" s="101"/>
      <c r="M49" s="101"/>
      <c r="N49" s="101"/>
      <c r="O49" s="101"/>
      <c r="P49" s="101"/>
      <c r="Q49" s="101"/>
    </row>
    <row r="50" spans="1:17" ht="14.25" customHeight="1">
      <c r="A50" s="110">
        <v>10</v>
      </c>
      <c r="B50" s="111" t="s">
        <v>319</v>
      </c>
      <c r="C50" s="111" t="s">
        <v>100</v>
      </c>
      <c r="D50" s="112" t="s">
        <v>725</v>
      </c>
      <c r="E50" s="112" t="s">
        <v>624</v>
      </c>
      <c r="F50" s="111" t="s">
        <v>681</v>
      </c>
      <c r="G50" s="113">
        <v>1</v>
      </c>
      <c r="H50" s="111"/>
      <c r="I50" s="111"/>
      <c r="J50" s="111"/>
      <c r="K50" s="101"/>
      <c r="L50" s="101"/>
      <c r="M50" s="101"/>
      <c r="N50" s="101"/>
      <c r="O50" s="101"/>
      <c r="P50" s="101"/>
      <c r="Q50" s="101"/>
    </row>
    <row r="51" spans="1:17" ht="14.25" customHeight="1">
      <c r="A51" s="110">
        <v>13</v>
      </c>
      <c r="B51" s="111" t="s">
        <v>320</v>
      </c>
      <c r="C51" s="111" t="s">
        <v>101</v>
      </c>
      <c r="D51" s="112" t="s">
        <v>730</v>
      </c>
      <c r="E51" s="112" t="s">
        <v>650</v>
      </c>
      <c r="F51" s="111" t="s">
        <v>687</v>
      </c>
      <c r="G51" s="113">
        <v>1</v>
      </c>
      <c r="H51" s="111"/>
      <c r="I51" s="101"/>
      <c r="J51" s="111"/>
      <c r="K51" s="101"/>
      <c r="L51" s="101"/>
      <c r="M51" s="101"/>
      <c r="N51" s="101"/>
      <c r="O51" s="101"/>
      <c r="P51" s="101"/>
      <c r="Q51" s="101"/>
    </row>
    <row r="52" spans="1:17" ht="14.25" customHeight="1">
      <c r="A52" s="110">
        <v>66</v>
      </c>
      <c r="B52" s="111" t="s">
        <v>321</v>
      </c>
      <c r="C52" s="111" t="s">
        <v>102</v>
      </c>
      <c r="D52" s="112" t="s">
        <v>858</v>
      </c>
      <c r="E52" s="112" t="s">
        <v>680</v>
      </c>
      <c r="F52" s="111" t="s">
        <v>674</v>
      </c>
      <c r="G52" s="113">
        <v>1</v>
      </c>
      <c r="H52" s="111"/>
      <c r="I52" s="111"/>
      <c r="J52" s="111"/>
      <c r="K52" s="101"/>
      <c r="L52" s="101"/>
      <c r="M52" s="101"/>
      <c r="N52" s="101"/>
      <c r="O52" s="101"/>
      <c r="P52" s="101"/>
      <c r="Q52" s="101"/>
    </row>
    <row r="53" spans="1:17" ht="14.25" customHeight="1">
      <c r="A53" s="110">
        <v>56</v>
      </c>
      <c r="B53" s="111" t="s">
        <v>322</v>
      </c>
      <c r="C53" s="111" t="s">
        <v>103</v>
      </c>
      <c r="D53" s="112" t="s">
        <v>834</v>
      </c>
      <c r="E53" s="112" t="s">
        <v>673</v>
      </c>
      <c r="F53" s="111" t="s">
        <v>670</v>
      </c>
      <c r="G53" s="113">
        <v>1</v>
      </c>
      <c r="H53" s="111"/>
      <c r="I53" s="111"/>
      <c r="J53" s="111"/>
      <c r="K53" s="101"/>
      <c r="L53" s="101"/>
      <c r="M53" s="101"/>
      <c r="N53" s="101"/>
      <c r="O53" s="101"/>
      <c r="P53" s="101"/>
      <c r="Q53" s="101"/>
    </row>
    <row r="54" spans="1:17" ht="14.25" customHeight="1">
      <c r="A54" s="110">
        <v>62</v>
      </c>
      <c r="B54" s="111" t="s">
        <v>323</v>
      </c>
      <c r="C54" s="111" t="s">
        <v>103</v>
      </c>
      <c r="D54" s="112" t="s">
        <v>848</v>
      </c>
      <c r="E54" s="112" t="s">
        <v>673</v>
      </c>
      <c r="F54" s="111" t="s">
        <v>670</v>
      </c>
      <c r="G54" s="113">
        <v>1</v>
      </c>
      <c r="H54" s="111"/>
      <c r="I54" s="111"/>
      <c r="J54" s="111"/>
      <c r="K54" s="101"/>
      <c r="L54" s="101"/>
      <c r="M54" s="101"/>
      <c r="N54" s="101"/>
      <c r="O54" s="101"/>
      <c r="P54" s="101"/>
      <c r="Q54" s="101"/>
    </row>
    <row r="55" spans="1:17" ht="14.25" customHeight="1">
      <c r="A55" s="110">
        <v>13</v>
      </c>
      <c r="B55" s="111" t="s">
        <v>324</v>
      </c>
      <c r="C55" s="111" t="s">
        <v>104</v>
      </c>
      <c r="D55" s="112" t="s">
        <v>731</v>
      </c>
      <c r="E55" s="112" t="s">
        <v>650</v>
      </c>
      <c r="F55" s="111" t="s">
        <v>687</v>
      </c>
      <c r="G55" s="113">
        <v>1</v>
      </c>
      <c r="H55" s="111"/>
      <c r="I55" s="111"/>
      <c r="J55" s="111"/>
      <c r="K55" s="101"/>
      <c r="L55" s="101"/>
      <c r="M55" s="101"/>
      <c r="N55" s="101"/>
      <c r="O55" s="101"/>
      <c r="P55" s="101"/>
      <c r="Q55" s="101"/>
    </row>
    <row r="56" spans="1:17" ht="14.25" customHeight="1">
      <c r="A56" s="110">
        <v>70</v>
      </c>
      <c r="B56" s="111" t="s">
        <v>325</v>
      </c>
      <c r="C56" s="111" t="s">
        <v>106</v>
      </c>
      <c r="D56" s="112" t="s">
        <v>866</v>
      </c>
      <c r="E56" s="112" t="s">
        <v>680</v>
      </c>
      <c r="F56" s="111" t="s">
        <v>674</v>
      </c>
      <c r="G56" s="113">
        <v>0</v>
      </c>
      <c r="H56" s="114" t="s">
        <v>634</v>
      </c>
      <c r="I56" s="111"/>
      <c r="J56" s="111"/>
      <c r="K56" s="101"/>
      <c r="L56" s="101"/>
      <c r="M56" s="101"/>
      <c r="N56" s="101"/>
      <c r="O56" s="101"/>
      <c r="P56" s="101"/>
      <c r="Q56" s="101"/>
    </row>
    <row r="57" spans="1:17" ht="14.25" customHeight="1">
      <c r="A57" s="110">
        <v>9</v>
      </c>
      <c r="B57" s="111" t="s">
        <v>326</v>
      </c>
      <c r="C57" s="111" t="s">
        <v>18</v>
      </c>
      <c r="D57" s="112" t="s">
        <v>722</v>
      </c>
      <c r="E57" s="112" t="s">
        <v>624</v>
      </c>
      <c r="F57" s="111" t="s">
        <v>681</v>
      </c>
      <c r="G57" s="113">
        <v>1</v>
      </c>
      <c r="H57" s="111"/>
      <c r="I57" s="111"/>
      <c r="J57" s="111"/>
      <c r="K57" s="101"/>
      <c r="L57" s="101"/>
      <c r="M57" s="101"/>
      <c r="N57" s="101"/>
      <c r="O57" s="101"/>
      <c r="P57" s="101"/>
      <c r="Q57" s="101"/>
    </row>
    <row r="58" spans="1:17" ht="14.25" customHeight="1">
      <c r="A58" s="110">
        <v>85</v>
      </c>
      <c r="B58" s="111" t="s">
        <v>327</v>
      </c>
      <c r="C58" s="111" t="s">
        <v>107</v>
      </c>
      <c r="D58" s="112" t="s">
        <v>896</v>
      </c>
      <c r="E58" s="112" t="s">
        <v>686</v>
      </c>
      <c r="F58" s="111" t="s">
        <v>664</v>
      </c>
      <c r="G58" s="113">
        <v>1</v>
      </c>
      <c r="H58" s="111"/>
      <c r="I58" s="111"/>
      <c r="J58" s="111"/>
      <c r="K58" s="101"/>
      <c r="L58" s="101"/>
      <c r="M58" s="101"/>
      <c r="N58" s="101"/>
      <c r="O58" s="101"/>
      <c r="P58" s="101"/>
      <c r="Q58" s="101"/>
    </row>
    <row r="59" spans="1:17" ht="14.25" customHeight="1">
      <c r="A59" s="110">
        <v>53</v>
      </c>
      <c r="B59" s="111" t="s">
        <v>328</v>
      </c>
      <c r="C59" s="111" t="s">
        <v>109</v>
      </c>
      <c r="D59" s="112" t="s">
        <v>825</v>
      </c>
      <c r="E59" s="112" t="s">
        <v>669</v>
      </c>
      <c r="F59" s="111" t="s">
        <v>660</v>
      </c>
      <c r="G59" s="113">
        <v>0</v>
      </c>
      <c r="H59" s="114" t="s">
        <v>642</v>
      </c>
      <c r="I59" s="114" t="s">
        <v>952</v>
      </c>
      <c r="J59" s="111"/>
      <c r="K59" s="101"/>
      <c r="L59" s="101"/>
      <c r="M59" s="101"/>
      <c r="N59" s="101"/>
      <c r="O59" s="101"/>
      <c r="P59" s="101"/>
      <c r="Q59" s="101"/>
    </row>
    <row r="60" spans="1:17" ht="14.25" customHeight="1">
      <c r="A60" s="110">
        <v>22</v>
      </c>
      <c r="B60" s="111" t="s">
        <v>330</v>
      </c>
      <c r="C60" s="111" t="s">
        <v>110</v>
      </c>
      <c r="D60" s="112" t="s">
        <v>752</v>
      </c>
      <c r="E60" s="112" t="s">
        <v>650</v>
      </c>
      <c r="F60" s="111" t="s">
        <v>687</v>
      </c>
      <c r="G60" s="113">
        <v>1</v>
      </c>
      <c r="H60" s="111"/>
      <c r="I60" s="101"/>
      <c r="J60" s="111"/>
      <c r="K60" s="101"/>
      <c r="L60" s="101"/>
      <c r="M60" s="101"/>
      <c r="N60" s="101"/>
      <c r="O60" s="101"/>
      <c r="P60" s="101"/>
      <c r="Q60" s="101"/>
    </row>
    <row r="61" spans="1:17" ht="14.25" customHeight="1">
      <c r="A61" s="110">
        <v>87</v>
      </c>
      <c r="B61" s="111" t="s">
        <v>331</v>
      </c>
      <c r="C61" s="111" t="s">
        <v>112</v>
      </c>
      <c r="D61" s="112">
        <v>2341547</v>
      </c>
      <c r="E61" s="112" t="s">
        <v>680</v>
      </c>
      <c r="F61" s="111" t="s">
        <v>674</v>
      </c>
      <c r="G61" s="113">
        <v>1</v>
      </c>
      <c r="H61" s="111"/>
      <c r="I61" s="111"/>
      <c r="J61" s="111"/>
      <c r="K61" s="101"/>
      <c r="L61" s="101"/>
      <c r="M61" s="101"/>
      <c r="N61" s="101"/>
      <c r="O61" s="101"/>
      <c r="P61" s="101"/>
      <c r="Q61" s="101"/>
    </row>
    <row r="62" spans="1:17" ht="14.25" customHeight="1">
      <c r="A62" s="110">
        <v>25</v>
      </c>
      <c r="B62" s="111" t="s">
        <v>332</v>
      </c>
      <c r="C62" s="111" t="s">
        <v>113</v>
      </c>
      <c r="D62" s="112" t="s">
        <v>759</v>
      </c>
      <c r="E62" s="112" t="s">
        <v>659</v>
      </c>
      <c r="F62" s="111" t="s">
        <v>625</v>
      </c>
      <c r="G62" s="113">
        <v>0</v>
      </c>
      <c r="H62" s="114" t="s">
        <v>634</v>
      </c>
      <c r="I62" s="111"/>
      <c r="J62" s="111"/>
      <c r="K62" s="113"/>
      <c r="L62" s="101"/>
      <c r="M62" s="101"/>
      <c r="N62" s="101"/>
      <c r="O62" s="101"/>
      <c r="P62" s="101"/>
      <c r="Q62" s="101"/>
    </row>
    <row r="63" spans="1:17" ht="14.25" customHeight="1">
      <c r="A63" s="110">
        <v>77</v>
      </c>
      <c r="B63" s="111" t="s">
        <v>333</v>
      </c>
      <c r="C63" s="111" t="s">
        <v>115</v>
      </c>
      <c r="D63" s="112" t="s">
        <v>878</v>
      </c>
      <c r="E63" s="112" t="s">
        <v>686</v>
      </c>
      <c r="F63" s="111" t="s">
        <v>664</v>
      </c>
      <c r="G63" s="113">
        <v>1</v>
      </c>
      <c r="H63" s="114"/>
      <c r="I63" s="112" t="s">
        <v>960</v>
      </c>
      <c r="J63" s="101"/>
      <c r="K63" s="101"/>
      <c r="L63" s="101"/>
      <c r="M63" s="101"/>
      <c r="N63" s="101"/>
      <c r="O63" s="101"/>
      <c r="P63" s="101"/>
      <c r="Q63" s="101"/>
    </row>
    <row r="64" spans="1:17" ht="14.25" customHeight="1">
      <c r="A64" s="110">
        <v>15</v>
      </c>
      <c r="B64" s="111" t="s">
        <v>334</v>
      </c>
      <c r="C64" s="111" t="s">
        <v>19</v>
      </c>
      <c r="D64" s="112" t="s">
        <v>738</v>
      </c>
      <c r="E64" s="112" t="s">
        <v>650</v>
      </c>
      <c r="F64" s="111" t="s">
        <v>687</v>
      </c>
      <c r="G64" s="113">
        <v>1</v>
      </c>
      <c r="H64" s="111"/>
      <c r="I64" s="111"/>
      <c r="J64" s="112"/>
      <c r="K64" s="101"/>
      <c r="L64" s="101"/>
      <c r="M64" s="101"/>
      <c r="N64" s="101"/>
      <c r="O64" s="101"/>
      <c r="P64" s="101"/>
      <c r="Q64" s="101"/>
    </row>
    <row r="65" spans="1:17" ht="14.25" customHeight="1">
      <c r="A65" s="110">
        <v>38</v>
      </c>
      <c r="B65" s="111" t="s">
        <v>335</v>
      </c>
      <c r="C65" s="111" t="s">
        <v>118</v>
      </c>
      <c r="D65" s="112" t="s">
        <v>789</v>
      </c>
      <c r="E65" s="112" t="s">
        <v>663</v>
      </c>
      <c r="F65" s="111" t="s">
        <v>651</v>
      </c>
      <c r="G65" s="113">
        <v>1</v>
      </c>
      <c r="H65" s="111"/>
      <c r="I65" s="111"/>
      <c r="J65" s="111"/>
      <c r="K65" s="101"/>
      <c r="L65" s="101"/>
      <c r="M65" s="101"/>
      <c r="N65" s="101"/>
      <c r="O65" s="101"/>
      <c r="P65" s="101"/>
      <c r="Q65" s="101"/>
    </row>
    <row r="66" spans="1:17" ht="14.25" customHeight="1">
      <c r="A66" s="110">
        <v>35</v>
      </c>
      <c r="B66" s="111" t="s">
        <v>336</v>
      </c>
      <c r="C66" s="111" t="s">
        <v>119</v>
      </c>
      <c r="D66" s="112" t="s">
        <v>783</v>
      </c>
      <c r="E66" s="112" t="s">
        <v>663</v>
      </c>
      <c r="F66" s="111" t="s">
        <v>651</v>
      </c>
      <c r="G66" s="113">
        <v>0</v>
      </c>
      <c r="H66" s="114" t="s">
        <v>637</v>
      </c>
      <c r="I66" s="114" t="s">
        <v>941</v>
      </c>
      <c r="J66" s="111"/>
      <c r="K66" s="101"/>
      <c r="L66" s="101"/>
      <c r="M66" s="101"/>
      <c r="N66" s="101"/>
      <c r="O66" s="101"/>
      <c r="P66" s="101"/>
      <c r="Q66" s="101"/>
    </row>
    <row r="67" spans="1:17" ht="14.25" customHeight="1">
      <c r="A67" s="110">
        <v>47</v>
      </c>
      <c r="B67" s="111" t="s">
        <v>337</v>
      </c>
      <c r="C67" s="111" t="s">
        <v>121</v>
      </c>
      <c r="D67" s="112" t="s">
        <v>809</v>
      </c>
      <c r="E67" s="112" t="s">
        <v>669</v>
      </c>
      <c r="F67" s="111" t="s">
        <v>660</v>
      </c>
      <c r="G67" s="113">
        <v>0</v>
      </c>
      <c r="H67" s="114" t="s">
        <v>637</v>
      </c>
      <c r="I67" s="114" t="s">
        <v>648</v>
      </c>
      <c r="J67" s="111"/>
      <c r="K67" s="101"/>
      <c r="L67" s="101"/>
      <c r="M67" s="101"/>
      <c r="N67" s="101"/>
      <c r="O67" s="101"/>
      <c r="P67" s="101"/>
      <c r="Q67" s="101"/>
    </row>
    <row r="68" spans="1:17" ht="14.25" customHeight="1">
      <c r="A68" s="110">
        <v>53</v>
      </c>
      <c r="B68" s="111" t="s">
        <v>338</v>
      </c>
      <c r="C68" s="111" t="s">
        <v>122</v>
      </c>
      <c r="D68" s="112" t="s">
        <v>827</v>
      </c>
      <c r="E68" s="112" t="s">
        <v>669</v>
      </c>
      <c r="F68" s="111" t="s">
        <v>660</v>
      </c>
      <c r="G68" s="113">
        <v>0</v>
      </c>
      <c r="H68" s="114" t="s">
        <v>626</v>
      </c>
      <c r="I68" s="112" t="s">
        <v>953</v>
      </c>
      <c r="J68" s="111"/>
      <c r="K68" s="101"/>
      <c r="L68" s="101"/>
      <c r="M68" s="101"/>
      <c r="N68" s="101"/>
      <c r="O68" s="101"/>
      <c r="P68" s="101"/>
      <c r="Q68" s="101"/>
    </row>
    <row r="69" spans="1:17" ht="14.25" customHeight="1">
      <c r="A69" s="110">
        <v>54</v>
      </c>
      <c r="B69" s="111" t="s">
        <v>339</v>
      </c>
      <c r="C69" s="111" t="s">
        <v>123</v>
      </c>
      <c r="D69" s="112" t="s">
        <v>828</v>
      </c>
      <c r="E69" s="112" t="s">
        <v>669</v>
      </c>
      <c r="F69" s="111" t="s">
        <v>660</v>
      </c>
      <c r="G69" s="113">
        <v>1</v>
      </c>
      <c r="H69" s="111"/>
      <c r="I69" s="111"/>
      <c r="J69" s="111"/>
      <c r="K69" s="101"/>
      <c r="L69" s="101"/>
      <c r="M69" s="101"/>
      <c r="N69" s="101"/>
      <c r="O69" s="101"/>
      <c r="P69" s="101"/>
      <c r="Q69" s="101"/>
    </row>
    <row r="70" spans="1:17" ht="14.25" customHeight="1">
      <c r="A70" s="110">
        <v>12</v>
      </c>
      <c r="B70" s="111" t="s">
        <v>340</v>
      </c>
      <c r="C70" s="111" t="s">
        <v>125</v>
      </c>
      <c r="D70" s="112" t="s">
        <v>728</v>
      </c>
      <c r="E70" s="112" t="s">
        <v>650</v>
      </c>
      <c r="F70" s="111" t="s">
        <v>687</v>
      </c>
      <c r="G70" s="113">
        <v>1</v>
      </c>
      <c r="H70" s="111"/>
      <c r="I70" s="101"/>
      <c r="J70" s="111"/>
      <c r="K70" s="101"/>
      <c r="L70" s="101"/>
      <c r="M70" s="101"/>
      <c r="N70" s="101"/>
      <c r="O70" s="101"/>
      <c r="P70" s="101"/>
      <c r="Q70" s="101"/>
    </row>
    <row r="71" spans="1:17" ht="14.25" customHeight="1">
      <c r="A71" s="110">
        <v>77</v>
      </c>
      <c r="B71" s="111" t="s">
        <v>341</v>
      </c>
      <c r="C71" s="111" t="s">
        <v>127</v>
      </c>
      <c r="D71" s="112" t="s">
        <v>880</v>
      </c>
      <c r="E71" s="112" t="s">
        <v>686</v>
      </c>
      <c r="F71" s="111" t="s">
        <v>664</v>
      </c>
      <c r="G71" s="113">
        <v>0</v>
      </c>
      <c r="H71" s="114" t="s">
        <v>642</v>
      </c>
      <c r="I71" s="114" t="s">
        <v>1003</v>
      </c>
      <c r="J71" s="101"/>
      <c r="K71" s="101"/>
      <c r="L71" s="101"/>
      <c r="M71" s="101"/>
      <c r="N71" s="101"/>
      <c r="O71" s="101"/>
      <c r="P71" s="101"/>
      <c r="Q71" s="101"/>
    </row>
    <row r="72" spans="1:17" ht="14.25" customHeight="1">
      <c r="A72" s="110">
        <v>58</v>
      </c>
      <c r="B72" s="111" t="s">
        <v>342</v>
      </c>
      <c r="C72" s="111" t="s">
        <v>128</v>
      </c>
      <c r="D72" s="112" t="s">
        <v>838</v>
      </c>
      <c r="E72" s="112" t="s">
        <v>673</v>
      </c>
      <c r="F72" s="111" t="s">
        <v>670</v>
      </c>
      <c r="G72" s="113">
        <v>0</v>
      </c>
      <c r="H72" s="114" t="s">
        <v>634</v>
      </c>
      <c r="I72" s="114" t="s">
        <v>955</v>
      </c>
      <c r="J72" s="111"/>
      <c r="K72" s="101"/>
      <c r="L72" s="101"/>
      <c r="M72" s="101"/>
      <c r="N72" s="101"/>
      <c r="O72" s="101"/>
      <c r="P72" s="101"/>
      <c r="Q72" s="101"/>
    </row>
    <row r="73" spans="1:17" ht="14.25" customHeight="1">
      <c r="A73" s="110">
        <v>72</v>
      </c>
      <c r="B73" s="111" t="s">
        <v>343</v>
      </c>
      <c r="C73" s="111" t="s">
        <v>130</v>
      </c>
      <c r="D73" s="112" t="s">
        <v>871</v>
      </c>
      <c r="E73" s="112" t="s">
        <v>680</v>
      </c>
      <c r="F73" s="111" t="s">
        <v>674</v>
      </c>
      <c r="G73" s="113">
        <v>0</v>
      </c>
      <c r="H73" s="114" t="s">
        <v>634</v>
      </c>
      <c r="I73" s="111"/>
      <c r="J73" s="111"/>
      <c r="K73" s="101"/>
      <c r="L73" s="101"/>
      <c r="M73" s="101"/>
      <c r="N73" s="101"/>
      <c r="O73" s="101"/>
      <c r="P73" s="101"/>
      <c r="Q73" s="101"/>
    </row>
    <row r="74" spans="1:17" ht="14.25" customHeight="1">
      <c r="A74" s="110">
        <v>72</v>
      </c>
      <c r="B74" s="111" t="s">
        <v>344</v>
      </c>
      <c r="C74" s="111" t="s">
        <v>131</v>
      </c>
      <c r="D74" s="112" t="s">
        <v>872</v>
      </c>
      <c r="E74" s="112" t="s">
        <v>680</v>
      </c>
      <c r="F74" s="111" t="s">
        <v>674</v>
      </c>
      <c r="G74" s="113">
        <v>0</v>
      </c>
      <c r="H74" s="114" t="s">
        <v>634</v>
      </c>
      <c r="I74" s="111"/>
      <c r="J74" s="111"/>
      <c r="K74" s="101"/>
      <c r="L74" s="101"/>
      <c r="M74" s="101"/>
      <c r="N74" s="101"/>
      <c r="O74" s="101"/>
      <c r="P74" s="101"/>
      <c r="Q74" s="101"/>
    </row>
    <row r="75" spans="1:17" ht="14.25" customHeight="1">
      <c r="A75" s="110">
        <v>41</v>
      </c>
      <c r="B75" s="111" t="s">
        <v>345</v>
      </c>
      <c r="C75" s="111" t="s">
        <v>133</v>
      </c>
      <c r="D75" s="112" t="s">
        <v>795</v>
      </c>
      <c r="E75" s="112" t="s">
        <v>663</v>
      </c>
      <c r="F75" s="111" t="s">
        <v>651</v>
      </c>
      <c r="G75" s="113">
        <v>1</v>
      </c>
      <c r="H75" s="111"/>
      <c r="I75" s="115"/>
      <c r="J75" s="111"/>
      <c r="K75" s="101"/>
      <c r="L75" s="101"/>
      <c r="M75" s="101"/>
      <c r="N75" s="101"/>
      <c r="O75" s="101"/>
      <c r="P75" s="101"/>
      <c r="Q75" s="101"/>
    </row>
    <row r="76" spans="1:17" ht="14.25" customHeight="1">
      <c r="A76" s="110">
        <v>51</v>
      </c>
      <c r="B76" s="111" t="s">
        <v>346</v>
      </c>
      <c r="C76" s="111" t="s">
        <v>134</v>
      </c>
      <c r="D76" s="112" t="s">
        <v>818</v>
      </c>
      <c r="E76" s="112" t="s">
        <v>669</v>
      </c>
      <c r="F76" s="111" t="s">
        <v>660</v>
      </c>
      <c r="G76" s="113">
        <v>1</v>
      </c>
      <c r="H76" s="111"/>
      <c r="I76" s="101"/>
      <c r="J76" s="111"/>
      <c r="K76" s="101"/>
      <c r="L76" s="101"/>
      <c r="M76" s="101"/>
      <c r="N76" s="101"/>
      <c r="O76" s="101"/>
      <c r="P76" s="101"/>
      <c r="Q76" s="101"/>
    </row>
    <row r="77" spans="1:17" ht="14.25" customHeight="1">
      <c r="A77" s="110">
        <v>30</v>
      </c>
      <c r="B77" s="111" t="s">
        <v>347</v>
      </c>
      <c r="C77" s="111" t="s">
        <v>136</v>
      </c>
      <c r="D77" s="112" t="s">
        <v>773</v>
      </c>
      <c r="E77" s="112" t="s">
        <v>659</v>
      </c>
      <c r="F77" s="111" t="s">
        <v>625</v>
      </c>
      <c r="G77" s="113">
        <v>1</v>
      </c>
      <c r="H77" s="114"/>
      <c r="I77" s="111"/>
      <c r="J77" s="114" t="s">
        <v>935</v>
      </c>
      <c r="K77" s="101"/>
      <c r="L77" s="101"/>
      <c r="M77" s="101"/>
      <c r="N77" s="101"/>
      <c r="O77" s="101"/>
      <c r="P77" s="101"/>
      <c r="Q77" s="101"/>
    </row>
    <row r="78" spans="1:17" ht="14.25" customHeight="1">
      <c r="A78" s="110">
        <v>78</v>
      </c>
      <c r="B78" s="111" t="s">
        <v>348</v>
      </c>
      <c r="C78" s="111" t="s">
        <v>137</v>
      </c>
      <c r="D78" s="112" t="s">
        <v>881</v>
      </c>
      <c r="E78" s="112" t="s">
        <v>686</v>
      </c>
      <c r="F78" s="111" t="s">
        <v>664</v>
      </c>
      <c r="G78" s="113">
        <v>1</v>
      </c>
      <c r="H78" s="111"/>
      <c r="I78" s="111"/>
      <c r="J78" s="111"/>
      <c r="K78" s="101"/>
      <c r="L78" s="101"/>
      <c r="M78" s="101"/>
      <c r="N78" s="101"/>
      <c r="O78" s="101"/>
      <c r="P78" s="101"/>
      <c r="Q78" s="101"/>
    </row>
    <row r="79" spans="1:17" ht="14.25" customHeight="1">
      <c r="A79" s="110">
        <v>24</v>
      </c>
      <c r="B79" s="111" t="s">
        <v>349</v>
      </c>
      <c r="C79" s="111" t="s">
        <v>138</v>
      </c>
      <c r="D79" s="112" t="s">
        <v>758</v>
      </c>
      <c r="E79" s="112" t="s">
        <v>659</v>
      </c>
      <c r="F79" s="111" t="s">
        <v>625</v>
      </c>
      <c r="G79" s="113">
        <v>1</v>
      </c>
      <c r="H79" s="114"/>
      <c r="I79" s="112" t="s">
        <v>930</v>
      </c>
      <c r="J79" s="111"/>
      <c r="K79" s="101"/>
      <c r="L79" s="101"/>
      <c r="M79" s="101"/>
      <c r="N79" s="101"/>
      <c r="O79" s="101"/>
      <c r="P79" s="101"/>
      <c r="Q79" s="101"/>
    </row>
    <row r="80" spans="1:17" ht="14.25" customHeight="1">
      <c r="A80" s="110">
        <v>41</v>
      </c>
      <c r="B80" s="111" t="s">
        <v>351</v>
      </c>
      <c r="C80" s="111" t="s">
        <v>140</v>
      </c>
      <c r="D80" s="112" t="s">
        <v>796</v>
      </c>
      <c r="E80" s="112" t="s">
        <v>663</v>
      </c>
      <c r="F80" s="111" t="s">
        <v>651</v>
      </c>
      <c r="G80" s="113">
        <v>1</v>
      </c>
      <c r="H80" s="111"/>
      <c r="I80" s="114"/>
      <c r="J80" s="111"/>
      <c r="K80" s="101"/>
      <c r="L80" s="101"/>
      <c r="M80" s="101"/>
      <c r="N80" s="101"/>
      <c r="O80" s="101"/>
      <c r="P80" s="101"/>
      <c r="Q80" s="101"/>
    </row>
    <row r="81" spans="1:17" ht="14.25" customHeight="1">
      <c r="A81" s="110">
        <v>90</v>
      </c>
      <c r="B81" s="111" t="s">
        <v>352</v>
      </c>
      <c r="C81" s="111" t="s">
        <v>142</v>
      </c>
      <c r="D81" s="112" t="s">
        <v>705</v>
      </c>
      <c r="E81" s="112" t="s">
        <v>686</v>
      </c>
      <c r="F81" s="111" t="s">
        <v>664</v>
      </c>
      <c r="G81" s="113">
        <v>0</v>
      </c>
      <c r="H81" s="114" t="s">
        <v>634</v>
      </c>
      <c r="I81" s="111"/>
      <c r="J81" s="111"/>
      <c r="K81" s="101"/>
      <c r="L81" s="101"/>
      <c r="M81" s="101"/>
      <c r="N81" s="101"/>
      <c r="O81" s="101"/>
      <c r="P81" s="101"/>
      <c r="Q81" s="101"/>
    </row>
    <row r="82" spans="1:17" ht="14.25" customHeight="1">
      <c r="A82" s="110">
        <v>80</v>
      </c>
      <c r="B82" s="111" t="s">
        <v>353</v>
      </c>
      <c r="C82" s="111" t="s">
        <v>20</v>
      </c>
      <c r="D82" s="112" t="s">
        <v>887</v>
      </c>
      <c r="E82" s="112" t="s">
        <v>686</v>
      </c>
      <c r="F82" s="111" t="s">
        <v>664</v>
      </c>
      <c r="G82" s="113">
        <v>0</v>
      </c>
      <c r="H82" s="114" t="s">
        <v>634</v>
      </c>
      <c r="I82" s="111"/>
      <c r="J82" s="111"/>
      <c r="K82" s="101"/>
      <c r="L82" s="101"/>
      <c r="M82" s="101"/>
      <c r="N82" s="101"/>
      <c r="O82" s="101"/>
      <c r="P82" s="101"/>
      <c r="Q82" s="101"/>
    </row>
    <row r="83" spans="1:17" ht="14.25" customHeight="1">
      <c r="A83" s="110">
        <v>80</v>
      </c>
      <c r="B83" s="111" t="s">
        <v>354</v>
      </c>
      <c r="C83" s="111" t="s">
        <v>143</v>
      </c>
      <c r="D83" s="112" t="s">
        <v>888</v>
      </c>
      <c r="E83" s="112" t="s">
        <v>686</v>
      </c>
      <c r="F83" s="111" t="s">
        <v>664</v>
      </c>
      <c r="G83" s="113">
        <v>0</v>
      </c>
      <c r="H83" s="114" t="s">
        <v>634</v>
      </c>
      <c r="I83" s="111"/>
      <c r="J83" s="111"/>
      <c r="K83" s="101"/>
      <c r="L83" s="101"/>
      <c r="M83" s="101"/>
      <c r="N83" s="101"/>
      <c r="O83" s="101"/>
      <c r="P83" s="101"/>
      <c r="Q83" s="101"/>
    </row>
    <row r="84" spans="1:17" ht="14.25" customHeight="1">
      <c r="A84" s="110">
        <v>20</v>
      </c>
      <c r="B84" s="111" t="s">
        <v>355</v>
      </c>
      <c r="C84" s="111" t="s">
        <v>144</v>
      </c>
      <c r="D84" s="112" t="s">
        <v>747</v>
      </c>
      <c r="E84" s="112" t="s">
        <v>650</v>
      </c>
      <c r="F84" s="111" t="s">
        <v>687</v>
      </c>
      <c r="G84" s="113">
        <v>1</v>
      </c>
      <c r="H84" s="111"/>
      <c r="I84" s="111"/>
      <c r="J84" s="111"/>
      <c r="K84" s="101"/>
      <c r="L84" s="101"/>
      <c r="M84" s="101"/>
      <c r="N84" s="101"/>
      <c r="O84" s="101"/>
      <c r="P84" s="101"/>
      <c r="Q84" s="101"/>
    </row>
    <row r="85" spans="1:17" ht="14.25" customHeight="1">
      <c r="A85" s="110">
        <v>68</v>
      </c>
      <c r="B85" s="111" t="s">
        <v>356</v>
      </c>
      <c r="C85" s="111" t="s">
        <v>145</v>
      </c>
      <c r="D85" s="112" t="s">
        <v>861</v>
      </c>
      <c r="E85" s="112" t="s">
        <v>680</v>
      </c>
      <c r="F85" s="111" t="s">
        <v>674</v>
      </c>
      <c r="G85" s="113">
        <v>1</v>
      </c>
      <c r="H85" s="111"/>
      <c r="I85" s="111"/>
      <c r="J85" s="111"/>
      <c r="K85" s="101"/>
      <c r="L85" s="101"/>
      <c r="M85" s="101"/>
      <c r="N85" s="101"/>
      <c r="O85" s="101"/>
      <c r="P85" s="101"/>
      <c r="Q85" s="101"/>
    </row>
    <row r="86" spans="1:17" ht="14.25" customHeight="1">
      <c r="A86" s="110">
        <v>9</v>
      </c>
      <c r="B86" s="111" t="s">
        <v>357</v>
      </c>
      <c r="C86" s="111" t="s">
        <v>146</v>
      </c>
      <c r="D86" s="112" t="s">
        <v>723</v>
      </c>
      <c r="E86" s="112" t="s">
        <v>624</v>
      </c>
      <c r="F86" s="111" t="s">
        <v>681</v>
      </c>
      <c r="G86" s="113">
        <v>1</v>
      </c>
      <c r="H86" s="114"/>
      <c r="I86" s="111"/>
      <c r="J86" s="111"/>
      <c r="K86" s="101"/>
      <c r="L86" s="101"/>
      <c r="M86" s="101"/>
      <c r="N86" s="101"/>
      <c r="O86" s="101"/>
      <c r="P86" s="101"/>
      <c r="Q86" s="101"/>
    </row>
    <row r="87" spans="1:17" ht="14.25" customHeight="1">
      <c r="A87" s="110">
        <v>79</v>
      </c>
      <c r="B87" s="111" t="s">
        <v>359</v>
      </c>
      <c r="C87" s="111" t="s">
        <v>147</v>
      </c>
      <c r="D87" s="112" t="s">
        <v>886</v>
      </c>
      <c r="E87" s="112" t="s">
        <v>686</v>
      </c>
      <c r="F87" s="111" t="s">
        <v>664</v>
      </c>
      <c r="G87" s="113">
        <v>0</v>
      </c>
      <c r="H87" s="114" t="s">
        <v>642</v>
      </c>
      <c r="I87" s="114" t="s">
        <v>961</v>
      </c>
      <c r="J87" s="111"/>
      <c r="K87" s="101"/>
      <c r="L87" s="101"/>
      <c r="M87" s="101"/>
      <c r="N87" s="101"/>
      <c r="O87" s="101"/>
      <c r="P87" s="101"/>
      <c r="Q87" s="101"/>
    </row>
    <row r="88" spans="1:17" ht="14.25" customHeight="1">
      <c r="A88" s="110">
        <v>85</v>
      </c>
      <c r="B88" s="111" t="s">
        <v>358</v>
      </c>
      <c r="C88" s="111" t="s">
        <v>147</v>
      </c>
      <c r="D88" s="112" t="s">
        <v>898</v>
      </c>
      <c r="E88" s="112" t="s">
        <v>686</v>
      </c>
      <c r="F88" s="111" t="s">
        <v>664</v>
      </c>
      <c r="G88" s="113">
        <v>1</v>
      </c>
      <c r="H88" s="111"/>
      <c r="I88" s="111"/>
      <c r="J88" s="111"/>
      <c r="K88" s="101"/>
      <c r="L88" s="101"/>
      <c r="M88" s="101"/>
      <c r="N88" s="101"/>
      <c r="O88" s="101"/>
      <c r="P88" s="101"/>
      <c r="Q88" s="101"/>
    </row>
    <row r="89" spans="1:17" ht="14.25" customHeight="1">
      <c r="A89" s="110">
        <v>87</v>
      </c>
      <c r="B89" s="111" t="s">
        <v>360</v>
      </c>
      <c r="C89" s="111" t="s">
        <v>149</v>
      </c>
      <c r="D89" s="112" t="s">
        <v>902</v>
      </c>
      <c r="E89" s="112" t="s">
        <v>680</v>
      </c>
      <c r="F89" s="111" t="s">
        <v>674</v>
      </c>
      <c r="G89" s="113">
        <v>1</v>
      </c>
      <c r="H89" s="111"/>
      <c r="I89" s="101"/>
      <c r="J89" s="111"/>
      <c r="K89" s="101"/>
      <c r="L89" s="101"/>
      <c r="M89" s="101"/>
      <c r="N89" s="101"/>
      <c r="O89" s="101"/>
      <c r="P89" s="101"/>
      <c r="Q89" s="101"/>
    </row>
    <row r="90" spans="1:17" ht="14.25" customHeight="1">
      <c r="A90" s="110">
        <v>30</v>
      </c>
      <c r="B90" s="111" t="s">
        <v>362</v>
      </c>
      <c r="C90" s="111" t="s">
        <v>151</v>
      </c>
      <c r="D90" s="112" t="s">
        <v>774</v>
      </c>
      <c r="E90" s="112" t="s">
        <v>659</v>
      </c>
      <c r="F90" s="111" t="s">
        <v>625</v>
      </c>
      <c r="G90" s="113">
        <v>0</v>
      </c>
      <c r="H90" s="114" t="s">
        <v>626</v>
      </c>
      <c r="I90" s="114" t="s">
        <v>936</v>
      </c>
      <c r="J90" s="238"/>
      <c r="K90" s="101"/>
      <c r="L90" s="101"/>
      <c r="M90" s="101"/>
      <c r="N90" s="101"/>
      <c r="O90" s="101"/>
      <c r="P90" s="101"/>
      <c r="Q90" s="101"/>
    </row>
    <row r="91" spans="1:17" ht="14.25" customHeight="1">
      <c r="A91" s="110">
        <v>54</v>
      </c>
      <c r="B91" s="111" t="s">
        <v>363</v>
      </c>
      <c r="C91" s="111" t="s">
        <v>152</v>
      </c>
      <c r="D91" s="112" t="s">
        <v>829</v>
      </c>
      <c r="E91" s="112" t="s">
        <v>669</v>
      </c>
      <c r="F91" s="111" t="s">
        <v>660</v>
      </c>
      <c r="G91" s="113">
        <v>0</v>
      </c>
      <c r="H91" s="114" t="s">
        <v>626</v>
      </c>
      <c r="I91" s="114" t="s">
        <v>953</v>
      </c>
      <c r="J91" s="111"/>
      <c r="K91" s="101"/>
      <c r="L91" s="101"/>
      <c r="M91" s="101"/>
      <c r="N91" s="101"/>
      <c r="O91" s="101"/>
      <c r="P91" s="101"/>
      <c r="Q91" s="101"/>
    </row>
    <row r="92" spans="1:17" ht="14.25" customHeight="1">
      <c r="A92" s="110">
        <v>71</v>
      </c>
      <c r="B92" s="111" t="s">
        <v>364</v>
      </c>
      <c r="C92" s="111" t="s">
        <v>154</v>
      </c>
      <c r="D92" s="112" t="s">
        <v>870</v>
      </c>
      <c r="E92" s="112" t="s">
        <v>680</v>
      </c>
      <c r="F92" s="111" t="s">
        <v>674</v>
      </c>
      <c r="G92" s="113">
        <v>0</v>
      </c>
      <c r="H92" s="114" t="s">
        <v>634</v>
      </c>
      <c r="I92" s="111"/>
      <c r="J92" s="111"/>
      <c r="K92" s="101"/>
      <c r="L92" s="101"/>
      <c r="M92" s="101"/>
      <c r="N92" s="101"/>
      <c r="O92" s="101"/>
      <c r="P92" s="101"/>
      <c r="Q92" s="101"/>
    </row>
    <row r="93" spans="1:17" ht="14.25" customHeight="1">
      <c r="A93" s="110">
        <v>45</v>
      </c>
      <c r="B93" s="111" t="s">
        <v>365</v>
      </c>
      <c r="C93" s="111" t="s">
        <v>155</v>
      </c>
      <c r="D93" s="112" t="s">
        <v>804</v>
      </c>
      <c r="E93" s="112" t="s">
        <v>669</v>
      </c>
      <c r="F93" s="111" t="s">
        <v>660</v>
      </c>
      <c r="G93" s="113">
        <v>0</v>
      </c>
      <c r="H93" s="114" t="s">
        <v>637</v>
      </c>
      <c r="I93" s="114" t="s">
        <v>648</v>
      </c>
      <c r="J93" s="111"/>
      <c r="K93" s="101"/>
      <c r="L93" s="101"/>
      <c r="M93" s="101"/>
      <c r="N93" s="101"/>
      <c r="O93" s="101"/>
      <c r="P93" s="101"/>
      <c r="Q93" s="101"/>
    </row>
    <row r="94" spans="1:17" ht="14.25" customHeight="1">
      <c r="A94" s="110">
        <v>43</v>
      </c>
      <c r="B94" s="111" t="s">
        <v>366</v>
      </c>
      <c r="C94" s="111" t="s">
        <v>157</v>
      </c>
      <c r="D94" s="112" t="s">
        <v>801</v>
      </c>
      <c r="E94" s="112" t="s">
        <v>663</v>
      </c>
      <c r="F94" s="111" t="s">
        <v>651</v>
      </c>
      <c r="G94" s="113">
        <v>1</v>
      </c>
      <c r="H94" s="111"/>
      <c r="I94" s="111"/>
      <c r="J94" s="111"/>
      <c r="K94" s="101"/>
      <c r="L94" s="101"/>
      <c r="M94" s="101"/>
      <c r="N94" s="101"/>
      <c r="O94" s="101"/>
      <c r="P94" s="101"/>
      <c r="Q94" s="101"/>
    </row>
    <row r="95" spans="1:17" ht="14.25" customHeight="1">
      <c r="A95" s="110">
        <v>2</v>
      </c>
      <c r="B95" s="111" t="s">
        <v>367</v>
      </c>
      <c r="C95" s="111" t="s">
        <v>159</v>
      </c>
      <c r="D95" s="112" t="s">
        <v>707</v>
      </c>
      <c r="E95" s="112" t="s">
        <v>624</v>
      </c>
      <c r="F95" s="111" t="s">
        <v>681</v>
      </c>
      <c r="G95" s="113">
        <v>0</v>
      </c>
      <c r="H95" s="114" t="s">
        <v>637</v>
      </c>
      <c r="I95" s="115" t="s">
        <v>916</v>
      </c>
      <c r="J95" s="111"/>
      <c r="K95" s="101"/>
      <c r="L95" s="101"/>
      <c r="M95" s="101"/>
      <c r="N95" s="101"/>
      <c r="O95" s="101"/>
      <c r="P95" s="101"/>
      <c r="Q95" s="101"/>
    </row>
    <row r="96" spans="1:17" ht="14.25" customHeight="1">
      <c r="A96" s="110">
        <v>7</v>
      </c>
      <c r="B96" s="111" t="s">
        <v>368</v>
      </c>
      <c r="C96" s="111" t="s">
        <v>161</v>
      </c>
      <c r="D96" s="112" t="s">
        <v>717</v>
      </c>
      <c r="E96" s="112" t="s">
        <v>624</v>
      </c>
      <c r="F96" s="111" t="s">
        <v>681</v>
      </c>
      <c r="G96" s="113">
        <v>1</v>
      </c>
      <c r="H96" s="111"/>
      <c r="I96" s="111"/>
      <c r="J96" s="111"/>
      <c r="K96" s="101"/>
      <c r="L96" s="101"/>
      <c r="M96" s="101"/>
      <c r="N96" s="101"/>
      <c r="O96" s="101"/>
      <c r="P96" s="101"/>
      <c r="Q96" s="101"/>
    </row>
    <row r="97" spans="1:17" ht="14.25" customHeight="1">
      <c r="A97" s="110">
        <v>23</v>
      </c>
      <c r="B97" s="111" t="s">
        <v>369</v>
      </c>
      <c r="C97" s="111" t="s">
        <v>163</v>
      </c>
      <c r="D97" s="112" t="s">
        <v>754</v>
      </c>
      <c r="E97" s="112" t="s">
        <v>659</v>
      </c>
      <c r="F97" s="111" t="s">
        <v>625</v>
      </c>
      <c r="G97" s="113">
        <v>1</v>
      </c>
      <c r="H97" s="114"/>
      <c r="I97" s="114" t="s">
        <v>928</v>
      </c>
      <c r="J97" s="111"/>
      <c r="K97" s="101"/>
      <c r="L97" s="101"/>
      <c r="M97" s="101"/>
      <c r="N97" s="101"/>
      <c r="O97" s="101"/>
      <c r="P97" s="101"/>
      <c r="Q97" s="101"/>
    </row>
    <row r="98" spans="1:17" ht="14.25" customHeight="1">
      <c r="A98" s="110">
        <v>4</v>
      </c>
      <c r="B98" s="111" t="s">
        <v>370</v>
      </c>
      <c r="C98" s="111" t="s">
        <v>164</v>
      </c>
      <c r="D98" s="112" t="s">
        <v>711</v>
      </c>
      <c r="E98" s="112" t="s">
        <v>624</v>
      </c>
      <c r="F98" s="111" t="s">
        <v>681</v>
      </c>
      <c r="G98" s="113">
        <v>1</v>
      </c>
      <c r="H98" s="111"/>
      <c r="I98" s="111"/>
      <c r="J98" s="111"/>
      <c r="K98" s="101"/>
      <c r="L98" s="101"/>
      <c r="M98" s="101"/>
      <c r="N98" s="101"/>
      <c r="O98" s="101"/>
      <c r="P98" s="101"/>
      <c r="Q98" s="101"/>
    </row>
    <row r="99" spans="1:17" ht="14.25" customHeight="1">
      <c r="A99" s="110">
        <v>27</v>
      </c>
      <c r="B99" s="111" t="s">
        <v>371</v>
      </c>
      <c r="C99" s="111" t="s">
        <v>166</v>
      </c>
      <c r="D99" s="112" t="s">
        <v>765</v>
      </c>
      <c r="E99" s="112" t="s">
        <v>659</v>
      </c>
      <c r="F99" s="111" t="s">
        <v>625</v>
      </c>
      <c r="G99" s="113">
        <v>1</v>
      </c>
      <c r="H99" s="238"/>
      <c r="I99" s="238"/>
      <c r="J99" s="114" t="s">
        <v>932</v>
      </c>
      <c r="K99" s="101"/>
      <c r="L99" s="101"/>
      <c r="M99" s="101"/>
      <c r="N99" s="101"/>
      <c r="O99" s="101"/>
      <c r="P99" s="101"/>
      <c r="Q99" s="101"/>
    </row>
    <row r="100" spans="1:17" ht="14.25" customHeight="1">
      <c r="A100" s="110">
        <v>69</v>
      </c>
      <c r="B100" s="111" t="s">
        <v>372</v>
      </c>
      <c r="C100" s="111" t="s">
        <v>168</v>
      </c>
      <c r="D100" s="112" t="s">
        <v>863</v>
      </c>
      <c r="E100" s="112" t="s">
        <v>680</v>
      </c>
      <c r="F100" s="111" t="s">
        <v>674</v>
      </c>
      <c r="G100" s="113">
        <v>1</v>
      </c>
      <c r="H100" s="111"/>
      <c r="I100" s="111"/>
      <c r="J100" s="111"/>
      <c r="K100" s="101"/>
      <c r="L100" s="101"/>
      <c r="M100" s="101"/>
      <c r="N100" s="101"/>
      <c r="O100" s="101"/>
      <c r="P100" s="101"/>
      <c r="Q100" s="101"/>
    </row>
    <row r="101" spans="1:17" ht="14.25" customHeight="1">
      <c r="A101" s="110">
        <v>19</v>
      </c>
      <c r="B101" s="111" t="s">
        <v>373</v>
      </c>
      <c r="C101" s="111" t="s">
        <v>169</v>
      </c>
      <c r="D101" s="112" t="s">
        <v>746</v>
      </c>
      <c r="E101" s="112" t="s">
        <v>650</v>
      </c>
      <c r="F101" s="111" t="s">
        <v>687</v>
      </c>
      <c r="G101" s="113">
        <v>1</v>
      </c>
      <c r="H101" s="111"/>
      <c r="I101" s="111"/>
      <c r="J101" s="111"/>
      <c r="K101" s="101"/>
      <c r="L101" s="101"/>
      <c r="M101" s="101"/>
      <c r="N101" s="101"/>
      <c r="O101" s="101"/>
      <c r="P101" s="101"/>
      <c r="Q101" s="101"/>
    </row>
    <row r="102" spans="1:17" ht="14.25" customHeight="1">
      <c r="A102" s="110">
        <v>44</v>
      </c>
      <c r="B102" s="111" t="s">
        <v>374</v>
      </c>
      <c r="C102" s="111" t="s">
        <v>170</v>
      </c>
      <c r="D102" s="112" t="s">
        <v>803</v>
      </c>
      <c r="E102" s="112" t="s">
        <v>663</v>
      </c>
      <c r="F102" s="111" t="s">
        <v>651</v>
      </c>
      <c r="G102" s="113">
        <v>1</v>
      </c>
      <c r="H102" s="111"/>
      <c r="I102" s="111"/>
      <c r="J102" s="111"/>
      <c r="K102" s="101"/>
      <c r="L102" s="101"/>
      <c r="M102" s="101"/>
      <c r="N102" s="101"/>
      <c r="O102" s="101"/>
      <c r="P102" s="101"/>
      <c r="Q102" s="101"/>
    </row>
    <row r="103" spans="1:17" ht="14.25" customHeight="1">
      <c r="A103" s="110">
        <v>7</v>
      </c>
      <c r="B103" s="111" t="s">
        <v>375</v>
      </c>
      <c r="C103" s="111" t="s">
        <v>171</v>
      </c>
      <c r="D103" s="112" t="s">
        <v>718</v>
      </c>
      <c r="E103" s="112" t="s">
        <v>624</v>
      </c>
      <c r="F103" s="111" t="s">
        <v>681</v>
      </c>
      <c r="G103" s="113">
        <v>1</v>
      </c>
      <c r="H103" s="111"/>
      <c r="I103" s="111"/>
      <c r="J103" s="111"/>
      <c r="K103" s="101"/>
      <c r="L103" s="101"/>
      <c r="M103" s="101"/>
      <c r="N103" s="101"/>
      <c r="O103" s="101"/>
      <c r="P103" s="101"/>
      <c r="Q103" s="101"/>
    </row>
    <row r="104" spans="1:17" ht="14.25" customHeight="1">
      <c r="A104" s="110">
        <v>46</v>
      </c>
      <c r="B104" s="111" t="s">
        <v>376</v>
      </c>
      <c r="C104" s="111" t="s">
        <v>173</v>
      </c>
      <c r="D104" s="112" t="s">
        <v>807</v>
      </c>
      <c r="E104" s="112" t="s">
        <v>669</v>
      </c>
      <c r="F104" s="111" t="s">
        <v>660</v>
      </c>
      <c r="G104" s="113">
        <v>1</v>
      </c>
      <c r="H104" s="114"/>
      <c r="I104" s="114"/>
      <c r="J104" s="111"/>
      <c r="K104" s="101"/>
      <c r="L104" s="101"/>
      <c r="M104" s="101"/>
      <c r="N104" s="101"/>
      <c r="O104" s="101"/>
      <c r="P104" s="101"/>
      <c r="Q104" s="101"/>
    </row>
    <row r="105" spans="1:17" ht="14.25" customHeight="1">
      <c r="A105" s="110">
        <v>73</v>
      </c>
      <c r="B105" s="111" t="s">
        <v>377</v>
      </c>
      <c r="C105" s="111" t="s">
        <v>175</v>
      </c>
      <c r="D105" s="112" t="s">
        <v>873</v>
      </c>
      <c r="E105" s="112" t="s">
        <v>680</v>
      </c>
      <c r="F105" s="111" t="s">
        <v>674</v>
      </c>
      <c r="G105" s="113">
        <v>0</v>
      </c>
      <c r="H105" s="114" t="s">
        <v>626</v>
      </c>
      <c r="I105" s="114" t="s">
        <v>959</v>
      </c>
      <c r="J105" s="111"/>
      <c r="K105" s="101"/>
      <c r="L105" s="101"/>
      <c r="M105" s="101"/>
      <c r="N105" s="101"/>
      <c r="O105" s="101"/>
      <c r="P105" s="101"/>
      <c r="Q105" s="101"/>
    </row>
    <row r="106" spans="1:17" ht="14.25" customHeight="1">
      <c r="A106" s="110">
        <v>59</v>
      </c>
      <c r="B106" s="111" t="s">
        <v>378</v>
      </c>
      <c r="C106" s="111" t="s">
        <v>177</v>
      </c>
      <c r="D106" s="112" t="s">
        <v>840</v>
      </c>
      <c r="E106" s="112" t="s">
        <v>673</v>
      </c>
      <c r="F106" s="111" t="s">
        <v>670</v>
      </c>
      <c r="G106" s="113">
        <v>1</v>
      </c>
      <c r="H106" s="111"/>
      <c r="I106" s="111"/>
      <c r="J106" s="111"/>
      <c r="K106" s="101"/>
      <c r="L106" s="101"/>
      <c r="M106" s="101"/>
      <c r="N106" s="101"/>
      <c r="O106" s="101"/>
      <c r="P106" s="101"/>
      <c r="Q106" s="101"/>
    </row>
    <row r="107" spans="1:17" ht="14.25" customHeight="1">
      <c r="A107" s="110">
        <v>42</v>
      </c>
      <c r="B107" s="111" t="s">
        <v>379</v>
      </c>
      <c r="C107" s="111" t="s">
        <v>179</v>
      </c>
      <c r="D107" s="112" t="s">
        <v>797</v>
      </c>
      <c r="E107" s="112" t="s">
        <v>663</v>
      </c>
      <c r="F107" s="111" t="s">
        <v>651</v>
      </c>
      <c r="G107" s="113">
        <v>1</v>
      </c>
      <c r="H107" s="111"/>
      <c r="I107" s="101"/>
      <c r="J107" s="111"/>
      <c r="K107" s="101"/>
      <c r="L107" s="101"/>
      <c r="M107" s="101"/>
      <c r="N107" s="101"/>
      <c r="O107" s="101"/>
      <c r="P107" s="101"/>
      <c r="Q107" s="101"/>
    </row>
    <row r="108" spans="1:17" ht="14.25" customHeight="1">
      <c r="A108" s="110">
        <v>61</v>
      </c>
      <c r="B108" s="111" t="s">
        <v>380</v>
      </c>
      <c r="C108" s="111" t="s">
        <v>180</v>
      </c>
      <c r="D108" s="112" t="s">
        <v>846</v>
      </c>
      <c r="E108" s="112" t="s">
        <v>673</v>
      </c>
      <c r="F108" s="111" t="s">
        <v>670</v>
      </c>
      <c r="G108" s="113">
        <v>1</v>
      </c>
      <c r="H108" s="111"/>
      <c r="I108" s="111"/>
      <c r="J108" s="111"/>
      <c r="K108" s="101"/>
      <c r="L108" s="101"/>
      <c r="M108" s="101"/>
      <c r="N108" s="101"/>
      <c r="O108" s="101"/>
      <c r="P108" s="101"/>
      <c r="Q108" s="101"/>
    </row>
    <row r="109" spans="1:17" ht="14.25" customHeight="1">
      <c r="A109" s="110">
        <v>26</v>
      </c>
      <c r="B109" s="111" t="s">
        <v>381</v>
      </c>
      <c r="C109" s="111" t="s">
        <v>181</v>
      </c>
      <c r="D109" s="112" t="s">
        <v>761</v>
      </c>
      <c r="E109" s="112" t="s">
        <v>659</v>
      </c>
      <c r="F109" s="111" t="s">
        <v>625</v>
      </c>
      <c r="G109" s="113">
        <v>1</v>
      </c>
      <c r="H109" s="114"/>
      <c r="I109" s="112" t="s">
        <v>930</v>
      </c>
      <c r="J109" s="111"/>
      <c r="K109" s="101"/>
      <c r="L109" s="101"/>
      <c r="M109" s="101"/>
      <c r="N109" s="101"/>
      <c r="O109" s="101"/>
      <c r="P109" s="101"/>
      <c r="Q109" s="101"/>
    </row>
    <row r="110" spans="1:17" ht="14.25" customHeight="1">
      <c r="A110" s="110">
        <v>27</v>
      </c>
      <c r="B110" s="111" t="s">
        <v>382</v>
      </c>
      <c r="C110" s="111" t="s">
        <v>183</v>
      </c>
      <c r="D110" s="112" t="s">
        <v>766</v>
      </c>
      <c r="E110" s="112" t="s">
        <v>659</v>
      </c>
      <c r="F110" s="111" t="s">
        <v>625</v>
      </c>
      <c r="G110" s="113">
        <v>1</v>
      </c>
      <c r="H110" s="114"/>
      <c r="I110" s="114" t="s">
        <v>930</v>
      </c>
      <c r="J110" s="111"/>
      <c r="K110" s="101"/>
      <c r="L110" s="101"/>
      <c r="M110" s="101"/>
      <c r="N110" s="101"/>
      <c r="O110" s="101"/>
      <c r="P110" s="101"/>
      <c r="Q110" s="101"/>
    </row>
    <row r="111" spans="1:17" ht="14.25" customHeight="1">
      <c r="A111" s="110">
        <v>45</v>
      </c>
      <c r="B111" s="111" t="s">
        <v>383</v>
      </c>
      <c r="C111" s="111" t="s">
        <v>184</v>
      </c>
      <c r="D111" s="112" t="s">
        <v>806</v>
      </c>
      <c r="E111" s="112" t="s">
        <v>669</v>
      </c>
      <c r="F111" s="111" t="s">
        <v>660</v>
      </c>
      <c r="G111" s="113">
        <v>0</v>
      </c>
      <c r="H111" s="114" t="s">
        <v>633</v>
      </c>
      <c r="I111" s="111"/>
      <c r="J111" s="111"/>
      <c r="K111" s="101"/>
      <c r="L111" s="101"/>
      <c r="M111" s="101"/>
      <c r="N111" s="101"/>
      <c r="O111" s="101"/>
      <c r="P111" s="101"/>
      <c r="Q111" s="101"/>
    </row>
    <row r="112" spans="1:17" ht="14.25" customHeight="1">
      <c r="A112" s="110">
        <v>52</v>
      </c>
      <c r="B112" s="111" t="s">
        <v>385</v>
      </c>
      <c r="C112" s="111" t="s">
        <v>187</v>
      </c>
      <c r="D112" s="112" t="s">
        <v>821</v>
      </c>
      <c r="E112" s="112" t="s">
        <v>669</v>
      </c>
      <c r="F112" s="111" t="s">
        <v>660</v>
      </c>
      <c r="G112" s="113">
        <v>0</v>
      </c>
      <c r="H112" s="114" t="s">
        <v>637</v>
      </c>
      <c r="I112" s="114" t="s">
        <v>950</v>
      </c>
      <c r="J112" s="111"/>
      <c r="K112" s="101"/>
      <c r="L112" s="101"/>
      <c r="M112" s="101"/>
      <c r="N112" s="101"/>
      <c r="O112" s="101"/>
      <c r="P112" s="101"/>
      <c r="Q112" s="101"/>
    </row>
    <row r="113" spans="1:17" ht="14.25" customHeight="1">
      <c r="A113" s="110">
        <v>38</v>
      </c>
      <c r="B113" s="111" t="s">
        <v>386</v>
      </c>
      <c r="C113" s="111" t="s">
        <v>188</v>
      </c>
      <c r="D113" s="112" t="s">
        <v>790</v>
      </c>
      <c r="E113" s="112" t="s">
        <v>663</v>
      </c>
      <c r="F113" s="111" t="s">
        <v>651</v>
      </c>
      <c r="G113" s="113">
        <v>1</v>
      </c>
      <c r="H113" s="111"/>
      <c r="I113" s="111"/>
      <c r="J113" s="111"/>
      <c r="K113" s="101"/>
      <c r="L113" s="101"/>
      <c r="M113" s="101"/>
      <c r="N113" s="101"/>
      <c r="O113" s="101"/>
      <c r="P113" s="101"/>
      <c r="Q113" s="101"/>
    </row>
    <row r="114" spans="1:17" ht="14.25" customHeight="1">
      <c r="A114" s="110">
        <v>63</v>
      </c>
      <c r="B114" s="111" t="s">
        <v>387</v>
      </c>
      <c r="C114" s="111" t="s">
        <v>190</v>
      </c>
      <c r="D114" s="112" t="s">
        <v>851</v>
      </c>
      <c r="E114" s="112" t="s">
        <v>673</v>
      </c>
      <c r="F114" s="111" t="s">
        <v>670</v>
      </c>
      <c r="G114" s="113">
        <v>1</v>
      </c>
      <c r="H114" s="111"/>
      <c r="I114" s="111"/>
      <c r="J114" s="111"/>
      <c r="K114" s="101"/>
      <c r="L114" s="101"/>
      <c r="M114" s="101"/>
      <c r="N114" s="101"/>
      <c r="O114" s="101"/>
      <c r="P114" s="101"/>
      <c r="Q114" s="101"/>
    </row>
    <row r="115" spans="1:17" ht="14.25" customHeight="1">
      <c r="A115" s="110">
        <v>88</v>
      </c>
      <c r="B115" s="111" t="s">
        <v>388</v>
      </c>
      <c r="C115" s="111" t="s">
        <v>269</v>
      </c>
      <c r="D115" s="112" t="s">
        <v>903</v>
      </c>
      <c r="E115" s="112" t="s">
        <v>673</v>
      </c>
      <c r="F115" s="111" t="s">
        <v>670</v>
      </c>
      <c r="G115" s="113">
        <v>1</v>
      </c>
      <c r="H115" s="111"/>
      <c r="I115" s="111"/>
      <c r="J115" s="111"/>
      <c r="K115" s="101"/>
      <c r="L115" s="101"/>
      <c r="M115" s="101"/>
      <c r="N115" s="101"/>
      <c r="O115" s="101"/>
      <c r="P115" s="101"/>
      <c r="Q115" s="101"/>
    </row>
    <row r="116" spans="1:17" ht="14.25" customHeight="1">
      <c r="A116" s="110">
        <v>67</v>
      </c>
      <c r="B116" s="111" t="s">
        <v>389</v>
      </c>
      <c r="C116" s="111" t="s">
        <v>21</v>
      </c>
      <c r="D116" s="112" t="s">
        <v>859</v>
      </c>
      <c r="E116" s="112" t="s">
        <v>680</v>
      </c>
      <c r="F116" s="111" t="s">
        <v>674</v>
      </c>
      <c r="G116" s="113">
        <v>1</v>
      </c>
      <c r="H116" s="111"/>
      <c r="I116" s="101"/>
      <c r="J116" s="111"/>
      <c r="K116" s="101"/>
      <c r="L116" s="101"/>
      <c r="M116" s="101"/>
      <c r="N116" s="101"/>
      <c r="O116" s="101"/>
      <c r="P116" s="101"/>
      <c r="Q116" s="101"/>
    </row>
    <row r="117" spans="1:17" ht="14.25" customHeight="1">
      <c r="A117" s="110">
        <v>82</v>
      </c>
      <c r="B117" s="111" t="s">
        <v>391</v>
      </c>
      <c r="C117" s="111" t="s">
        <v>193</v>
      </c>
      <c r="D117" s="112" t="s">
        <v>889</v>
      </c>
      <c r="E117" s="112" t="s">
        <v>686</v>
      </c>
      <c r="F117" s="111" t="s">
        <v>664</v>
      </c>
      <c r="G117" s="113">
        <v>0</v>
      </c>
      <c r="H117" s="114" t="s">
        <v>626</v>
      </c>
      <c r="I117" s="112" t="s">
        <v>962</v>
      </c>
      <c r="J117" s="111"/>
      <c r="K117" s="101"/>
      <c r="L117" s="101"/>
      <c r="M117" s="101"/>
      <c r="N117" s="101"/>
      <c r="O117" s="101"/>
      <c r="P117" s="101"/>
      <c r="Q117" s="101"/>
    </row>
    <row r="118" spans="1:17" ht="14.25" customHeight="1">
      <c r="A118" s="110">
        <v>52</v>
      </c>
      <c r="B118" s="111" t="s">
        <v>392</v>
      </c>
      <c r="C118" s="111" t="s">
        <v>22</v>
      </c>
      <c r="D118" s="112" t="s">
        <v>823</v>
      </c>
      <c r="E118" s="112" t="s">
        <v>669</v>
      </c>
      <c r="F118" s="111" t="s">
        <v>660</v>
      </c>
      <c r="G118" s="113">
        <v>0</v>
      </c>
      <c r="H118" s="114" t="s">
        <v>637</v>
      </c>
      <c r="I118" s="122" t="s">
        <v>951</v>
      </c>
      <c r="J118" s="111"/>
      <c r="K118" s="101"/>
      <c r="L118" s="101"/>
      <c r="M118" s="101"/>
      <c r="N118" s="101"/>
      <c r="O118" s="101"/>
      <c r="P118" s="101"/>
      <c r="Q118" s="101"/>
    </row>
    <row r="119" spans="1:17" ht="14.25" customHeight="1">
      <c r="A119" s="110">
        <v>47</v>
      </c>
      <c r="B119" s="111" t="s">
        <v>393</v>
      </c>
      <c r="C119" s="111" t="s">
        <v>194</v>
      </c>
      <c r="D119" s="112" t="s">
        <v>195</v>
      </c>
      <c r="E119" s="112" t="s">
        <v>669</v>
      </c>
      <c r="F119" s="111" t="s">
        <v>660</v>
      </c>
      <c r="G119" s="113">
        <v>0</v>
      </c>
      <c r="H119" s="114" t="s">
        <v>626</v>
      </c>
      <c r="I119" s="114" t="s">
        <v>948</v>
      </c>
      <c r="J119" s="111"/>
      <c r="K119" s="101"/>
      <c r="L119" s="101"/>
      <c r="M119" s="101"/>
      <c r="N119" s="101"/>
      <c r="O119" s="101"/>
      <c r="P119" s="101"/>
      <c r="Q119" s="101"/>
    </row>
    <row r="120" spans="1:17" ht="14.25" customHeight="1">
      <c r="A120" s="110">
        <v>63</v>
      </c>
      <c r="B120" s="111" t="s">
        <v>394</v>
      </c>
      <c r="C120" s="111" t="s">
        <v>197</v>
      </c>
      <c r="D120" s="112" t="s">
        <v>852</v>
      </c>
      <c r="E120" s="112" t="s">
        <v>673</v>
      </c>
      <c r="F120" s="111" t="s">
        <v>670</v>
      </c>
      <c r="G120" s="113">
        <v>1</v>
      </c>
      <c r="H120" s="111"/>
      <c r="I120" s="111"/>
      <c r="J120" s="111"/>
      <c r="K120" s="101"/>
      <c r="L120" s="101"/>
      <c r="M120" s="101"/>
      <c r="N120" s="101"/>
      <c r="O120" s="101"/>
      <c r="P120" s="101"/>
      <c r="Q120" s="101"/>
    </row>
    <row r="121" spans="1:17" ht="14.25" customHeight="1">
      <c r="A121" s="110">
        <v>51</v>
      </c>
      <c r="B121" s="111" t="s">
        <v>395</v>
      </c>
      <c r="C121" s="111" t="s">
        <v>198</v>
      </c>
      <c r="D121" s="112" t="s">
        <v>820</v>
      </c>
      <c r="E121" s="112" t="s">
        <v>669</v>
      </c>
      <c r="F121" s="111" t="s">
        <v>660</v>
      </c>
      <c r="G121" s="113">
        <v>1</v>
      </c>
      <c r="H121" s="111"/>
      <c r="I121" s="123"/>
      <c r="J121" s="111"/>
      <c r="K121" s="101"/>
      <c r="L121" s="101"/>
      <c r="M121" s="101"/>
      <c r="N121" s="101"/>
      <c r="O121" s="101"/>
      <c r="P121" s="101"/>
      <c r="Q121" s="101"/>
    </row>
    <row r="122" spans="1:17" ht="14.25" customHeight="1">
      <c r="A122" s="110">
        <v>40</v>
      </c>
      <c r="B122" s="111" t="s">
        <v>396</v>
      </c>
      <c r="C122" s="111" t="s">
        <v>200</v>
      </c>
      <c r="D122" s="112" t="s">
        <v>794</v>
      </c>
      <c r="E122" s="112" t="s">
        <v>663</v>
      </c>
      <c r="F122" s="111" t="s">
        <v>651</v>
      </c>
      <c r="G122" s="113">
        <v>0</v>
      </c>
      <c r="H122" s="114" t="s">
        <v>637</v>
      </c>
      <c r="I122" s="114" t="s">
        <v>947</v>
      </c>
      <c r="J122" s="111"/>
      <c r="K122" s="101"/>
      <c r="L122" s="101"/>
      <c r="M122" s="101"/>
      <c r="N122" s="101"/>
      <c r="O122" s="101"/>
      <c r="P122" s="101"/>
      <c r="Q122" s="101"/>
    </row>
    <row r="123" spans="1:17" ht="14.25" customHeight="1">
      <c r="A123" s="110">
        <v>37</v>
      </c>
      <c r="B123" s="111" t="s">
        <v>397</v>
      </c>
      <c r="C123" s="111" t="s">
        <v>202</v>
      </c>
      <c r="D123" s="112" t="s">
        <v>788</v>
      </c>
      <c r="E123" s="112" t="s">
        <v>663</v>
      </c>
      <c r="F123" s="111" t="s">
        <v>651</v>
      </c>
      <c r="G123" s="113">
        <v>1</v>
      </c>
      <c r="H123" s="111"/>
      <c r="I123" s="111"/>
      <c r="J123" s="111"/>
      <c r="K123" s="101"/>
      <c r="L123" s="101"/>
      <c r="M123" s="101"/>
      <c r="N123" s="101"/>
      <c r="O123" s="101"/>
      <c r="P123" s="101"/>
      <c r="Q123" s="101"/>
    </row>
    <row r="124" spans="1:17" ht="14.25" customHeight="1">
      <c r="A124" s="110">
        <v>55</v>
      </c>
      <c r="B124" s="111" t="s">
        <v>398</v>
      </c>
      <c r="C124" s="111" t="s">
        <v>204</v>
      </c>
      <c r="D124" s="112" t="s">
        <v>830</v>
      </c>
      <c r="E124" s="112" t="s">
        <v>669</v>
      </c>
      <c r="F124" s="111" t="s">
        <v>660</v>
      </c>
      <c r="G124" s="113">
        <v>1</v>
      </c>
      <c r="H124" s="111"/>
      <c r="I124" s="111"/>
      <c r="J124" s="111"/>
      <c r="K124" s="101"/>
      <c r="L124" s="101"/>
      <c r="M124" s="101"/>
      <c r="N124" s="101"/>
      <c r="O124" s="101"/>
      <c r="P124" s="101"/>
      <c r="Q124" s="101"/>
    </row>
    <row r="125" spans="1:17" ht="14.25" customHeight="1">
      <c r="A125" s="110">
        <v>25</v>
      </c>
      <c r="B125" s="111" t="s">
        <v>399</v>
      </c>
      <c r="C125" s="111" t="s">
        <v>206</v>
      </c>
      <c r="D125" s="112" t="s">
        <v>760</v>
      </c>
      <c r="E125" s="112" t="s">
        <v>659</v>
      </c>
      <c r="F125" s="111" t="s">
        <v>625</v>
      </c>
      <c r="G125" s="113">
        <v>0</v>
      </c>
      <c r="H125" s="114" t="s">
        <v>634</v>
      </c>
      <c r="I125" s="111"/>
      <c r="J125" s="111"/>
      <c r="K125" s="101"/>
      <c r="L125" s="101"/>
      <c r="M125" s="101"/>
      <c r="N125" s="101"/>
      <c r="O125" s="101"/>
      <c r="P125" s="101"/>
      <c r="Q125" s="101"/>
    </row>
    <row r="126" spans="1:17" ht="14.25" customHeight="1">
      <c r="A126" s="110">
        <v>58</v>
      </c>
      <c r="B126" s="111" t="s">
        <v>400</v>
      </c>
      <c r="C126" s="111" t="s">
        <v>208</v>
      </c>
      <c r="D126" s="112" t="s">
        <v>839</v>
      </c>
      <c r="E126" s="112" t="s">
        <v>673</v>
      </c>
      <c r="F126" s="111" t="s">
        <v>670</v>
      </c>
      <c r="G126" s="113">
        <v>0</v>
      </c>
      <c r="H126" s="114" t="s">
        <v>634</v>
      </c>
      <c r="I126" s="114" t="s">
        <v>956</v>
      </c>
      <c r="J126" s="111"/>
      <c r="K126" s="101"/>
      <c r="L126" s="101"/>
      <c r="M126" s="101"/>
      <c r="N126" s="101"/>
      <c r="O126" s="101"/>
      <c r="P126" s="101"/>
      <c r="Q126" s="101"/>
    </row>
    <row r="127" spans="1:17" ht="14.25" customHeight="1">
      <c r="A127" s="110">
        <v>90</v>
      </c>
      <c r="B127" s="111" t="s">
        <v>401</v>
      </c>
      <c r="C127" s="111" t="s">
        <v>209</v>
      </c>
      <c r="D127" s="112" t="s">
        <v>814</v>
      </c>
      <c r="E127" s="112" t="s">
        <v>686</v>
      </c>
      <c r="F127" s="111" t="s">
        <v>664</v>
      </c>
      <c r="G127" s="113">
        <v>0</v>
      </c>
      <c r="H127" s="114" t="s">
        <v>634</v>
      </c>
      <c r="I127" s="111"/>
      <c r="J127" s="111"/>
      <c r="K127" s="101"/>
      <c r="L127" s="101"/>
      <c r="M127" s="101"/>
      <c r="N127" s="101"/>
      <c r="O127" s="101"/>
      <c r="P127" s="101"/>
      <c r="Q127" s="101"/>
    </row>
    <row r="128" spans="1:17" ht="14.25" customHeight="1">
      <c r="A128" s="110">
        <v>23</v>
      </c>
      <c r="B128" s="111" t="s">
        <v>402</v>
      </c>
      <c r="C128" s="111" t="s">
        <v>210</v>
      </c>
      <c r="D128" s="112" t="s">
        <v>756</v>
      </c>
      <c r="E128" s="112" t="s">
        <v>659</v>
      </c>
      <c r="F128" s="111" t="s">
        <v>625</v>
      </c>
      <c r="G128" s="113">
        <v>0</v>
      </c>
      <c r="H128" s="114" t="s">
        <v>642</v>
      </c>
      <c r="I128" s="114" t="s">
        <v>929</v>
      </c>
      <c r="J128" s="111"/>
      <c r="K128" s="101"/>
      <c r="L128" s="101"/>
      <c r="M128" s="101"/>
      <c r="N128" s="101"/>
      <c r="O128" s="101"/>
      <c r="P128" s="101"/>
      <c r="Q128" s="101"/>
    </row>
    <row r="129" spans="1:17" ht="14.25" customHeight="1">
      <c r="A129" s="110">
        <v>70</v>
      </c>
      <c r="B129" s="111" t="s">
        <v>403</v>
      </c>
      <c r="C129" s="111" t="s">
        <v>212</v>
      </c>
      <c r="D129" s="112" t="s">
        <v>868</v>
      </c>
      <c r="E129" s="112" t="s">
        <v>680</v>
      </c>
      <c r="F129" s="111" t="s">
        <v>674</v>
      </c>
      <c r="G129" s="113">
        <v>0</v>
      </c>
      <c r="H129" s="114" t="s">
        <v>634</v>
      </c>
      <c r="I129" s="111"/>
      <c r="J129" s="111"/>
      <c r="K129" s="101"/>
      <c r="L129" s="101"/>
      <c r="M129" s="101"/>
      <c r="N129" s="101"/>
      <c r="O129" s="101"/>
      <c r="P129" s="101"/>
      <c r="Q129" s="101"/>
    </row>
    <row r="130" spans="1:17" ht="14.25" customHeight="1">
      <c r="A130" s="110">
        <v>60</v>
      </c>
      <c r="B130" s="111" t="s">
        <v>404</v>
      </c>
      <c r="C130" s="111" t="s">
        <v>214</v>
      </c>
      <c r="D130" s="112" t="s">
        <v>843</v>
      </c>
      <c r="E130" s="112" t="s">
        <v>673</v>
      </c>
      <c r="F130" s="111" t="s">
        <v>670</v>
      </c>
      <c r="G130" s="113">
        <v>1</v>
      </c>
      <c r="H130" s="238"/>
      <c r="I130" s="111"/>
      <c r="J130" s="114" t="s">
        <v>1002</v>
      </c>
      <c r="K130" s="101"/>
      <c r="L130" s="101"/>
      <c r="M130" s="101"/>
      <c r="N130" s="101"/>
      <c r="O130" s="101"/>
      <c r="P130" s="101"/>
      <c r="Q130" s="101"/>
    </row>
    <row r="131" spans="1:17" ht="14.25" customHeight="1">
      <c r="A131" s="110">
        <v>2</v>
      </c>
      <c r="B131" s="111" t="s">
        <v>405</v>
      </c>
      <c r="C131" s="111" t="s">
        <v>215</v>
      </c>
      <c r="D131" s="112" t="s">
        <v>708</v>
      </c>
      <c r="E131" s="112" t="s">
        <v>624</v>
      </c>
      <c r="F131" s="111" t="s">
        <v>681</v>
      </c>
      <c r="G131" s="113">
        <v>1</v>
      </c>
      <c r="H131" s="111"/>
      <c r="I131" s="114" t="s">
        <v>918</v>
      </c>
      <c r="J131" s="111"/>
      <c r="K131" s="101"/>
      <c r="L131" s="101"/>
      <c r="M131" s="101"/>
      <c r="N131" s="101"/>
      <c r="O131" s="101"/>
      <c r="P131" s="101"/>
      <c r="Q131" s="101"/>
    </row>
    <row r="132" spans="1:17" ht="14.25" customHeight="1">
      <c r="A132" s="110">
        <v>64</v>
      </c>
      <c r="B132" s="111" t="s">
        <v>406</v>
      </c>
      <c r="C132" s="111" t="s">
        <v>217</v>
      </c>
      <c r="D132" s="112" t="s">
        <v>854</v>
      </c>
      <c r="E132" s="112" t="s">
        <v>673</v>
      </c>
      <c r="F132" s="111" t="s">
        <v>670</v>
      </c>
      <c r="G132" s="113">
        <v>1</v>
      </c>
      <c r="H132" s="111"/>
      <c r="I132" s="111"/>
      <c r="J132" s="111"/>
      <c r="K132" s="101"/>
      <c r="L132" s="101"/>
      <c r="M132" s="101"/>
      <c r="N132" s="101"/>
      <c r="O132" s="101"/>
      <c r="P132" s="101"/>
      <c r="Q132" s="101"/>
    </row>
    <row r="133" spans="1:17" ht="14.25" customHeight="1">
      <c r="A133" s="110">
        <v>67</v>
      </c>
      <c r="B133" s="111" t="s">
        <v>407</v>
      </c>
      <c r="C133" s="111" t="s">
        <v>218</v>
      </c>
      <c r="D133" s="112" t="s">
        <v>860</v>
      </c>
      <c r="E133" s="112" t="s">
        <v>680</v>
      </c>
      <c r="F133" s="111" t="s">
        <v>674</v>
      </c>
      <c r="G133" s="113">
        <v>0</v>
      </c>
      <c r="H133" s="114" t="s">
        <v>642</v>
      </c>
      <c r="I133" s="114" t="s">
        <v>957</v>
      </c>
      <c r="J133" s="111"/>
      <c r="K133" s="101"/>
      <c r="L133" s="101"/>
      <c r="M133" s="101"/>
      <c r="N133" s="101"/>
      <c r="O133" s="101"/>
      <c r="P133" s="101"/>
      <c r="Q133" s="101"/>
    </row>
    <row r="134" spans="1:17" ht="14.25" customHeight="1">
      <c r="A134" s="110">
        <v>5</v>
      </c>
      <c r="B134" s="111" t="s">
        <v>408</v>
      </c>
      <c r="C134" s="111" t="s">
        <v>220</v>
      </c>
      <c r="D134" s="112" t="s">
        <v>714</v>
      </c>
      <c r="E134" s="112" t="s">
        <v>624</v>
      </c>
      <c r="F134" s="111" t="s">
        <v>681</v>
      </c>
      <c r="G134" s="113">
        <v>1</v>
      </c>
      <c r="H134" s="111"/>
      <c r="I134" s="111"/>
      <c r="J134" s="111"/>
      <c r="K134" s="101"/>
      <c r="L134" s="101"/>
      <c r="M134" s="101"/>
      <c r="N134" s="101"/>
      <c r="O134" s="101"/>
      <c r="P134" s="101"/>
      <c r="Q134" s="101"/>
    </row>
    <row r="135" spans="1:17" ht="14.25" customHeight="1">
      <c r="A135" s="110">
        <v>42</v>
      </c>
      <c r="B135" s="111" t="s">
        <v>410</v>
      </c>
      <c r="C135" s="111" t="s">
        <v>223</v>
      </c>
      <c r="D135" s="112" t="s">
        <v>799</v>
      </c>
      <c r="E135" s="112" t="s">
        <v>663</v>
      </c>
      <c r="F135" s="111" t="s">
        <v>651</v>
      </c>
      <c r="G135" s="113">
        <v>1</v>
      </c>
      <c r="H135" s="111"/>
      <c r="I135" s="111"/>
      <c r="J135" s="111"/>
      <c r="K135" s="101"/>
      <c r="L135" s="101"/>
      <c r="M135" s="101"/>
      <c r="N135" s="101"/>
      <c r="O135" s="101"/>
      <c r="P135" s="101"/>
      <c r="Q135" s="101"/>
    </row>
    <row r="136" spans="1:17" ht="14.25" customHeight="1">
      <c r="A136" s="110">
        <v>60</v>
      </c>
      <c r="B136" s="111" t="s">
        <v>411</v>
      </c>
      <c r="C136" s="111" t="s">
        <v>224</v>
      </c>
      <c r="D136" s="112" t="s">
        <v>844</v>
      </c>
      <c r="E136" s="112" t="s">
        <v>673</v>
      </c>
      <c r="F136" s="111" t="s">
        <v>670</v>
      </c>
      <c r="G136" s="113">
        <v>1</v>
      </c>
      <c r="H136" s="114"/>
      <c r="I136" s="114"/>
      <c r="J136" s="111"/>
      <c r="K136" s="101"/>
      <c r="L136" s="101"/>
      <c r="M136" s="101"/>
      <c r="N136" s="101"/>
      <c r="O136" s="101"/>
      <c r="P136" s="101"/>
      <c r="Q136" s="101"/>
    </row>
    <row r="137" spans="1:17" ht="14.25" customHeight="1">
      <c r="A137" s="110">
        <v>12</v>
      </c>
      <c r="B137" s="111" t="s">
        <v>412</v>
      </c>
      <c r="C137" s="111" t="s">
        <v>226</v>
      </c>
      <c r="D137" s="112" t="s">
        <v>729</v>
      </c>
      <c r="E137" s="112" t="s">
        <v>650</v>
      </c>
      <c r="F137" s="111" t="s">
        <v>687</v>
      </c>
      <c r="G137" s="113">
        <v>1</v>
      </c>
      <c r="H137" s="111"/>
      <c r="I137" s="111"/>
      <c r="J137" s="111"/>
      <c r="K137" s="101"/>
      <c r="L137" s="101"/>
      <c r="M137" s="101"/>
      <c r="N137" s="101"/>
      <c r="O137" s="101"/>
      <c r="P137" s="101"/>
      <c r="Q137" s="101"/>
    </row>
    <row r="138" spans="1:17" ht="14.25" customHeight="1">
      <c r="A138" s="110">
        <v>69</v>
      </c>
      <c r="B138" s="111" t="s">
        <v>413</v>
      </c>
      <c r="C138" s="111" t="s">
        <v>227</v>
      </c>
      <c r="D138" s="112" t="s">
        <v>865</v>
      </c>
      <c r="E138" s="112" t="s">
        <v>680</v>
      </c>
      <c r="F138" s="111" t="s">
        <v>674</v>
      </c>
      <c r="G138" s="113">
        <v>1</v>
      </c>
      <c r="H138" s="111"/>
      <c r="I138" s="111"/>
      <c r="J138" s="111"/>
      <c r="K138" s="101"/>
      <c r="L138" s="101"/>
      <c r="M138" s="101"/>
      <c r="N138" s="101"/>
      <c r="O138" s="101"/>
      <c r="P138" s="101"/>
      <c r="Q138" s="101"/>
    </row>
    <row r="139" spans="1:17" ht="14.25" customHeight="1">
      <c r="A139" s="110">
        <v>82</v>
      </c>
      <c r="B139" s="111" t="s">
        <v>414</v>
      </c>
      <c r="C139" s="111" t="s">
        <v>228</v>
      </c>
      <c r="D139" s="112" t="s">
        <v>891</v>
      </c>
      <c r="E139" s="112" t="s">
        <v>686</v>
      </c>
      <c r="F139" s="111" t="s">
        <v>664</v>
      </c>
      <c r="G139" s="113">
        <v>1</v>
      </c>
      <c r="H139" s="111"/>
      <c r="I139" s="112" t="s">
        <v>963</v>
      </c>
      <c r="J139" s="111"/>
      <c r="K139" s="101"/>
      <c r="L139" s="101"/>
      <c r="M139" s="101"/>
      <c r="N139" s="101"/>
      <c r="O139" s="101"/>
      <c r="P139" s="101"/>
      <c r="Q139" s="101"/>
    </row>
    <row r="140" spans="1:17" ht="14.25" customHeight="1">
      <c r="A140" s="110">
        <v>6</v>
      </c>
      <c r="B140" s="111" t="s">
        <v>415</v>
      </c>
      <c r="C140" s="111" t="s">
        <v>229</v>
      </c>
      <c r="D140" s="112" t="s">
        <v>716</v>
      </c>
      <c r="E140" s="112" t="s">
        <v>624</v>
      </c>
      <c r="F140" s="111" t="s">
        <v>681</v>
      </c>
      <c r="G140" s="113">
        <v>1</v>
      </c>
      <c r="H140" s="111"/>
      <c r="I140" s="111"/>
      <c r="J140" s="111"/>
      <c r="K140" s="101"/>
      <c r="L140" s="101"/>
      <c r="M140" s="101"/>
      <c r="N140" s="101"/>
      <c r="O140" s="101"/>
      <c r="P140" s="101"/>
      <c r="Q140" s="101"/>
    </row>
    <row r="141" spans="1:17" ht="14.25" customHeight="1">
      <c r="A141" s="110">
        <v>68</v>
      </c>
      <c r="B141" s="111" t="s">
        <v>416</v>
      </c>
      <c r="C141" s="111" t="s">
        <v>230</v>
      </c>
      <c r="D141" s="112" t="s">
        <v>862</v>
      </c>
      <c r="E141" s="112" t="s">
        <v>680</v>
      </c>
      <c r="F141" s="111" t="s">
        <v>674</v>
      </c>
      <c r="G141" s="113">
        <v>0</v>
      </c>
      <c r="H141" s="114" t="s">
        <v>626</v>
      </c>
      <c r="I141" s="114" t="s">
        <v>958</v>
      </c>
      <c r="J141" s="111"/>
      <c r="K141" s="101"/>
      <c r="L141" s="101"/>
      <c r="M141" s="101"/>
      <c r="N141" s="101"/>
      <c r="O141" s="101"/>
      <c r="P141" s="101"/>
      <c r="Q141" s="101"/>
    </row>
    <row r="142" spans="1:17" ht="14.25" customHeight="1">
      <c r="A142" s="110">
        <v>36</v>
      </c>
      <c r="B142" s="111" t="s">
        <v>417</v>
      </c>
      <c r="C142" s="111" t="s">
        <v>23</v>
      </c>
      <c r="D142" s="112" t="s">
        <v>785</v>
      </c>
      <c r="E142" s="112" t="s">
        <v>663</v>
      </c>
      <c r="F142" s="111" t="s">
        <v>651</v>
      </c>
      <c r="G142" s="113">
        <v>0</v>
      </c>
      <c r="H142" s="114" t="s">
        <v>626</v>
      </c>
      <c r="I142" s="114" t="s">
        <v>942</v>
      </c>
      <c r="J142" s="111"/>
      <c r="K142" s="101"/>
      <c r="L142" s="101"/>
      <c r="M142" s="101"/>
      <c r="N142" s="101"/>
      <c r="O142" s="101"/>
      <c r="P142" s="101"/>
      <c r="Q142" s="101"/>
    </row>
    <row r="143" spans="1:17" ht="14.25" customHeight="1">
      <c r="A143" s="110">
        <v>88</v>
      </c>
      <c r="B143" s="111" t="s">
        <v>418</v>
      </c>
      <c r="C143" s="111" t="s">
        <v>232</v>
      </c>
      <c r="D143" s="112" t="s">
        <v>905</v>
      </c>
      <c r="E143" s="112" t="s">
        <v>673</v>
      </c>
      <c r="F143" s="111" t="s">
        <v>670</v>
      </c>
      <c r="G143" s="113">
        <v>1</v>
      </c>
      <c r="H143" s="111"/>
      <c r="I143" s="101"/>
      <c r="J143" s="111"/>
      <c r="K143" s="101"/>
      <c r="L143" s="101"/>
      <c r="M143" s="101"/>
      <c r="N143" s="101"/>
      <c r="O143" s="101"/>
      <c r="P143" s="101"/>
      <c r="Q143" s="101"/>
    </row>
    <row r="144" spans="1:17" ht="14.25" customHeight="1">
      <c r="A144" s="110">
        <v>31</v>
      </c>
      <c r="B144" s="111" t="s">
        <v>419</v>
      </c>
      <c r="C144" s="111" t="s">
        <v>233</v>
      </c>
      <c r="D144" s="112" t="s">
        <v>234</v>
      </c>
      <c r="E144" s="112" t="s">
        <v>659</v>
      </c>
      <c r="F144" s="111" t="s">
        <v>625</v>
      </c>
      <c r="G144" s="113">
        <v>1</v>
      </c>
      <c r="H144" s="114"/>
      <c r="I144" s="112" t="s">
        <v>939</v>
      </c>
      <c r="J144" s="111"/>
      <c r="K144" s="101"/>
      <c r="L144" s="101"/>
      <c r="M144" s="101"/>
      <c r="N144" s="101"/>
      <c r="O144" s="101"/>
      <c r="P144" s="101"/>
      <c r="Q144" s="101"/>
    </row>
    <row r="145" spans="1:17" ht="14.25" customHeight="1">
      <c r="A145" s="110">
        <v>17</v>
      </c>
      <c r="B145" s="111" t="s">
        <v>420</v>
      </c>
      <c r="C145" s="111" t="s">
        <v>236</v>
      </c>
      <c r="D145" s="112" t="s">
        <v>741</v>
      </c>
      <c r="E145" s="112" t="s">
        <v>650</v>
      </c>
      <c r="F145" s="111" t="s">
        <v>687</v>
      </c>
      <c r="G145" s="113">
        <v>1</v>
      </c>
      <c r="H145" s="111"/>
      <c r="I145" s="111"/>
      <c r="J145" s="111"/>
      <c r="K145" s="101"/>
      <c r="L145" s="101"/>
      <c r="M145" s="101"/>
      <c r="N145" s="101"/>
      <c r="O145" s="101"/>
      <c r="P145" s="101"/>
      <c r="Q145" s="101"/>
    </row>
    <row r="146" spans="1:17" ht="14.25" customHeight="1">
      <c r="A146" s="110">
        <v>22</v>
      </c>
      <c r="B146" s="111" t="s">
        <v>421</v>
      </c>
      <c r="C146" s="111" t="s">
        <v>237</v>
      </c>
      <c r="D146" s="112" t="s">
        <v>753</v>
      </c>
      <c r="E146" s="112" t="s">
        <v>650</v>
      </c>
      <c r="F146" s="111" t="s">
        <v>687</v>
      </c>
      <c r="G146" s="113">
        <v>0</v>
      </c>
      <c r="H146" s="114" t="s">
        <v>642</v>
      </c>
      <c r="I146" s="114" t="s">
        <v>927</v>
      </c>
      <c r="J146" s="111"/>
      <c r="K146" s="101"/>
      <c r="L146" s="101"/>
      <c r="M146" s="101"/>
      <c r="N146" s="101"/>
      <c r="O146" s="101"/>
      <c r="P146" s="101"/>
      <c r="Q146" s="101"/>
    </row>
    <row r="147" spans="1:17" ht="14.25" customHeight="1">
      <c r="A147" s="110">
        <v>36</v>
      </c>
      <c r="B147" s="111" t="s">
        <v>422</v>
      </c>
      <c r="C147" s="111" t="s">
        <v>239</v>
      </c>
      <c r="D147" s="112" t="s">
        <v>786</v>
      </c>
      <c r="E147" s="112" t="s">
        <v>663</v>
      </c>
      <c r="F147" s="111" t="s">
        <v>651</v>
      </c>
      <c r="G147" s="113">
        <v>1</v>
      </c>
      <c r="H147" s="111"/>
      <c r="I147" s="111"/>
      <c r="J147" s="111"/>
      <c r="K147" s="101"/>
      <c r="L147" s="101"/>
      <c r="M147" s="101"/>
      <c r="N147" s="101"/>
      <c r="O147" s="101"/>
      <c r="P147" s="101"/>
      <c r="Q147" s="101"/>
    </row>
    <row r="148" spans="1:17" ht="14.25" customHeight="1">
      <c r="A148" s="110">
        <v>62</v>
      </c>
      <c r="B148" s="111" t="s">
        <v>423</v>
      </c>
      <c r="C148" s="111" t="s">
        <v>240</v>
      </c>
      <c r="D148" s="112" t="s">
        <v>850</v>
      </c>
      <c r="E148" s="112" t="s">
        <v>673</v>
      </c>
      <c r="F148" s="111" t="s">
        <v>670</v>
      </c>
      <c r="G148" s="113">
        <v>1</v>
      </c>
      <c r="H148" s="111"/>
      <c r="I148" s="111"/>
      <c r="J148" s="111"/>
      <c r="K148" s="101"/>
      <c r="L148" s="101"/>
      <c r="M148" s="101"/>
      <c r="N148" s="101"/>
      <c r="O148" s="101"/>
      <c r="P148" s="101"/>
      <c r="Q148" s="101"/>
    </row>
    <row r="149" spans="1:17" ht="14.25" customHeight="1">
      <c r="A149" s="110">
        <v>78</v>
      </c>
      <c r="B149" s="111" t="s">
        <v>424</v>
      </c>
      <c r="C149" s="111" t="s">
        <v>241</v>
      </c>
      <c r="D149" s="112" t="s">
        <v>883</v>
      </c>
      <c r="E149" s="112" t="s">
        <v>686</v>
      </c>
      <c r="F149" s="111" t="s">
        <v>664</v>
      </c>
      <c r="G149" s="113">
        <v>1</v>
      </c>
      <c r="H149" s="114"/>
      <c r="I149" s="112" t="s">
        <v>960</v>
      </c>
      <c r="J149" s="111"/>
      <c r="K149" s="101"/>
      <c r="L149" s="101"/>
      <c r="M149" s="101"/>
      <c r="N149" s="101"/>
      <c r="O149" s="101"/>
      <c r="P149" s="101"/>
      <c r="Q149" s="101"/>
    </row>
    <row r="150" spans="1:17" ht="14.25" customHeight="1">
      <c r="A150" s="110">
        <v>20</v>
      </c>
      <c r="B150" s="111" t="s">
        <v>425</v>
      </c>
      <c r="C150" s="111" t="s">
        <v>242</v>
      </c>
      <c r="D150" s="112" t="s">
        <v>749</v>
      </c>
      <c r="E150" s="112" t="s">
        <v>650</v>
      </c>
      <c r="F150" s="111" t="s">
        <v>687</v>
      </c>
      <c r="G150" s="113">
        <v>1</v>
      </c>
      <c r="H150" s="111"/>
      <c r="I150" s="111"/>
      <c r="J150" s="111"/>
      <c r="K150" s="101"/>
      <c r="L150" s="101"/>
      <c r="M150" s="101"/>
      <c r="N150" s="101"/>
      <c r="O150" s="101"/>
      <c r="P150" s="101"/>
      <c r="Q150" s="101"/>
    </row>
    <row r="151" spans="1:17" ht="14.25" customHeight="1">
      <c r="A151" s="110">
        <v>55</v>
      </c>
      <c r="B151" s="111" t="s">
        <v>426</v>
      </c>
      <c r="C151" s="111" t="s">
        <v>242</v>
      </c>
      <c r="D151" s="112" t="s">
        <v>832</v>
      </c>
      <c r="E151" s="112" t="s">
        <v>669</v>
      </c>
      <c r="F151" s="111" t="s">
        <v>660</v>
      </c>
      <c r="G151" s="113">
        <v>0</v>
      </c>
      <c r="H151" s="114" t="s">
        <v>626</v>
      </c>
      <c r="I151" s="112" t="s">
        <v>954</v>
      </c>
      <c r="J151" s="111"/>
      <c r="K151" s="101"/>
      <c r="L151" s="101"/>
      <c r="M151" s="101"/>
      <c r="N151" s="101"/>
      <c r="O151" s="101"/>
      <c r="P151" s="101"/>
      <c r="Q151" s="101"/>
    </row>
    <row r="152" spans="1:17" ht="14.25" customHeight="1">
      <c r="A152" s="110">
        <v>65</v>
      </c>
      <c r="B152" s="111" t="s">
        <v>427</v>
      </c>
      <c r="C152" s="111" t="s">
        <v>244</v>
      </c>
      <c r="D152" s="112" t="s">
        <v>855</v>
      </c>
      <c r="E152" s="112" t="s">
        <v>673</v>
      </c>
      <c r="F152" s="111" t="s">
        <v>670</v>
      </c>
      <c r="G152" s="113">
        <v>1</v>
      </c>
      <c r="H152" s="111"/>
      <c r="I152" s="101"/>
      <c r="J152" s="111"/>
      <c r="K152" s="101"/>
      <c r="L152" s="101"/>
      <c r="M152" s="101"/>
      <c r="N152" s="101"/>
      <c r="O152" s="101"/>
      <c r="P152" s="101"/>
      <c r="Q152" s="101"/>
    </row>
    <row r="153" spans="1:17" ht="14.25" customHeight="1">
      <c r="A153" s="110">
        <v>59</v>
      </c>
      <c r="B153" s="111" t="s">
        <v>428</v>
      </c>
      <c r="C153" s="111" t="s">
        <v>246</v>
      </c>
      <c r="D153" s="112" t="s">
        <v>842</v>
      </c>
      <c r="E153" s="112" t="s">
        <v>673</v>
      </c>
      <c r="F153" s="111" t="s">
        <v>670</v>
      </c>
      <c r="G153" s="113">
        <v>1</v>
      </c>
      <c r="H153" s="111"/>
      <c r="I153" s="111"/>
      <c r="J153" s="111"/>
      <c r="K153" s="101"/>
      <c r="L153" s="101"/>
      <c r="M153" s="101"/>
      <c r="N153" s="101"/>
      <c r="O153" s="101"/>
      <c r="P153" s="101"/>
      <c r="Q153" s="101"/>
    </row>
    <row r="154" spans="1:17" ht="14.25" customHeight="1">
      <c r="A154" s="110">
        <v>18</v>
      </c>
      <c r="B154" s="111" t="s">
        <v>429</v>
      </c>
      <c r="C154" s="111" t="s">
        <v>247</v>
      </c>
      <c r="D154" s="112" t="s">
        <v>744</v>
      </c>
      <c r="E154" s="112" t="s">
        <v>650</v>
      </c>
      <c r="F154" s="111" t="s">
        <v>687</v>
      </c>
      <c r="G154" s="113">
        <v>1</v>
      </c>
      <c r="H154" s="111"/>
      <c r="I154" s="111"/>
      <c r="J154" s="111"/>
      <c r="K154" s="101"/>
      <c r="L154" s="101"/>
      <c r="M154" s="101"/>
      <c r="N154" s="101"/>
      <c r="O154" s="101"/>
      <c r="P154" s="101"/>
      <c r="Q154" s="101"/>
    </row>
    <row r="155" spans="1:17" ht="14.25" customHeight="1">
      <c r="A155" s="110">
        <v>33</v>
      </c>
      <c r="B155" s="111" t="s">
        <v>430</v>
      </c>
      <c r="C155" s="111" t="s">
        <v>248</v>
      </c>
      <c r="D155" s="112" t="s">
        <v>780</v>
      </c>
      <c r="E155" s="112" t="s">
        <v>659</v>
      </c>
      <c r="F155" s="111" t="s">
        <v>625</v>
      </c>
      <c r="G155" s="113">
        <v>1</v>
      </c>
      <c r="H155" s="114"/>
      <c r="I155" s="112" t="s">
        <v>930</v>
      </c>
      <c r="J155" s="111"/>
      <c r="K155" s="101"/>
      <c r="L155" s="101"/>
      <c r="M155" s="101"/>
      <c r="N155" s="101"/>
      <c r="O155" s="101"/>
      <c r="P155" s="101"/>
      <c r="Q155" s="101"/>
    </row>
    <row r="156" spans="1:17" ht="14.25" customHeight="1">
      <c r="A156" s="110">
        <v>73</v>
      </c>
      <c r="B156" s="111" t="s">
        <v>431</v>
      </c>
      <c r="C156" s="111" t="s">
        <v>249</v>
      </c>
      <c r="D156" s="112" t="s">
        <v>874</v>
      </c>
      <c r="E156" s="112" t="s">
        <v>680</v>
      </c>
      <c r="F156" s="111" t="s">
        <v>674</v>
      </c>
      <c r="G156" s="113">
        <v>0</v>
      </c>
      <c r="H156" s="114" t="s">
        <v>633</v>
      </c>
      <c r="I156" s="111"/>
      <c r="J156" s="111"/>
      <c r="K156" s="101"/>
      <c r="L156" s="101"/>
      <c r="M156" s="101"/>
      <c r="N156" s="101"/>
      <c r="O156" s="101"/>
      <c r="P156" s="101"/>
      <c r="Q156" s="101"/>
    </row>
    <row r="157" spans="1:17" ht="14.25" customHeight="1">
      <c r="A157" s="110">
        <v>83</v>
      </c>
      <c r="B157" s="111" t="s">
        <v>433</v>
      </c>
      <c r="C157" s="111" t="s">
        <v>251</v>
      </c>
      <c r="D157" s="112" t="s">
        <v>893</v>
      </c>
      <c r="E157" s="112" t="s">
        <v>686</v>
      </c>
      <c r="F157" s="111" t="s">
        <v>664</v>
      </c>
      <c r="G157" s="113">
        <v>0</v>
      </c>
      <c r="H157" s="114" t="s">
        <v>634</v>
      </c>
      <c r="I157" s="111"/>
      <c r="J157" s="111"/>
      <c r="K157" s="101"/>
      <c r="L157" s="101"/>
      <c r="M157" s="101"/>
      <c r="N157" s="101"/>
      <c r="O157" s="101"/>
      <c r="P157" s="101"/>
      <c r="Q157" s="101"/>
    </row>
    <row r="158" spans="1:17" ht="14.25" customHeight="1">
      <c r="A158" s="110">
        <v>35</v>
      </c>
      <c r="B158" s="111" t="s">
        <v>434</v>
      </c>
      <c r="C158" s="111" t="s">
        <v>252</v>
      </c>
      <c r="D158" s="112" t="s">
        <v>784</v>
      </c>
      <c r="E158" s="112" t="s">
        <v>663</v>
      </c>
      <c r="F158" s="111" t="s">
        <v>651</v>
      </c>
      <c r="G158" s="113">
        <v>1</v>
      </c>
      <c r="H158" s="111"/>
      <c r="I158" s="111"/>
      <c r="J158" s="111"/>
      <c r="K158" s="101"/>
      <c r="L158" s="101"/>
      <c r="M158" s="101"/>
      <c r="N158" s="101"/>
      <c r="O158" s="101"/>
      <c r="P158" s="101"/>
      <c r="Q158" s="101"/>
    </row>
    <row r="159" spans="1:17" ht="14.25" customHeight="1">
      <c r="A159" s="110">
        <v>65</v>
      </c>
      <c r="B159" s="111" t="s">
        <v>435</v>
      </c>
      <c r="C159" s="111" t="s">
        <v>253</v>
      </c>
      <c r="D159" s="112" t="s">
        <v>856</v>
      </c>
      <c r="E159" s="112" t="s">
        <v>673</v>
      </c>
      <c r="F159" s="111" t="s">
        <v>670</v>
      </c>
      <c r="G159" s="113">
        <v>1</v>
      </c>
      <c r="H159" s="111"/>
      <c r="I159" s="111"/>
      <c r="J159" s="111"/>
      <c r="K159" s="101"/>
      <c r="L159" s="101"/>
      <c r="M159" s="101"/>
      <c r="N159" s="101"/>
      <c r="O159" s="101"/>
      <c r="P159" s="101"/>
      <c r="Q159" s="101"/>
    </row>
    <row r="160" spans="1:17" ht="14.25" customHeight="1">
      <c r="A160" s="110">
        <v>74</v>
      </c>
      <c r="B160" s="111" t="s">
        <v>436</v>
      </c>
      <c r="C160" s="111" t="s">
        <v>255</v>
      </c>
      <c r="D160" s="112" t="s">
        <v>876</v>
      </c>
      <c r="E160" s="112" t="s">
        <v>680</v>
      </c>
      <c r="F160" s="111" t="s">
        <v>674</v>
      </c>
      <c r="G160" s="113">
        <v>0</v>
      </c>
      <c r="H160" s="114" t="s">
        <v>634</v>
      </c>
      <c r="I160" s="111"/>
      <c r="J160" s="111"/>
      <c r="K160" s="101"/>
      <c r="L160" s="101"/>
      <c r="M160" s="101"/>
      <c r="N160" s="101"/>
      <c r="O160" s="101"/>
      <c r="P160" s="101"/>
      <c r="Q160" s="101"/>
    </row>
    <row r="161" spans="1:17" ht="14.25" customHeight="1">
      <c r="A161" s="110">
        <v>8</v>
      </c>
      <c r="B161" s="111" t="s">
        <v>437</v>
      </c>
      <c r="C161" s="111" t="s">
        <v>257</v>
      </c>
      <c r="D161" s="112" t="s">
        <v>721</v>
      </c>
      <c r="E161" s="112" t="s">
        <v>624</v>
      </c>
      <c r="F161" s="111" t="s">
        <v>681</v>
      </c>
      <c r="G161" s="113">
        <v>0</v>
      </c>
      <c r="H161" s="114" t="s">
        <v>642</v>
      </c>
      <c r="I161" s="114" t="s">
        <v>922</v>
      </c>
      <c r="J161" s="111"/>
      <c r="K161" s="101"/>
      <c r="L161" s="101"/>
      <c r="M161" s="101"/>
      <c r="N161" s="101"/>
      <c r="O161" s="101"/>
      <c r="P161" s="101"/>
      <c r="Q161" s="101"/>
    </row>
    <row r="162" spans="1:17" ht="14.25" customHeight="1">
      <c r="A162" s="110">
        <v>83</v>
      </c>
      <c r="B162" s="111" t="s">
        <v>438</v>
      </c>
      <c r="C162" s="111" t="s">
        <v>258</v>
      </c>
      <c r="D162" s="112" t="s">
        <v>894</v>
      </c>
      <c r="E162" s="112" t="s">
        <v>686</v>
      </c>
      <c r="F162" s="111" t="s">
        <v>664</v>
      </c>
      <c r="G162" s="113">
        <v>0</v>
      </c>
      <c r="H162" s="114" t="s">
        <v>634</v>
      </c>
      <c r="I162" s="111"/>
      <c r="J162" s="111"/>
      <c r="K162" s="101"/>
      <c r="L162" s="101"/>
      <c r="M162" s="101"/>
      <c r="N162" s="101"/>
      <c r="O162" s="101"/>
      <c r="P162" s="101"/>
      <c r="Q162" s="101"/>
    </row>
    <row r="163" spans="1:17" ht="14.25" customHeight="1">
      <c r="A163" s="110">
        <v>17</v>
      </c>
      <c r="B163" s="111" t="s">
        <v>439</v>
      </c>
      <c r="C163" s="111" t="s">
        <v>259</v>
      </c>
      <c r="D163" s="112" t="s">
        <v>742</v>
      </c>
      <c r="E163" s="112" t="s">
        <v>650</v>
      </c>
      <c r="F163" s="111" t="s">
        <v>687</v>
      </c>
      <c r="G163" s="113">
        <v>1</v>
      </c>
      <c r="H163" s="111"/>
      <c r="I163" s="111"/>
      <c r="J163" s="111"/>
      <c r="K163" s="101"/>
      <c r="L163" s="101"/>
      <c r="M163" s="101"/>
      <c r="N163" s="101"/>
      <c r="O163" s="101"/>
      <c r="P163" s="101"/>
      <c r="Q163" s="101"/>
    </row>
    <row r="164" spans="1:17" ht="14.25" customHeight="1">
      <c r="A164" s="110">
        <v>46</v>
      </c>
      <c r="B164" s="111" t="s">
        <v>440</v>
      </c>
      <c r="C164" s="111" t="s">
        <v>260</v>
      </c>
      <c r="D164" s="112" t="s">
        <v>808</v>
      </c>
      <c r="E164" s="112" t="s">
        <v>669</v>
      </c>
      <c r="F164" s="111" t="s">
        <v>660</v>
      </c>
      <c r="G164" s="113">
        <v>1</v>
      </c>
      <c r="H164" s="111"/>
      <c r="I164" s="111"/>
      <c r="J164" s="111"/>
      <c r="K164" s="101"/>
      <c r="L164" s="101"/>
      <c r="M164" s="101"/>
      <c r="N164" s="101"/>
      <c r="O164" s="101"/>
      <c r="P164" s="101"/>
      <c r="Q164" s="101"/>
    </row>
    <row r="165" spans="1:17" ht="14.25" customHeight="1">
      <c r="A165" s="110">
        <v>61</v>
      </c>
      <c r="B165" s="111" t="s">
        <v>441</v>
      </c>
      <c r="C165" s="111" t="s">
        <v>261</v>
      </c>
      <c r="D165" s="112" t="s">
        <v>847</v>
      </c>
      <c r="E165" s="112" t="s">
        <v>673</v>
      </c>
      <c r="F165" s="111" t="s">
        <v>670</v>
      </c>
      <c r="G165" s="113">
        <v>1</v>
      </c>
      <c r="H165" s="111"/>
      <c r="I165" s="111"/>
      <c r="J165" s="111"/>
      <c r="K165" s="101"/>
      <c r="L165" s="101"/>
      <c r="M165" s="101"/>
      <c r="N165" s="101"/>
      <c r="O165" s="101"/>
      <c r="P165" s="101"/>
      <c r="Q165" s="101"/>
    </row>
    <row r="166" spans="1:17" ht="14.25" customHeight="1">
      <c r="A166" s="110">
        <v>26</v>
      </c>
      <c r="B166" s="111" t="s">
        <v>447</v>
      </c>
      <c r="C166" s="111" t="s">
        <v>262</v>
      </c>
      <c r="D166" s="112" t="s">
        <v>763</v>
      </c>
      <c r="E166" s="112" t="s">
        <v>659</v>
      </c>
      <c r="F166" s="111" t="s">
        <v>625</v>
      </c>
      <c r="G166" s="113">
        <v>0</v>
      </c>
      <c r="H166" s="114" t="s">
        <v>626</v>
      </c>
      <c r="I166" s="114" t="s">
        <v>931</v>
      </c>
      <c r="J166" s="111"/>
      <c r="K166" s="101"/>
      <c r="L166" s="101"/>
      <c r="M166" s="101"/>
      <c r="N166" s="101"/>
      <c r="O166" s="101"/>
      <c r="P166" s="101"/>
      <c r="Q166" s="101"/>
    </row>
    <row r="167" spans="1:17" ht="14.25" customHeight="1">
      <c r="A167" s="110"/>
      <c r="B167" s="101" t="s">
        <v>292</v>
      </c>
      <c r="C167" s="114" t="s">
        <v>65</v>
      </c>
      <c r="D167" s="112" t="s">
        <v>964</v>
      </c>
      <c r="E167" s="112"/>
      <c r="F167" s="114" t="s">
        <v>965</v>
      </c>
      <c r="G167" s="113">
        <v>1</v>
      </c>
      <c r="H167" s="111"/>
      <c r="I167" s="111"/>
      <c r="J167" s="114" t="s">
        <v>966</v>
      </c>
      <c r="K167" s="101"/>
      <c r="L167" s="101"/>
      <c r="M167" s="101"/>
      <c r="N167" s="101"/>
      <c r="O167" s="101"/>
      <c r="P167" s="101"/>
    </row>
    <row r="168" spans="1:17" ht="14.25" customHeight="1">
      <c r="A168" s="101"/>
      <c r="B168" s="101" t="s">
        <v>409</v>
      </c>
      <c r="C168" s="101" t="s">
        <v>221</v>
      </c>
      <c r="E168" s="102"/>
      <c r="F168" s="102" t="s">
        <v>965</v>
      </c>
      <c r="G168" s="102">
        <v>1</v>
      </c>
      <c r="H168" s="101"/>
      <c r="I168" s="124" t="s">
        <v>960</v>
      </c>
      <c r="J168" s="101"/>
      <c r="K168" s="101"/>
      <c r="L168" s="101"/>
      <c r="M168" s="101"/>
      <c r="N168" s="101"/>
      <c r="O168" s="101"/>
      <c r="P168" s="101"/>
    </row>
    <row r="169" spans="1:17" ht="14.25" customHeight="1">
      <c r="A169" s="101"/>
      <c r="B169" s="101"/>
      <c r="C169" s="101"/>
      <c r="D169" s="101"/>
      <c r="E169" s="102"/>
      <c r="F169" s="102"/>
      <c r="G169" s="102"/>
      <c r="H169" s="101"/>
      <c r="I169" s="101"/>
      <c r="J169" s="101"/>
      <c r="K169" s="101"/>
      <c r="L169" s="101"/>
      <c r="M169" s="101"/>
      <c r="N169" s="101"/>
      <c r="O169" s="101"/>
      <c r="P169" s="101"/>
    </row>
    <row r="170" spans="1:17" ht="14.25" customHeight="1">
      <c r="A170" s="101"/>
      <c r="B170" s="101"/>
      <c r="C170" s="101"/>
      <c r="D170" s="101"/>
      <c r="E170" s="102"/>
      <c r="F170" s="101"/>
      <c r="G170" s="101"/>
      <c r="H170" s="101"/>
      <c r="I170" s="101"/>
      <c r="J170" s="101"/>
      <c r="K170" s="101"/>
      <c r="L170" s="101"/>
      <c r="M170" s="101"/>
      <c r="N170" s="101"/>
      <c r="O170" s="101"/>
      <c r="P170" s="101"/>
    </row>
    <row r="171" spans="1:17" ht="14.25" customHeight="1">
      <c r="A171" s="101"/>
      <c r="B171" s="101"/>
      <c r="C171" s="101"/>
      <c r="D171" s="101"/>
      <c r="E171" s="102"/>
      <c r="F171" s="101"/>
      <c r="G171" s="101"/>
      <c r="H171" s="101"/>
      <c r="I171" s="101"/>
      <c r="J171" s="101"/>
      <c r="K171" s="101"/>
      <c r="L171" s="101"/>
      <c r="M171" s="101"/>
      <c r="N171" s="101"/>
      <c r="O171" s="101"/>
      <c r="P171" s="101"/>
    </row>
    <row r="172" spans="1:17" ht="14.25" customHeight="1">
      <c r="A172" s="101"/>
      <c r="B172" s="101"/>
      <c r="C172" s="101"/>
      <c r="D172" s="101"/>
      <c r="E172" s="102"/>
      <c r="F172" s="102"/>
      <c r="G172" s="102"/>
      <c r="H172" s="101"/>
      <c r="I172" s="101"/>
      <c r="J172" s="101"/>
      <c r="K172" s="101"/>
      <c r="L172" s="101"/>
      <c r="M172" s="101"/>
      <c r="N172" s="101"/>
      <c r="O172" s="101"/>
      <c r="P172" s="101"/>
    </row>
    <row r="173" spans="1:17" ht="14.25" customHeight="1">
      <c r="A173" s="101"/>
      <c r="B173" s="130"/>
      <c r="C173" s="101"/>
      <c r="D173" s="101"/>
      <c r="E173" s="102"/>
      <c r="F173" s="102"/>
      <c r="G173" s="102"/>
      <c r="H173" s="101"/>
      <c r="I173" s="101"/>
      <c r="J173" s="101"/>
      <c r="K173" s="101"/>
      <c r="L173" s="101"/>
      <c r="M173" s="101"/>
      <c r="N173" s="101"/>
      <c r="O173" s="101"/>
      <c r="P173" s="101"/>
    </row>
    <row r="174" spans="1:17" ht="14.25" customHeight="1">
      <c r="A174" s="101"/>
      <c r="B174" s="101"/>
      <c r="C174" s="101"/>
      <c r="D174" s="101"/>
      <c r="E174" s="102"/>
      <c r="F174" s="102"/>
      <c r="G174" s="102"/>
      <c r="H174" s="101"/>
      <c r="I174" s="101"/>
      <c r="J174" s="101"/>
      <c r="K174" s="101"/>
      <c r="L174" s="101"/>
      <c r="M174" s="101"/>
      <c r="N174" s="101"/>
      <c r="O174" s="101"/>
      <c r="P174" s="101"/>
    </row>
    <row r="175" spans="1:17" ht="14.25" customHeight="1">
      <c r="A175" s="101"/>
      <c r="B175" s="101"/>
      <c r="C175" s="101"/>
      <c r="D175" s="101"/>
      <c r="E175" s="102"/>
      <c r="F175" s="102"/>
      <c r="G175" s="102"/>
      <c r="H175" s="101"/>
      <c r="I175" s="101"/>
      <c r="J175" s="101"/>
      <c r="K175" s="101"/>
      <c r="L175" s="101"/>
      <c r="M175" s="101"/>
      <c r="N175" s="101"/>
      <c r="O175" s="101"/>
      <c r="P175" s="101"/>
    </row>
    <row r="176" spans="1:17" ht="14.25" customHeight="1">
      <c r="A176" s="101"/>
      <c r="B176" s="101"/>
      <c r="C176" s="101"/>
      <c r="D176" s="101"/>
      <c r="E176" s="102"/>
      <c r="F176" s="102"/>
      <c r="G176" s="102"/>
      <c r="H176" s="101"/>
      <c r="I176" s="101"/>
      <c r="J176" s="101"/>
      <c r="K176" s="101"/>
      <c r="L176" s="101"/>
      <c r="M176" s="101"/>
      <c r="N176" s="101"/>
      <c r="O176" s="101"/>
      <c r="P176" s="101"/>
    </row>
    <row r="177" spans="1:17" ht="14.25" customHeight="1">
      <c r="A177" s="101"/>
      <c r="B177" s="101"/>
      <c r="C177" s="101"/>
      <c r="D177" s="101"/>
      <c r="E177" s="102"/>
      <c r="F177" s="102"/>
      <c r="G177" s="102"/>
      <c r="H177" s="101"/>
      <c r="I177" s="101"/>
      <c r="J177" s="101"/>
      <c r="K177" s="101"/>
      <c r="L177" s="101"/>
      <c r="M177" s="101"/>
      <c r="N177" s="101"/>
      <c r="O177" s="101"/>
      <c r="P177" s="101"/>
    </row>
    <row r="178" spans="1:17" ht="14.25" customHeight="1">
      <c r="A178" s="101"/>
      <c r="B178" s="101"/>
      <c r="C178" s="101"/>
      <c r="D178" s="101"/>
      <c r="E178" s="102"/>
      <c r="F178" s="102"/>
      <c r="G178" s="102"/>
      <c r="H178" s="101"/>
      <c r="I178" s="101"/>
      <c r="J178" s="101"/>
      <c r="K178" s="101"/>
      <c r="L178" s="101"/>
      <c r="M178" s="101"/>
      <c r="N178" s="101"/>
      <c r="O178" s="101"/>
      <c r="P178" s="101"/>
    </row>
    <row r="179" spans="1:17" ht="14.25" customHeight="1">
      <c r="A179" s="101"/>
      <c r="B179" s="101"/>
      <c r="C179" s="101"/>
      <c r="D179" s="101"/>
      <c r="E179" s="102"/>
      <c r="F179" s="102"/>
      <c r="G179" s="102"/>
      <c r="H179" s="101"/>
      <c r="I179" s="101"/>
      <c r="J179" s="101"/>
      <c r="K179" s="101"/>
      <c r="L179" s="101"/>
      <c r="M179" s="101"/>
      <c r="N179" s="101"/>
      <c r="O179" s="101"/>
      <c r="P179" s="101"/>
    </row>
    <row r="180" spans="1:17" ht="14.25" customHeight="1">
      <c r="A180" s="101"/>
      <c r="B180" s="101"/>
      <c r="C180" s="101"/>
      <c r="D180" s="101"/>
      <c r="E180" s="102"/>
      <c r="F180" s="102"/>
      <c r="G180" s="102"/>
      <c r="H180" s="101"/>
      <c r="I180" s="101"/>
      <c r="J180" s="101"/>
      <c r="K180" s="101"/>
      <c r="L180" s="101"/>
      <c r="M180" s="101"/>
      <c r="N180" s="101"/>
      <c r="O180" s="101"/>
      <c r="P180" s="101"/>
    </row>
    <row r="181" spans="1:17" ht="14.25" customHeight="1">
      <c r="A181" s="101"/>
      <c r="B181" s="101"/>
      <c r="C181" s="101"/>
      <c r="D181" s="101"/>
      <c r="E181" s="102"/>
      <c r="F181" s="102"/>
      <c r="G181" s="102"/>
      <c r="H181" s="101"/>
      <c r="I181" s="101"/>
      <c r="J181" s="101"/>
      <c r="K181" s="101"/>
      <c r="L181" s="101"/>
      <c r="M181" s="101"/>
      <c r="N181" s="101"/>
      <c r="O181" s="101"/>
      <c r="P181" s="101"/>
    </row>
    <row r="182" spans="1:17" ht="14.25" customHeight="1">
      <c r="A182" s="101"/>
      <c r="B182" s="101"/>
      <c r="C182" s="101"/>
      <c r="D182" s="101"/>
      <c r="E182" s="102"/>
      <c r="F182" s="102"/>
      <c r="G182" s="102"/>
      <c r="H182" s="101"/>
      <c r="I182" s="101"/>
      <c r="J182" s="101"/>
      <c r="K182" s="101"/>
      <c r="L182" s="101"/>
      <c r="M182" s="101"/>
      <c r="N182" s="101"/>
      <c r="O182" s="101"/>
      <c r="P182" s="101"/>
    </row>
    <row r="183" spans="1:17" ht="14.25" customHeight="1">
      <c r="A183" s="101"/>
      <c r="B183" s="101"/>
      <c r="C183" s="101"/>
      <c r="D183" s="101"/>
      <c r="E183" s="102"/>
      <c r="F183" s="102"/>
      <c r="G183" s="102"/>
      <c r="H183" s="101"/>
      <c r="I183" s="101"/>
      <c r="J183" s="101"/>
      <c r="K183" s="101"/>
      <c r="L183" s="101"/>
      <c r="M183" s="101"/>
      <c r="N183" s="101"/>
      <c r="O183" s="101"/>
      <c r="P183" s="101"/>
    </row>
    <row r="184" spans="1:17" ht="14.25" customHeight="1">
      <c r="A184" s="101"/>
      <c r="B184" s="101"/>
      <c r="C184" s="101"/>
      <c r="D184" s="101"/>
      <c r="E184" s="102"/>
      <c r="F184" s="102"/>
      <c r="G184" s="102"/>
      <c r="H184" s="101"/>
      <c r="I184" s="101"/>
      <c r="J184" s="101"/>
      <c r="K184" s="101"/>
      <c r="L184" s="101"/>
      <c r="M184" s="101"/>
      <c r="N184" s="101"/>
      <c r="O184" s="101"/>
      <c r="P184" s="101"/>
      <c r="Q184" s="101"/>
    </row>
    <row r="185" spans="1:17" ht="14.25" customHeight="1">
      <c r="A185" s="101"/>
      <c r="B185" s="101"/>
      <c r="C185" s="101"/>
      <c r="D185" s="101"/>
      <c r="E185" s="102"/>
      <c r="F185" s="102"/>
      <c r="G185" s="102"/>
      <c r="H185" s="101"/>
      <c r="I185" s="101"/>
      <c r="J185" s="101"/>
      <c r="K185" s="101"/>
      <c r="L185" s="101"/>
      <c r="M185" s="101"/>
      <c r="N185" s="101"/>
      <c r="O185" s="101"/>
      <c r="P185" s="101"/>
      <c r="Q185" s="101"/>
    </row>
    <row r="186" spans="1:17" ht="14.25" customHeight="1">
      <c r="A186" s="101"/>
      <c r="B186" s="101"/>
      <c r="C186" s="101"/>
      <c r="D186" s="101"/>
      <c r="E186" s="102"/>
      <c r="F186" s="102"/>
      <c r="G186" s="102"/>
      <c r="H186" s="101"/>
      <c r="I186" s="101"/>
      <c r="J186" s="101"/>
      <c r="K186" s="101"/>
      <c r="L186" s="101"/>
      <c r="M186" s="101"/>
      <c r="N186" s="101"/>
      <c r="O186" s="101"/>
      <c r="P186" s="101"/>
      <c r="Q186" s="101"/>
    </row>
    <row r="187" spans="1:17" ht="14.25" customHeight="1">
      <c r="A187" s="101"/>
      <c r="B187" s="101"/>
      <c r="C187" s="101"/>
      <c r="D187" s="101"/>
      <c r="E187" s="102"/>
      <c r="F187" s="102"/>
      <c r="G187" s="102"/>
      <c r="H187" s="101"/>
      <c r="I187" s="101"/>
      <c r="J187" s="101"/>
      <c r="K187" s="101"/>
      <c r="L187" s="101"/>
      <c r="M187" s="101"/>
      <c r="N187" s="101"/>
      <c r="O187" s="101"/>
      <c r="P187" s="101"/>
      <c r="Q187" s="101"/>
    </row>
    <row r="188" spans="1:17" ht="14.25" customHeight="1">
      <c r="A188" s="101"/>
      <c r="B188" s="101"/>
      <c r="C188" s="101"/>
      <c r="D188" s="101"/>
      <c r="E188" s="102"/>
      <c r="F188" s="102"/>
      <c r="G188" s="102"/>
      <c r="H188" s="101"/>
      <c r="I188" s="101"/>
      <c r="J188" s="101"/>
      <c r="K188" s="101"/>
      <c r="L188" s="101"/>
      <c r="M188" s="101"/>
      <c r="N188" s="101"/>
      <c r="O188" s="101"/>
      <c r="P188" s="101"/>
      <c r="Q188" s="101"/>
    </row>
    <row r="189" spans="1:17" ht="14.25" customHeight="1">
      <c r="A189" s="101"/>
      <c r="B189" s="101"/>
      <c r="C189" s="101"/>
      <c r="D189" s="101"/>
      <c r="E189" s="102"/>
      <c r="F189" s="102"/>
      <c r="G189" s="102"/>
      <c r="H189" s="101"/>
      <c r="I189" s="101"/>
      <c r="J189" s="101"/>
      <c r="K189" s="101"/>
      <c r="L189" s="101"/>
      <c r="M189" s="101"/>
      <c r="N189" s="101"/>
      <c r="O189" s="101"/>
      <c r="P189" s="101"/>
      <c r="Q189" s="101"/>
    </row>
    <row r="190" spans="1:17" ht="14.25" customHeight="1">
      <c r="A190" s="101"/>
      <c r="B190" s="101"/>
      <c r="C190" s="101"/>
      <c r="D190" s="101"/>
      <c r="E190" s="102"/>
      <c r="F190" s="102"/>
      <c r="G190" s="102"/>
      <c r="H190" s="101"/>
      <c r="I190" s="101"/>
      <c r="J190" s="101"/>
      <c r="K190" s="101"/>
      <c r="L190" s="101"/>
      <c r="M190" s="101"/>
      <c r="N190" s="101"/>
      <c r="O190" s="101"/>
      <c r="P190" s="101"/>
      <c r="Q190" s="101"/>
    </row>
    <row r="191" spans="1:17" ht="14.25" customHeight="1">
      <c r="A191" s="101"/>
      <c r="B191" s="101"/>
      <c r="C191" s="101"/>
      <c r="D191" s="101"/>
      <c r="E191" s="102"/>
      <c r="F191" s="102"/>
      <c r="G191" s="102"/>
      <c r="H191" s="101"/>
      <c r="I191" s="101"/>
      <c r="J191" s="101"/>
      <c r="K191" s="101"/>
      <c r="L191" s="101"/>
      <c r="M191" s="101"/>
      <c r="N191" s="101"/>
      <c r="O191" s="101"/>
      <c r="P191" s="101"/>
      <c r="Q191" s="101"/>
    </row>
    <row r="192" spans="1:17" ht="14.25" customHeight="1">
      <c r="A192" s="101"/>
      <c r="B192" s="101"/>
      <c r="C192" s="101"/>
      <c r="D192" s="101"/>
      <c r="E192" s="102"/>
      <c r="F192" s="102"/>
      <c r="G192" s="102"/>
      <c r="H192" s="101"/>
      <c r="I192" s="101"/>
      <c r="J192" s="101"/>
      <c r="K192" s="101"/>
      <c r="L192" s="101"/>
      <c r="M192" s="101"/>
      <c r="N192" s="101"/>
      <c r="O192" s="101"/>
      <c r="P192" s="101"/>
      <c r="Q192" s="101"/>
    </row>
    <row r="193" spans="1:17" ht="14.25" customHeight="1">
      <c r="A193" s="101"/>
      <c r="B193" s="101"/>
      <c r="C193" s="101"/>
      <c r="D193" s="101"/>
      <c r="E193" s="102"/>
      <c r="F193" s="102"/>
      <c r="G193" s="102"/>
      <c r="H193" s="101"/>
      <c r="I193" s="101"/>
      <c r="J193" s="101"/>
      <c r="K193" s="101"/>
      <c r="L193" s="101"/>
      <c r="M193" s="101"/>
      <c r="N193" s="101"/>
      <c r="O193" s="101"/>
      <c r="P193" s="101"/>
      <c r="Q193" s="101"/>
    </row>
    <row r="194" spans="1:17" ht="14.25" customHeight="1">
      <c r="A194" s="101"/>
      <c r="B194" s="101"/>
      <c r="C194" s="101"/>
      <c r="D194" s="101"/>
      <c r="E194" s="102"/>
      <c r="F194" s="102"/>
      <c r="G194" s="102"/>
      <c r="H194" s="101"/>
      <c r="I194" s="101"/>
      <c r="J194" s="101"/>
      <c r="K194" s="101"/>
      <c r="L194" s="101"/>
      <c r="M194" s="101"/>
      <c r="N194" s="101"/>
      <c r="O194" s="101"/>
      <c r="P194" s="101"/>
      <c r="Q194" s="101"/>
    </row>
    <row r="195" spans="1:17" ht="14.25" customHeight="1">
      <c r="A195" s="101"/>
      <c r="B195" s="101"/>
      <c r="C195" s="101"/>
      <c r="D195" s="101"/>
      <c r="E195" s="102"/>
      <c r="F195" s="102"/>
      <c r="G195" s="102"/>
      <c r="H195" s="101"/>
      <c r="I195" s="101"/>
      <c r="J195" s="101"/>
      <c r="K195" s="101"/>
      <c r="L195" s="101"/>
      <c r="M195" s="101"/>
      <c r="N195" s="101"/>
      <c r="O195" s="101"/>
      <c r="P195" s="101"/>
      <c r="Q195" s="101"/>
    </row>
    <row r="196" spans="1:17" ht="14.25" customHeight="1">
      <c r="A196" s="101"/>
      <c r="B196" s="101"/>
      <c r="C196" s="101"/>
      <c r="D196" s="101"/>
      <c r="E196" s="102"/>
      <c r="F196" s="102"/>
      <c r="G196" s="102"/>
      <c r="H196" s="101"/>
      <c r="I196" s="101"/>
      <c r="J196" s="101"/>
      <c r="K196" s="101"/>
      <c r="L196" s="101"/>
      <c r="M196" s="101"/>
      <c r="N196" s="101"/>
      <c r="O196" s="101"/>
      <c r="P196" s="101"/>
      <c r="Q196" s="101"/>
    </row>
    <row r="197" spans="1:17" ht="14.25" customHeight="1">
      <c r="A197" s="101"/>
      <c r="B197" s="101"/>
      <c r="C197" s="101"/>
      <c r="D197" s="101"/>
      <c r="E197" s="102"/>
      <c r="F197" s="102"/>
      <c r="G197" s="102"/>
      <c r="H197" s="101"/>
      <c r="I197" s="101"/>
      <c r="J197" s="101"/>
      <c r="K197" s="101"/>
      <c r="L197" s="101"/>
      <c r="M197" s="101"/>
      <c r="N197" s="101"/>
      <c r="O197" s="101"/>
      <c r="P197" s="101"/>
      <c r="Q197" s="101"/>
    </row>
    <row r="198" spans="1:17" ht="14.25" customHeight="1">
      <c r="A198" s="101"/>
      <c r="B198" s="101"/>
      <c r="C198" s="101"/>
      <c r="D198" s="101"/>
      <c r="E198" s="102"/>
      <c r="F198" s="102"/>
      <c r="G198" s="102"/>
      <c r="H198" s="101"/>
      <c r="I198" s="101"/>
      <c r="J198" s="101"/>
      <c r="K198" s="101"/>
      <c r="L198" s="101"/>
      <c r="M198" s="101"/>
      <c r="N198" s="101"/>
      <c r="O198" s="101"/>
      <c r="P198" s="101"/>
      <c r="Q198" s="101"/>
    </row>
    <row r="199" spans="1:17" ht="14.25" customHeight="1">
      <c r="A199" s="101"/>
      <c r="B199" s="101"/>
      <c r="C199" s="101"/>
      <c r="D199" s="101"/>
      <c r="E199" s="102"/>
      <c r="F199" s="102"/>
      <c r="G199" s="102"/>
      <c r="H199" s="101"/>
      <c r="I199" s="101"/>
      <c r="J199" s="101"/>
      <c r="K199" s="101"/>
      <c r="L199" s="101"/>
      <c r="M199" s="101"/>
      <c r="N199" s="101"/>
      <c r="O199" s="101"/>
      <c r="P199" s="101"/>
      <c r="Q199" s="101"/>
    </row>
    <row r="200" spans="1:17" ht="14.25" customHeight="1">
      <c r="A200" s="101"/>
      <c r="B200" s="101"/>
      <c r="C200" s="101"/>
      <c r="D200" s="101"/>
      <c r="E200" s="102"/>
      <c r="F200" s="102"/>
      <c r="G200" s="102"/>
      <c r="H200" s="101"/>
      <c r="I200" s="101"/>
      <c r="J200" s="101"/>
      <c r="K200" s="101"/>
      <c r="L200" s="101"/>
      <c r="M200" s="101"/>
      <c r="N200" s="101"/>
      <c r="O200" s="101"/>
      <c r="P200" s="101"/>
      <c r="Q200" s="101"/>
    </row>
    <row r="201" spans="1:17" ht="14.25" customHeight="1">
      <c r="A201" s="101"/>
      <c r="B201" s="101"/>
      <c r="C201" s="101"/>
      <c r="D201" s="101"/>
      <c r="E201" s="102"/>
      <c r="F201" s="102"/>
      <c r="G201" s="102"/>
      <c r="H201" s="101"/>
      <c r="I201" s="101"/>
      <c r="J201" s="101"/>
      <c r="K201" s="101"/>
      <c r="L201" s="101"/>
      <c r="M201" s="101"/>
      <c r="N201" s="101"/>
      <c r="O201" s="101"/>
      <c r="P201" s="101"/>
      <c r="Q201" s="101"/>
    </row>
    <row r="202" spans="1:17" ht="14.25" customHeight="1">
      <c r="A202" s="101"/>
      <c r="B202" s="101"/>
      <c r="C202" s="101"/>
      <c r="D202" s="101"/>
      <c r="E202" s="102"/>
      <c r="F202" s="102"/>
      <c r="G202" s="102"/>
      <c r="H202" s="101"/>
      <c r="I202" s="101"/>
      <c r="J202" s="101"/>
      <c r="K202" s="101"/>
      <c r="L202" s="101"/>
      <c r="M202" s="101"/>
      <c r="N202" s="101"/>
      <c r="O202" s="101"/>
      <c r="P202" s="101"/>
      <c r="Q202" s="101"/>
    </row>
    <row r="203" spans="1:17" ht="14.25" customHeight="1">
      <c r="A203" s="101"/>
      <c r="B203" s="101"/>
      <c r="C203" s="101"/>
      <c r="D203" s="101"/>
      <c r="E203" s="102"/>
      <c r="F203" s="102"/>
      <c r="G203" s="102"/>
      <c r="H203" s="101"/>
      <c r="I203" s="101"/>
      <c r="J203" s="101"/>
      <c r="K203" s="101"/>
      <c r="L203" s="101"/>
      <c r="M203" s="101"/>
      <c r="N203" s="101"/>
      <c r="O203" s="101"/>
      <c r="P203" s="101"/>
      <c r="Q203" s="101"/>
    </row>
    <row r="204" spans="1:17" ht="14.25" customHeight="1">
      <c r="A204" s="101"/>
      <c r="B204" s="101"/>
      <c r="C204" s="101"/>
      <c r="D204" s="101"/>
      <c r="E204" s="102"/>
      <c r="F204" s="102"/>
      <c r="G204" s="102"/>
      <c r="H204" s="101"/>
      <c r="I204" s="101"/>
      <c r="J204" s="101"/>
      <c r="K204" s="101"/>
      <c r="L204" s="101"/>
      <c r="M204" s="101"/>
      <c r="N204" s="101"/>
      <c r="O204" s="101"/>
      <c r="P204" s="101"/>
      <c r="Q204" s="101"/>
    </row>
    <row r="205" spans="1:17" ht="14.25" customHeight="1">
      <c r="A205" s="101"/>
      <c r="B205" s="101"/>
      <c r="C205" s="101"/>
      <c r="D205" s="101"/>
      <c r="E205" s="102"/>
      <c r="F205" s="102"/>
      <c r="G205" s="102"/>
      <c r="H205" s="101"/>
      <c r="I205" s="101"/>
      <c r="J205" s="101"/>
      <c r="K205" s="101"/>
      <c r="L205" s="101"/>
      <c r="M205" s="101"/>
      <c r="N205" s="101"/>
      <c r="O205" s="101"/>
      <c r="P205" s="101"/>
      <c r="Q205" s="101"/>
    </row>
    <row r="206" spans="1:17" ht="14.25" customHeight="1">
      <c r="A206" s="101"/>
      <c r="B206" s="101"/>
      <c r="C206" s="101"/>
      <c r="D206" s="101"/>
      <c r="E206" s="102"/>
      <c r="F206" s="102"/>
      <c r="G206" s="102"/>
      <c r="H206" s="101"/>
      <c r="I206" s="101"/>
      <c r="J206" s="101"/>
      <c r="K206" s="101"/>
      <c r="L206" s="101"/>
      <c r="M206" s="101"/>
      <c r="N206" s="101"/>
      <c r="O206" s="101"/>
      <c r="P206" s="101"/>
      <c r="Q206" s="101"/>
    </row>
    <row r="207" spans="1:17" ht="14.25" customHeight="1">
      <c r="A207" s="101"/>
      <c r="B207" s="101"/>
      <c r="C207" s="101"/>
      <c r="D207" s="101"/>
      <c r="E207" s="102"/>
      <c r="F207" s="102"/>
      <c r="G207" s="102"/>
      <c r="H207" s="101"/>
      <c r="I207" s="101"/>
      <c r="J207" s="101"/>
      <c r="K207" s="101"/>
      <c r="L207" s="101"/>
      <c r="M207" s="101"/>
      <c r="N207" s="101"/>
      <c r="O207" s="101"/>
      <c r="P207" s="101"/>
      <c r="Q207" s="101"/>
    </row>
    <row r="208" spans="1:17" ht="14.25" customHeight="1">
      <c r="A208" s="101"/>
      <c r="B208" s="101"/>
      <c r="C208" s="101"/>
      <c r="D208" s="101"/>
      <c r="E208" s="102"/>
      <c r="F208" s="102"/>
      <c r="G208" s="102"/>
      <c r="H208" s="101"/>
      <c r="I208" s="101"/>
      <c r="J208" s="101"/>
      <c r="K208" s="101"/>
      <c r="L208" s="101"/>
      <c r="M208" s="101"/>
      <c r="N208" s="101"/>
      <c r="O208" s="101"/>
      <c r="P208" s="101"/>
      <c r="Q208" s="101"/>
    </row>
    <row r="209" spans="1:17" ht="14.25" customHeight="1">
      <c r="A209" s="101"/>
      <c r="B209" s="101"/>
      <c r="C209" s="101"/>
      <c r="D209" s="101"/>
      <c r="E209" s="102"/>
      <c r="F209" s="102"/>
      <c r="G209" s="102"/>
      <c r="H209" s="101"/>
      <c r="I209" s="101"/>
      <c r="J209" s="101"/>
      <c r="K209" s="101"/>
      <c r="L209" s="101"/>
      <c r="M209" s="101"/>
      <c r="N209" s="101"/>
      <c r="O209" s="101"/>
      <c r="P209" s="101"/>
      <c r="Q209" s="101"/>
    </row>
    <row r="210" spans="1:17" ht="14.25" customHeight="1">
      <c r="A210" s="101"/>
      <c r="B210" s="101"/>
      <c r="C210" s="101"/>
      <c r="D210" s="101"/>
      <c r="E210" s="102"/>
      <c r="F210" s="102"/>
      <c r="G210" s="102"/>
      <c r="H210" s="101"/>
      <c r="I210" s="101"/>
      <c r="J210" s="101"/>
      <c r="K210" s="101"/>
      <c r="L210" s="101"/>
      <c r="M210" s="101"/>
      <c r="N210" s="101"/>
      <c r="O210" s="101"/>
      <c r="P210" s="101"/>
      <c r="Q210" s="101"/>
    </row>
    <row r="211" spans="1:17" ht="14.25" customHeight="1">
      <c r="A211" s="101"/>
      <c r="B211" s="101"/>
      <c r="C211" s="101"/>
      <c r="D211" s="101"/>
      <c r="E211" s="102"/>
      <c r="F211" s="102"/>
      <c r="G211" s="102"/>
      <c r="H211" s="101"/>
      <c r="I211" s="101"/>
      <c r="J211" s="101"/>
      <c r="K211" s="101"/>
      <c r="L211" s="101"/>
      <c r="M211" s="101"/>
      <c r="N211" s="101"/>
      <c r="O211" s="101"/>
      <c r="P211" s="101"/>
      <c r="Q211" s="101"/>
    </row>
    <row r="212" spans="1:17" ht="14.25" customHeight="1">
      <c r="A212" s="101"/>
      <c r="B212" s="101"/>
      <c r="C212" s="101"/>
      <c r="D212" s="101"/>
      <c r="E212" s="102"/>
      <c r="F212" s="102"/>
      <c r="G212" s="102"/>
      <c r="H212" s="101"/>
      <c r="I212" s="101"/>
      <c r="J212" s="101"/>
      <c r="K212" s="101"/>
      <c r="L212" s="101"/>
      <c r="M212" s="101"/>
      <c r="N212" s="101"/>
      <c r="O212" s="101"/>
      <c r="P212" s="101"/>
      <c r="Q212" s="101"/>
    </row>
    <row r="213" spans="1:17" ht="14.25" customHeight="1">
      <c r="A213" s="101"/>
      <c r="B213" s="101"/>
      <c r="C213" s="101"/>
      <c r="D213" s="101"/>
      <c r="E213" s="102"/>
      <c r="F213" s="102"/>
      <c r="G213" s="102"/>
      <c r="H213" s="101"/>
      <c r="I213" s="101"/>
      <c r="J213" s="101"/>
      <c r="K213" s="101"/>
      <c r="L213" s="101"/>
      <c r="M213" s="101"/>
      <c r="N213" s="101"/>
      <c r="O213" s="101"/>
      <c r="P213" s="101"/>
      <c r="Q213" s="101"/>
    </row>
    <row r="214" spans="1:17" ht="14.25" customHeight="1">
      <c r="A214" s="101"/>
      <c r="B214" s="101"/>
      <c r="C214" s="101"/>
      <c r="D214" s="101"/>
      <c r="E214" s="102"/>
      <c r="F214" s="102"/>
      <c r="G214" s="102"/>
      <c r="H214" s="101"/>
      <c r="I214" s="101"/>
      <c r="J214" s="101"/>
      <c r="K214" s="101"/>
      <c r="L214" s="101"/>
      <c r="M214" s="101"/>
      <c r="N214" s="101"/>
      <c r="O214" s="101"/>
      <c r="P214" s="101"/>
      <c r="Q214" s="101"/>
    </row>
    <row r="215" spans="1:17" ht="14.25" customHeight="1">
      <c r="A215" s="101"/>
      <c r="B215" s="101"/>
      <c r="C215" s="101"/>
      <c r="D215" s="101"/>
      <c r="E215" s="102"/>
      <c r="F215" s="102"/>
      <c r="G215" s="102"/>
      <c r="H215" s="101"/>
      <c r="I215" s="101"/>
      <c r="J215" s="101"/>
      <c r="K215" s="101"/>
      <c r="L215" s="101"/>
      <c r="M215" s="101"/>
      <c r="N215" s="101"/>
      <c r="O215" s="101"/>
      <c r="P215" s="101"/>
      <c r="Q215" s="101"/>
    </row>
    <row r="216" spans="1:17" ht="14.25" customHeight="1">
      <c r="A216" s="101"/>
      <c r="B216" s="101"/>
      <c r="C216" s="101"/>
      <c r="D216" s="101"/>
      <c r="E216" s="102"/>
      <c r="F216" s="102"/>
      <c r="G216" s="102"/>
      <c r="H216" s="101"/>
      <c r="I216" s="101"/>
      <c r="J216" s="101"/>
      <c r="K216" s="101"/>
      <c r="L216" s="101"/>
      <c r="M216" s="101"/>
      <c r="N216" s="101"/>
      <c r="O216" s="101"/>
      <c r="P216" s="101"/>
      <c r="Q216" s="101"/>
    </row>
    <row r="217" spans="1:17" ht="14.25" customHeight="1">
      <c r="A217" s="101"/>
      <c r="B217" s="101"/>
      <c r="C217" s="101"/>
      <c r="D217" s="101"/>
      <c r="E217" s="102"/>
      <c r="F217" s="102"/>
      <c r="G217" s="102"/>
      <c r="H217" s="101"/>
      <c r="I217" s="101"/>
      <c r="J217" s="101"/>
      <c r="K217" s="101"/>
      <c r="L217" s="101"/>
      <c r="M217" s="101"/>
      <c r="N217" s="101"/>
      <c r="O217" s="101"/>
      <c r="P217" s="101"/>
      <c r="Q217" s="101"/>
    </row>
    <row r="218" spans="1:17" ht="14.25" customHeight="1">
      <c r="A218" s="101"/>
      <c r="B218" s="101"/>
      <c r="C218" s="101"/>
      <c r="D218" s="101"/>
      <c r="E218" s="102"/>
      <c r="F218" s="102"/>
      <c r="G218" s="102"/>
      <c r="H218" s="101"/>
      <c r="I218" s="101"/>
      <c r="J218" s="101"/>
      <c r="K218" s="101"/>
      <c r="L218" s="101"/>
      <c r="M218" s="101"/>
      <c r="N218" s="101"/>
      <c r="O218" s="101"/>
      <c r="P218" s="101"/>
      <c r="Q218" s="101"/>
    </row>
    <row r="219" spans="1:17" ht="14.25" customHeight="1">
      <c r="A219" s="101"/>
      <c r="B219" s="101"/>
      <c r="C219" s="101"/>
      <c r="D219" s="101"/>
      <c r="E219" s="102"/>
      <c r="F219" s="102"/>
      <c r="G219" s="102"/>
      <c r="H219" s="101"/>
      <c r="I219" s="101"/>
      <c r="J219" s="101"/>
      <c r="K219" s="101"/>
      <c r="L219" s="101"/>
      <c r="M219" s="101"/>
      <c r="N219" s="101"/>
      <c r="O219" s="101"/>
      <c r="P219" s="101"/>
      <c r="Q219" s="101"/>
    </row>
    <row r="220" spans="1:17" ht="14.25" customHeight="1">
      <c r="A220" s="101"/>
      <c r="B220" s="101"/>
      <c r="C220" s="101"/>
      <c r="D220" s="101"/>
      <c r="E220" s="102"/>
      <c r="F220" s="102"/>
      <c r="G220" s="102"/>
      <c r="H220" s="101"/>
      <c r="I220" s="101"/>
      <c r="J220" s="101"/>
      <c r="K220" s="101"/>
      <c r="L220" s="101"/>
      <c r="M220" s="101"/>
      <c r="N220" s="101"/>
      <c r="O220" s="101"/>
      <c r="P220" s="101"/>
      <c r="Q220" s="101"/>
    </row>
    <row r="221" spans="1:17" ht="14.25" customHeight="1">
      <c r="A221" s="101"/>
      <c r="B221" s="101"/>
      <c r="C221" s="101"/>
      <c r="D221" s="101"/>
      <c r="E221" s="102"/>
      <c r="F221" s="102"/>
      <c r="G221" s="102"/>
      <c r="H221" s="101"/>
      <c r="I221" s="101"/>
      <c r="J221" s="101"/>
      <c r="K221" s="101"/>
      <c r="L221" s="101"/>
      <c r="M221" s="101"/>
      <c r="N221" s="101"/>
      <c r="O221" s="101"/>
      <c r="P221" s="101"/>
      <c r="Q221" s="101"/>
    </row>
    <row r="222" spans="1:17" ht="14.25" customHeight="1">
      <c r="A222" s="101"/>
      <c r="B222" s="101"/>
      <c r="C222" s="101"/>
      <c r="D222" s="101"/>
      <c r="E222" s="102"/>
      <c r="F222" s="102"/>
      <c r="G222" s="102"/>
      <c r="H222" s="101"/>
      <c r="I222" s="101"/>
      <c r="J222" s="101"/>
      <c r="K222" s="101"/>
      <c r="L222" s="101"/>
      <c r="M222" s="101"/>
      <c r="N222" s="101"/>
      <c r="O222" s="101"/>
      <c r="P222" s="101"/>
      <c r="Q222" s="101"/>
    </row>
    <row r="223" spans="1:17" ht="14.25" customHeight="1">
      <c r="A223" s="101"/>
      <c r="B223" s="101"/>
      <c r="C223" s="101"/>
      <c r="D223" s="101"/>
      <c r="E223" s="102"/>
      <c r="F223" s="102"/>
      <c r="G223" s="102"/>
      <c r="H223" s="101"/>
      <c r="I223" s="101"/>
      <c r="J223" s="101"/>
      <c r="K223" s="101"/>
      <c r="L223" s="101"/>
      <c r="M223" s="101"/>
      <c r="N223" s="101"/>
      <c r="O223" s="101"/>
      <c r="P223" s="101"/>
      <c r="Q223" s="101"/>
    </row>
    <row r="224" spans="1:17" ht="14.25" customHeight="1">
      <c r="A224" s="101"/>
      <c r="B224" s="101"/>
      <c r="C224" s="101"/>
      <c r="D224" s="101"/>
      <c r="E224" s="102"/>
      <c r="F224" s="102"/>
      <c r="G224" s="102"/>
      <c r="H224" s="101"/>
      <c r="I224" s="101"/>
      <c r="J224" s="101"/>
      <c r="K224" s="101"/>
      <c r="L224" s="101"/>
      <c r="M224" s="101"/>
      <c r="N224" s="101"/>
      <c r="O224" s="101"/>
      <c r="P224" s="101"/>
      <c r="Q224" s="101"/>
    </row>
    <row r="225" spans="1:17" ht="14.25" customHeight="1">
      <c r="A225" s="101"/>
      <c r="B225" s="101"/>
      <c r="C225" s="101"/>
      <c r="D225" s="101"/>
      <c r="E225" s="102"/>
      <c r="F225" s="102"/>
      <c r="G225" s="102"/>
      <c r="H225" s="101"/>
      <c r="I225" s="101"/>
      <c r="J225" s="101"/>
      <c r="K225" s="101"/>
      <c r="L225" s="101"/>
      <c r="M225" s="101"/>
      <c r="N225" s="101"/>
      <c r="O225" s="101"/>
      <c r="P225" s="101"/>
      <c r="Q225" s="101"/>
    </row>
    <row r="226" spans="1:17" ht="14.25" customHeight="1">
      <c r="A226" s="101"/>
      <c r="B226" s="101"/>
      <c r="C226" s="101"/>
      <c r="D226" s="101"/>
      <c r="E226" s="102"/>
      <c r="F226" s="102"/>
      <c r="G226" s="102"/>
      <c r="H226" s="101"/>
      <c r="I226" s="101"/>
      <c r="J226" s="101"/>
      <c r="K226" s="101"/>
      <c r="L226" s="101"/>
      <c r="M226" s="101"/>
      <c r="N226" s="101"/>
      <c r="O226" s="101"/>
      <c r="P226" s="101"/>
      <c r="Q226" s="101"/>
    </row>
    <row r="227" spans="1:17" ht="14.25" customHeight="1">
      <c r="A227" s="101"/>
      <c r="B227" s="101"/>
      <c r="C227" s="101"/>
      <c r="D227" s="101"/>
      <c r="E227" s="102"/>
      <c r="F227" s="102"/>
      <c r="G227" s="102"/>
      <c r="H227" s="101"/>
      <c r="I227" s="101"/>
      <c r="J227" s="101"/>
      <c r="K227" s="101"/>
      <c r="L227" s="101"/>
      <c r="M227" s="101"/>
      <c r="N227" s="101"/>
      <c r="O227" s="101"/>
      <c r="P227" s="101"/>
      <c r="Q227" s="101"/>
    </row>
    <row r="228" spans="1:17" ht="14.25" customHeight="1">
      <c r="A228" s="101"/>
      <c r="B228" s="101"/>
      <c r="C228" s="101"/>
      <c r="D228" s="101"/>
      <c r="E228" s="102"/>
      <c r="F228" s="102"/>
      <c r="G228" s="102"/>
      <c r="H228" s="101"/>
      <c r="I228" s="101"/>
      <c r="J228" s="101"/>
      <c r="K228" s="101"/>
      <c r="L228" s="101"/>
      <c r="M228" s="101"/>
      <c r="N228" s="101"/>
      <c r="O228" s="101"/>
      <c r="P228" s="101"/>
      <c r="Q228" s="101"/>
    </row>
    <row r="229" spans="1:17" ht="14.25" customHeight="1">
      <c r="A229" s="101"/>
      <c r="B229" s="101"/>
      <c r="C229" s="101"/>
      <c r="D229" s="101"/>
      <c r="E229" s="102"/>
      <c r="F229" s="102"/>
      <c r="G229" s="102"/>
      <c r="H229" s="101"/>
      <c r="I229" s="101"/>
      <c r="J229" s="101"/>
      <c r="K229" s="101"/>
      <c r="L229" s="101"/>
      <c r="M229" s="101"/>
      <c r="N229" s="101"/>
      <c r="O229" s="101"/>
      <c r="P229" s="101"/>
      <c r="Q229" s="101"/>
    </row>
    <row r="230" spans="1:17" ht="14.25" customHeight="1">
      <c r="A230" s="101"/>
      <c r="B230" s="101"/>
      <c r="C230" s="101"/>
      <c r="D230" s="101"/>
      <c r="E230" s="102"/>
      <c r="F230" s="102"/>
      <c r="G230" s="102"/>
      <c r="H230" s="101"/>
      <c r="I230" s="101"/>
      <c r="J230" s="101"/>
      <c r="K230" s="101"/>
      <c r="L230" s="101"/>
      <c r="M230" s="101"/>
      <c r="N230" s="101"/>
      <c r="O230" s="101"/>
      <c r="P230" s="101"/>
      <c r="Q230" s="101"/>
    </row>
    <row r="231" spans="1:17" ht="14.25" customHeight="1">
      <c r="A231" s="101"/>
      <c r="B231" s="101"/>
      <c r="C231" s="101"/>
      <c r="D231" s="101"/>
      <c r="E231" s="102"/>
      <c r="F231" s="102"/>
      <c r="G231" s="102"/>
      <c r="H231" s="101"/>
      <c r="I231" s="101"/>
      <c r="J231" s="101"/>
      <c r="K231" s="101"/>
      <c r="L231" s="101"/>
      <c r="M231" s="101"/>
      <c r="N231" s="101"/>
      <c r="O231" s="101"/>
      <c r="P231" s="101"/>
      <c r="Q231" s="101"/>
    </row>
    <row r="232" spans="1:17" ht="14.25" customHeight="1">
      <c r="A232" s="101"/>
      <c r="B232" s="101"/>
      <c r="C232" s="101"/>
      <c r="D232" s="101"/>
      <c r="E232" s="102"/>
      <c r="F232" s="102"/>
      <c r="G232" s="102"/>
      <c r="H232" s="101"/>
      <c r="I232" s="101"/>
      <c r="J232" s="101"/>
      <c r="K232" s="101"/>
      <c r="L232" s="101"/>
      <c r="M232" s="101"/>
      <c r="N232" s="101"/>
      <c r="O232" s="101"/>
      <c r="P232" s="101"/>
      <c r="Q232" s="101"/>
    </row>
    <row r="233" spans="1:17" ht="14.25" customHeight="1">
      <c r="A233" s="101"/>
      <c r="B233" s="101"/>
      <c r="C233" s="101"/>
      <c r="D233" s="101"/>
      <c r="E233" s="102"/>
      <c r="F233" s="102"/>
      <c r="G233" s="102"/>
      <c r="H233" s="101"/>
      <c r="I233" s="101"/>
      <c r="J233" s="101"/>
      <c r="K233" s="101"/>
      <c r="L233" s="101"/>
      <c r="M233" s="101"/>
      <c r="N233" s="101"/>
      <c r="O233" s="101"/>
      <c r="P233" s="101"/>
      <c r="Q233" s="101"/>
    </row>
    <row r="234" spans="1:17" ht="14.25" customHeight="1">
      <c r="A234" s="101"/>
      <c r="B234" s="101"/>
      <c r="C234" s="101"/>
      <c r="D234" s="101"/>
      <c r="E234" s="102"/>
      <c r="F234" s="102"/>
      <c r="G234" s="102"/>
      <c r="H234" s="101"/>
      <c r="I234" s="101"/>
      <c r="J234" s="101"/>
      <c r="K234" s="101"/>
      <c r="L234" s="101"/>
      <c r="M234" s="101"/>
      <c r="N234" s="101"/>
      <c r="O234" s="101"/>
      <c r="P234" s="101"/>
      <c r="Q234" s="101"/>
    </row>
    <row r="235" spans="1:17" ht="14.25" customHeight="1">
      <c r="A235" s="101"/>
      <c r="B235" s="101"/>
      <c r="C235" s="101"/>
      <c r="D235" s="101"/>
      <c r="E235" s="102"/>
      <c r="F235" s="102"/>
      <c r="G235" s="102"/>
      <c r="H235" s="101"/>
      <c r="I235" s="101"/>
      <c r="J235" s="101"/>
      <c r="K235" s="101"/>
      <c r="L235" s="101"/>
      <c r="M235" s="101"/>
      <c r="N235" s="101"/>
      <c r="O235" s="101"/>
      <c r="P235" s="101"/>
      <c r="Q235" s="101"/>
    </row>
    <row r="236" spans="1:17" ht="14.25" customHeight="1">
      <c r="A236" s="101"/>
      <c r="B236" s="101"/>
      <c r="C236" s="101"/>
      <c r="D236" s="101"/>
      <c r="E236" s="102"/>
      <c r="F236" s="102"/>
      <c r="G236" s="102"/>
      <c r="H236" s="101"/>
      <c r="I236" s="101"/>
      <c r="J236" s="101"/>
      <c r="K236" s="101"/>
      <c r="L236" s="101"/>
      <c r="M236" s="101"/>
      <c r="N236" s="101"/>
      <c r="O236" s="101"/>
      <c r="P236" s="101"/>
      <c r="Q236" s="101"/>
    </row>
    <row r="237" spans="1:17" ht="14.25" customHeight="1">
      <c r="A237" s="101"/>
      <c r="B237" s="101"/>
      <c r="C237" s="101"/>
      <c r="D237" s="101"/>
      <c r="E237" s="102"/>
      <c r="F237" s="102"/>
      <c r="G237" s="102"/>
      <c r="H237" s="101"/>
      <c r="I237" s="101"/>
      <c r="J237" s="101"/>
      <c r="K237" s="101"/>
      <c r="L237" s="101"/>
      <c r="M237" s="101"/>
      <c r="N237" s="101"/>
      <c r="O237" s="101"/>
      <c r="P237" s="101"/>
      <c r="Q237" s="101"/>
    </row>
    <row r="238" spans="1:17" ht="14.25" customHeight="1">
      <c r="A238" s="101"/>
      <c r="B238" s="101"/>
      <c r="C238" s="101"/>
      <c r="D238" s="101"/>
      <c r="E238" s="102"/>
      <c r="F238" s="102"/>
      <c r="G238" s="102"/>
      <c r="H238" s="101"/>
      <c r="I238" s="101"/>
      <c r="J238" s="101"/>
      <c r="K238" s="101"/>
      <c r="L238" s="101"/>
      <c r="M238" s="101"/>
      <c r="N238" s="101"/>
      <c r="O238" s="101"/>
      <c r="P238" s="101"/>
      <c r="Q238" s="101"/>
    </row>
    <row r="239" spans="1:17" ht="14.25" customHeight="1">
      <c r="A239" s="101"/>
      <c r="B239" s="101"/>
      <c r="C239" s="101"/>
      <c r="D239" s="101"/>
      <c r="E239" s="102"/>
      <c r="F239" s="102"/>
      <c r="G239" s="102"/>
      <c r="H239" s="101"/>
      <c r="I239" s="101"/>
      <c r="J239" s="101"/>
      <c r="K239" s="101"/>
      <c r="L239" s="101"/>
      <c r="M239" s="101"/>
      <c r="N239" s="101"/>
      <c r="O239" s="101"/>
      <c r="P239" s="101"/>
      <c r="Q239" s="101"/>
    </row>
    <row r="240" spans="1:17" ht="14.25" customHeight="1">
      <c r="A240" s="101"/>
      <c r="B240" s="101"/>
      <c r="C240" s="101"/>
      <c r="D240" s="101"/>
      <c r="E240" s="102"/>
      <c r="F240" s="102"/>
      <c r="G240" s="102"/>
      <c r="H240" s="101"/>
      <c r="I240" s="101"/>
      <c r="J240" s="101"/>
      <c r="K240" s="101"/>
      <c r="L240" s="101"/>
      <c r="M240" s="101"/>
      <c r="N240" s="101"/>
      <c r="O240" s="101"/>
      <c r="P240" s="101"/>
      <c r="Q240" s="101"/>
    </row>
    <row r="241" spans="1:17" ht="14.25" customHeight="1">
      <c r="A241" s="101"/>
      <c r="B241" s="101"/>
      <c r="C241" s="101"/>
      <c r="D241" s="101"/>
      <c r="E241" s="102"/>
      <c r="F241" s="102"/>
      <c r="G241" s="102"/>
      <c r="H241" s="101"/>
      <c r="I241" s="101"/>
      <c r="J241" s="101"/>
      <c r="K241" s="101"/>
      <c r="L241" s="101"/>
      <c r="M241" s="101"/>
      <c r="N241" s="101"/>
      <c r="O241" s="101"/>
      <c r="P241" s="101"/>
      <c r="Q241" s="101"/>
    </row>
    <row r="242" spans="1:17" ht="14.25" customHeight="1">
      <c r="A242" s="101"/>
      <c r="B242" s="101"/>
      <c r="C242" s="101"/>
      <c r="D242" s="101"/>
      <c r="E242" s="102"/>
      <c r="F242" s="102"/>
      <c r="G242" s="102"/>
      <c r="H242" s="101"/>
      <c r="I242" s="101"/>
      <c r="J242" s="101"/>
      <c r="K242" s="101"/>
      <c r="L242" s="101"/>
      <c r="M242" s="101"/>
      <c r="N242" s="101"/>
      <c r="O242" s="101"/>
      <c r="P242" s="101"/>
      <c r="Q242" s="101"/>
    </row>
    <row r="243" spans="1:17" ht="14.25" customHeight="1">
      <c r="A243" s="101"/>
      <c r="B243" s="101"/>
      <c r="C243" s="101"/>
      <c r="D243" s="101"/>
      <c r="E243" s="102"/>
      <c r="F243" s="102"/>
      <c r="G243" s="102"/>
      <c r="H243" s="101"/>
      <c r="I243" s="101"/>
      <c r="J243" s="101"/>
      <c r="K243" s="101"/>
      <c r="L243" s="101"/>
      <c r="M243" s="101"/>
      <c r="N243" s="101"/>
      <c r="O243" s="101"/>
      <c r="P243" s="101"/>
      <c r="Q243" s="101"/>
    </row>
    <row r="244" spans="1:17" ht="14.25" customHeight="1">
      <c r="A244" s="101"/>
      <c r="B244" s="101"/>
      <c r="C244" s="101"/>
      <c r="D244" s="101"/>
      <c r="E244" s="102"/>
      <c r="F244" s="102"/>
      <c r="G244" s="102"/>
      <c r="H244" s="101"/>
      <c r="I244" s="101"/>
      <c r="J244" s="101"/>
      <c r="K244" s="101"/>
      <c r="L244" s="101"/>
      <c r="M244" s="101"/>
      <c r="N244" s="101"/>
      <c r="O244" s="101"/>
      <c r="P244" s="101"/>
      <c r="Q244" s="101"/>
    </row>
    <row r="245" spans="1:17" ht="14.25" customHeight="1">
      <c r="A245" s="101"/>
      <c r="B245" s="101"/>
      <c r="C245" s="101"/>
      <c r="D245" s="101"/>
      <c r="E245" s="102"/>
      <c r="F245" s="102"/>
      <c r="G245" s="102"/>
      <c r="H245" s="101"/>
      <c r="I245" s="101"/>
      <c r="J245" s="101"/>
      <c r="K245" s="101"/>
      <c r="L245" s="101"/>
      <c r="M245" s="101"/>
      <c r="N245" s="101"/>
      <c r="O245" s="101"/>
      <c r="P245" s="101"/>
      <c r="Q245" s="101"/>
    </row>
    <row r="246" spans="1:17" ht="14.25" customHeight="1">
      <c r="A246" s="101"/>
      <c r="B246" s="101"/>
      <c r="C246" s="101"/>
      <c r="D246" s="101"/>
      <c r="E246" s="102"/>
      <c r="F246" s="102"/>
      <c r="G246" s="102"/>
      <c r="H246" s="101"/>
      <c r="I246" s="101"/>
      <c r="J246" s="101"/>
      <c r="K246" s="101"/>
      <c r="L246" s="101"/>
      <c r="M246" s="101"/>
      <c r="N246" s="101"/>
      <c r="O246" s="101"/>
      <c r="P246" s="101"/>
      <c r="Q246" s="101"/>
    </row>
    <row r="247" spans="1:17" ht="14.25" customHeight="1">
      <c r="A247" s="101"/>
      <c r="B247" s="101"/>
      <c r="C247" s="101"/>
      <c r="D247" s="101"/>
      <c r="E247" s="102"/>
      <c r="F247" s="102"/>
      <c r="G247" s="102"/>
      <c r="H247" s="101"/>
      <c r="I247" s="101"/>
      <c r="J247" s="101"/>
      <c r="K247" s="101"/>
      <c r="L247" s="101"/>
      <c r="M247" s="101"/>
      <c r="N247" s="101"/>
      <c r="O247" s="101"/>
      <c r="P247" s="101"/>
      <c r="Q247" s="101"/>
    </row>
    <row r="248" spans="1:17" ht="14.25" customHeight="1">
      <c r="A248" s="101"/>
      <c r="B248" s="101"/>
      <c r="C248" s="101"/>
      <c r="D248" s="101"/>
      <c r="E248" s="102"/>
      <c r="F248" s="102"/>
      <c r="G248" s="102"/>
      <c r="H248" s="101"/>
      <c r="I248" s="101"/>
      <c r="J248" s="101"/>
      <c r="K248" s="101"/>
      <c r="L248" s="101"/>
      <c r="M248" s="101"/>
      <c r="N248" s="101"/>
      <c r="O248" s="101"/>
      <c r="P248" s="101"/>
      <c r="Q248" s="101"/>
    </row>
    <row r="249" spans="1:17" ht="14.25" customHeight="1">
      <c r="A249" s="101"/>
      <c r="B249" s="101"/>
      <c r="C249" s="101"/>
      <c r="D249" s="101"/>
      <c r="E249" s="102"/>
      <c r="F249" s="102"/>
      <c r="G249" s="102"/>
      <c r="H249" s="101"/>
      <c r="I249" s="101"/>
      <c r="J249" s="101"/>
      <c r="K249" s="101"/>
      <c r="L249" s="101"/>
      <c r="M249" s="101"/>
      <c r="N249" s="101"/>
      <c r="O249" s="101"/>
      <c r="P249" s="101"/>
      <c r="Q249" s="101"/>
    </row>
    <row r="250" spans="1:17" ht="14.25" customHeight="1">
      <c r="A250" s="101"/>
      <c r="B250" s="101"/>
      <c r="C250" s="101"/>
      <c r="D250" s="101"/>
      <c r="E250" s="102"/>
      <c r="F250" s="102"/>
      <c r="G250" s="102"/>
      <c r="H250" s="101"/>
      <c r="I250" s="101"/>
      <c r="J250" s="101"/>
      <c r="K250" s="101"/>
      <c r="L250" s="101"/>
      <c r="M250" s="101"/>
      <c r="N250" s="101"/>
      <c r="O250" s="101"/>
      <c r="P250" s="101"/>
      <c r="Q250" s="101"/>
    </row>
    <row r="251" spans="1:17" ht="14.25" customHeight="1">
      <c r="A251" s="101"/>
      <c r="B251" s="101"/>
      <c r="C251" s="101"/>
      <c r="D251" s="101"/>
      <c r="E251" s="102"/>
      <c r="F251" s="102"/>
      <c r="G251" s="102"/>
      <c r="H251" s="101"/>
      <c r="I251" s="101"/>
      <c r="J251" s="101"/>
      <c r="K251" s="101"/>
      <c r="L251" s="101"/>
      <c r="M251" s="101"/>
      <c r="N251" s="101"/>
      <c r="O251" s="101"/>
      <c r="P251" s="101"/>
      <c r="Q251" s="101"/>
    </row>
    <row r="252" spans="1:17" ht="14.25" customHeight="1">
      <c r="A252" s="101"/>
      <c r="B252" s="101"/>
      <c r="C252" s="101"/>
      <c r="D252" s="101"/>
      <c r="E252" s="102"/>
      <c r="F252" s="102"/>
      <c r="G252" s="102"/>
      <c r="H252" s="101"/>
      <c r="I252" s="101"/>
      <c r="J252" s="101"/>
      <c r="K252" s="101"/>
      <c r="L252" s="101"/>
      <c r="M252" s="101"/>
      <c r="N252" s="101"/>
      <c r="O252" s="101"/>
      <c r="P252" s="101"/>
      <c r="Q252" s="101"/>
    </row>
    <row r="253" spans="1:17" ht="14.25" customHeight="1">
      <c r="A253" s="101"/>
      <c r="B253" s="101"/>
      <c r="C253" s="101"/>
      <c r="D253" s="101"/>
      <c r="E253" s="102"/>
      <c r="F253" s="102"/>
      <c r="G253" s="102"/>
      <c r="H253" s="101"/>
      <c r="I253" s="101"/>
      <c r="J253" s="101"/>
      <c r="K253" s="101"/>
      <c r="L253" s="101"/>
      <c r="M253" s="101"/>
      <c r="N253" s="101"/>
      <c r="O253" s="101"/>
      <c r="P253" s="101"/>
      <c r="Q253" s="101"/>
    </row>
    <row r="254" spans="1:17" ht="14.25" customHeight="1">
      <c r="A254" s="101"/>
      <c r="B254" s="101"/>
      <c r="C254" s="101"/>
      <c r="D254" s="101"/>
      <c r="E254" s="102"/>
      <c r="F254" s="102"/>
      <c r="G254" s="102"/>
      <c r="H254" s="101"/>
      <c r="I254" s="101"/>
      <c r="J254" s="101"/>
      <c r="K254" s="101"/>
      <c r="L254" s="101"/>
      <c r="M254" s="101"/>
      <c r="N254" s="101"/>
      <c r="O254" s="101"/>
      <c r="P254" s="101"/>
      <c r="Q254" s="101"/>
    </row>
    <row r="255" spans="1:17" ht="14.25" customHeight="1">
      <c r="A255" s="101"/>
      <c r="B255" s="101"/>
      <c r="C255" s="101"/>
      <c r="D255" s="101"/>
      <c r="E255" s="102"/>
      <c r="F255" s="102"/>
      <c r="G255" s="102"/>
      <c r="H255" s="101"/>
      <c r="I255" s="101"/>
      <c r="J255" s="101"/>
      <c r="K255" s="101"/>
      <c r="L255" s="101"/>
      <c r="M255" s="101"/>
      <c r="N255" s="101"/>
      <c r="O255" s="101"/>
      <c r="P255" s="101"/>
      <c r="Q255" s="101"/>
    </row>
    <row r="256" spans="1:17" ht="14.25" customHeight="1">
      <c r="A256" s="101"/>
      <c r="B256" s="101"/>
      <c r="C256" s="101"/>
      <c r="D256" s="101"/>
      <c r="E256" s="102"/>
      <c r="F256" s="102"/>
      <c r="G256" s="102"/>
      <c r="H256" s="101"/>
      <c r="I256" s="101"/>
      <c r="J256" s="101"/>
      <c r="K256" s="101"/>
      <c r="L256" s="101"/>
      <c r="M256" s="101"/>
      <c r="N256" s="101"/>
      <c r="O256" s="101"/>
      <c r="P256" s="101"/>
      <c r="Q256" s="101"/>
    </row>
    <row r="257" spans="1:17" ht="14.25" customHeight="1">
      <c r="A257" s="101"/>
      <c r="B257" s="101"/>
      <c r="C257" s="101"/>
      <c r="D257" s="101"/>
      <c r="E257" s="102"/>
      <c r="F257" s="102"/>
      <c r="G257" s="102"/>
      <c r="H257" s="101"/>
      <c r="I257" s="101"/>
      <c r="J257" s="101"/>
      <c r="K257" s="101"/>
      <c r="L257" s="101"/>
      <c r="M257" s="101"/>
      <c r="N257" s="101"/>
      <c r="O257" s="101"/>
      <c r="P257" s="101"/>
      <c r="Q257" s="101"/>
    </row>
    <row r="258" spans="1:17" ht="14.25" customHeight="1">
      <c r="A258" s="101"/>
      <c r="B258" s="101"/>
      <c r="C258" s="101"/>
      <c r="D258" s="101"/>
      <c r="E258" s="102"/>
      <c r="F258" s="102"/>
      <c r="G258" s="102"/>
      <c r="H258" s="101"/>
      <c r="I258" s="101"/>
      <c r="J258" s="101"/>
      <c r="K258" s="101"/>
      <c r="L258" s="101"/>
      <c r="M258" s="101"/>
      <c r="N258" s="101"/>
      <c r="O258" s="101"/>
      <c r="P258" s="101"/>
      <c r="Q258" s="101"/>
    </row>
    <row r="259" spans="1:17" ht="14.25" customHeight="1">
      <c r="A259" s="101"/>
      <c r="B259" s="101"/>
      <c r="C259" s="101"/>
      <c r="D259" s="101"/>
      <c r="E259" s="102"/>
      <c r="F259" s="102"/>
      <c r="G259" s="102"/>
      <c r="H259" s="101"/>
      <c r="I259" s="101"/>
      <c r="J259" s="101"/>
      <c r="K259" s="101"/>
      <c r="L259" s="101"/>
      <c r="M259" s="101"/>
      <c r="N259" s="101"/>
      <c r="O259" s="101"/>
      <c r="P259" s="101"/>
      <c r="Q259" s="101"/>
    </row>
    <row r="260" spans="1:17" ht="14.25" customHeight="1">
      <c r="A260" s="101"/>
      <c r="B260" s="101"/>
      <c r="C260" s="101"/>
      <c r="D260" s="101"/>
      <c r="E260" s="102"/>
      <c r="F260" s="102"/>
      <c r="G260" s="102"/>
      <c r="H260" s="101"/>
      <c r="I260" s="101"/>
      <c r="J260" s="101"/>
      <c r="K260" s="101"/>
      <c r="L260" s="101"/>
      <c r="M260" s="101"/>
      <c r="N260" s="101"/>
      <c r="O260" s="101"/>
      <c r="P260" s="101"/>
      <c r="Q260" s="101"/>
    </row>
    <row r="261" spans="1:17" ht="14.25" customHeight="1">
      <c r="A261" s="101"/>
      <c r="B261" s="101"/>
      <c r="C261" s="101"/>
      <c r="D261" s="101"/>
      <c r="E261" s="102"/>
      <c r="F261" s="102"/>
      <c r="G261" s="102"/>
      <c r="H261" s="101"/>
      <c r="I261" s="101"/>
      <c r="J261" s="101"/>
      <c r="K261" s="101"/>
      <c r="L261" s="101"/>
      <c r="M261" s="101"/>
      <c r="N261" s="101"/>
      <c r="O261" s="101"/>
      <c r="P261" s="101"/>
      <c r="Q261" s="101"/>
    </row>
    <row r="262" spans="1:17" ht="14.25" customHeight="1">
      <c r="A262" s="101"/>
      <c r="B262" s="101"/>
      <c r="C262" s="101"/>
      <c r="D262" s="101"/>
      <c r="E262" s="102"/>
      <c r="F262" s="102"/>
      <c r="G262" s="102"/>
      <c r="H262" s="101"/>
      <c r="I262" s="101"/>
      <c r="J262" s="101"/>
      <c r="K262" s="101"/>
      <c r="L262" s="101"/>
      <c r="M262" s="101"/>
      <c r="N262" s="101"/>
      <c r="O262" s="101"/>
      <c r="P262" s="101"/>
      <c r="Q262" s="101"/>
    </row>
    <row r="263" spans="1:17" ht="14.25" customHeight="1">
      <c r="A263" s="101"/>
      <c r="B263" s="101"/>
      <c r="C263" s="101"/>
      <c r="D263" s="101"/>
      <c r="E263" s="102"/>
      <c r="F263" s="102"/>
      <c r="G263" s="102"/>
      <c r="H263" s="101"/>
      <c r="I263" s="101"/>
      <c r="J263" s="101"/>
      <c r="K263" s="101"/>
      <c r="L263" s="101"/>
      <c r="M263" s="101"/>
      <c r="N263" s="101"/>
      <c r="O263" s="101"/>
      <c r="P263" s="101"/>
      <c r="Q263" s="101"/>
    </row>
    <row r="264" spans="1:17" ht="14.25" customHeight="1">
      <c r="A264" s="101"/>
      <c r="B264" s="101"/>
      <c r="C264" s="101"/>
      <c r="D264" s="101"/>
      <c r="E264" s="102"/>
      <c r="F264" s="102"/>
      <c r="G264" s="102"/>
      <c r="H264" s="101"/>
      <c r="I264" s="101"/>
      <c r="J264" s="101"/>
      <c r="K264" s="101"/>
      <c r="L264" s="101"/>
      <c r="M264" s="101"/>
      <c r="N264" s="101"/>
      <c r="O264" s="101"/>
      <c r="P264" s="101"/>
      <c r="Q264" s="101"/>
    </row>
    <row r="265" spans="1:17" ht="14.25" customHeight="1">
      <c r="A265" s="101"/>
      <c r="B265" s="101"/>
      <c r="C265" s="101"/>
      <c r="D265" s="101"/>
      <c r="E265" s="102"/>
      <c r="F265" s="102"/>
      <c r="G265" s="102"/>
      <c r="H265" s="101"/>
      <c r="I265" s="101"/>
      <c r="J265" s="101"/>
      <c r="K265" s="101"/>
      <c r="L265" s="101"/>
      <c r="M265" s="101"/>
      <c r="N265" s="101"/>
      <c r="O265" s="101"/>
      <c r="P265" s="101"/>
      <c r="Q265" s="101"/>
    </row>
    <row r="266" spans="1:17" ht="14.25" customHeight="1">
      <c r="A266" s="101"/>
      <c r="B266" s="101"/>
      <c r="C266" s="101"/>
      <c r="D266" s="101"/>
      <c r="E266" s="102"/>
      <c r="F266" s="102"/>
      <c r="G266" s="102"/>
      <c r="H266" s="101"/>
      <c r="I266" s="101"/>
      <c r="J266" s="101"/>
      <c r="K266" s="101"/>
      <c r="L266" s="101"/>
      <c r="M266" s="101"/>
      <c r="N266" s="101"/>
      <c r="O266" s="101"/>
      <c r="P266" s="101"/>
      <c r="Q266" s="101"/>
    </row>
    <row r="267" spans="1:17" ht="14.25" customHeight="1">
      <c r="A267" s="101"/>
      <c r="B267" s="101"/>
      <c r="C267" s="101"/>
      <c r="D267" s="101"/>
      <c r="E267" s="102"/>
      <c r="F267" s="102"/>
      <c r="G267" s="102"/>
      <c r="H267" s="101"/>
      <c r="I267" s="101"/>
      <c r="J267" s="101"/>
      <c r="K267" s="101"/>
      <c r="L267" s="101"/>
      <c r="M267" s="101"/>
      <c r="N267" s="101"/>
      <c r="O267" s="101"/>
      <c r="P267" s="101"/>
      <c r="Q267" s="101"/>
    </row>
    <row r="268" spans="1:17" ht="14.25" customHeight="1">
      <c r="A268" s="101"/>
      <c r="B268" s="101"/>
      <c r="C268" s="101"/>
      <c r="D268" s="101"/>
      <c r="E268" s="102"/>
      <c r="F268" s="102"/>
      <c r="G268" s="102"/>
      <c r="H268" s="101"/>
      <c r="I268" s="101"/>
      <c r="J268" s="101"/>
      <c r="K268" s="101"/>
      <c r="L268" s="101"/>
      <c r="M268" s="101"/>
      <c r="N268" s="101"/>
      <c r="O268" s="101"/>
      <c r="P268" s="101"/>
      <c r="Q268" s="101"/>
    </row>
    <row r="269" spans="1:17" ht="14.25" customHeight="1">
      <c r="A269" s="101"/>
      <c r="B269" s="101"/>
      <c r="C269" s="101"/>
      <c r="D269" s="101"/>
      <c r="E269" s="102"/>
      <c r="F269" s="102"/>
      <c r="G269" s="102"/>
      <c r="H269" s="101"/>
      <c r="I269" s="101"/>
      <c r="J269" s="101"/>
      <c r="K269" s="101"/>
      <c r="L269" s="101"/>
      <c r="M269" s="101"/>
      <c r="N269" s="101"/>
      <c r="O269" s="101"/>
      <c r="P269" s="101"/>
      <c r="Q269" s="101"/>
    </row>
    <row r="270" spans="1:17" ht="14.25" customHeight="1">
      <c r="A270" s="101"/>
      <c r="B270" s="101"/>
      <c r="C270" s="101"/>
      <c r="D270" s="101"/>
      <c r="E270" s="102"/>
      <c r="F270" s="102"/>
      <c r="G270" s="102"/>
      <c r="H270" s="101"/>
      <c r="I270" s="101"/>
      <c r="J270" s="101"/>
      <c r="K270" s="101"/>
      <c r="L270" s="101"/>
      <c r="M270" s="101"/>
      <c r="N270" s="101"/>
      <c r="O270" s="101"/>
      <c r="P270" s="101"/>
      <c r="Q270" s="101"/>
    </row>
    <row r="271" spans="1:17" ht="14.25" customHeight="1">
      <c r="A271" s="101"/>
      <c r="B271" s="101"/>
      <c r="C271" s="101"/>
      <c r="D271" s="101"/>
      <c r="E271" s="102"/>
      <c r="F271" s="102"/>
      <c r="G271" s="102"/>
      <c r="H271" s="101"/>
      <c r="I271" s="101"/>
      <c r="J271" s="101"/>
      <c r="K271" s="101"/>
      <c r="L271" s="101"/>
      <c r="M271" s="101"/>
      <c r="N271" s="101"/>
      <c r="O271" s="101"/>
      <c r="P271" s="101"/>
      <c r="Q271" s="101"/>
    </row>
    <row r="272" spans="1:17" ht="14.25" customHeight="1">
      <c r="A272" s="101"/>
      <c r="B272" s="101"/>
      <c r="C272" s="101"/>
      <c r="D272" s="101"/>
      <c r="E272" s="102"/>
      <c r="F272" s="102"/>
      <c r="G272" s="102"/>
      <c r="H272" s="101"/>
      <c r="I272" s="101"/>
      <c r="J272" s="101"/>
      <c r="K272" s="101"/>
      <c r="L272" s="101"/>
      <c r="M272" s="101"/>
      <c r="N272" s="101"/>
      <c r="O272" s="101"/>
      <c r="P272" s="101"/>
      <c r="Q272" s="101"/>
    </row>
    <row r="273" spans="1:17" ht="14.25" customHeight="1">
      <c r="A273" s="101"/>
      <c r="B273" s="101"/>
      <c r="C273" s="101"/>
      <c r="D273" s="101"/>
      <c r="E273" s="102"/>
      <c r="F273" s="102"/>
      <c r="G273" s="102"/>
      <c r="H273" s="101"/>
      <c r="I273" s="101"/>
      <c r="J273" s="101"/>
      <c r="K273" s="101"/>
      <c r="L273" s="101"/>
      <c r="M273" s="101"/>
      <c r="N273" s="101"/>
      <c r="O273" s="101"/>
      <c r="P273" s="101"/>
      <c r="Q273" s="101"/>
    </row>
    <row r="274" spans="1:17" ht="14.25" customHeight="1">
      <c r="A274" s="101"/>
      <c r="B274" s="101"/>
      <c r="C274" s="101"/>
      <c r="D274" s="101"/>
      <c r="E274" s="102"/>
      <c r="F274" s="102"/>
      <c r="G274" s="102"/>
      <c r="H274" s="101"/>
      <c r="I274" s="101"/>
      <c r="J274" s="101"/>
      <c r="K274" s="101"/>
      <c r="L274" s="101"/>
      <c r="M274" s="101"/>
      <c r="N274" s="101"/>
      <c r="O274" s="101"/>
      <c r="P274" s="101"/>
      <c r="Q274" s="101"/>
    </row>
    <row r="275" spans="1:17" ht="14.25" customHeight="1">
      <c r="A275" s="101"/>
      <c r="B275" s="101"/>
      <c r="C275" s="101"/>
      <c r="D275" s="101"/>
      <c r="E275" s="102"/>
      <c r="F275" s="102"/>
      <c r="G275" s="102"/>
      <c r="H275" s="101"/>
      <c r="I275" s="101"/>
      <c r="J275" s="101"/>
      <c r="K275" s="101"/>
      <c r="L275" s="101"/>
      <c r="M275" s="101"/>
      <c r="N275" s="101"/>
      <c r="O275" s="101"/>
      <c r="P275" s="101"/>
      <c r="Q275" s="101"/>
    </row>
    <row r="276" spans="1:17" ht="14.25" customHeight="1">
      <c r="A276" s="101"/>
      <c r="B276" s="101"/>
      <c r="C276" s="101"/>
      <c r="D276" s="101"/>
      <c r="E276" s="102"/>
      <c r="F276" s="102"/>
      <c r="G276" s="102"/>
      <c r="H276" s="101"/>
      <c r="I276" s="101"/>
      <c r="J276" s="101"/>
      <c r="K276" s="101"/>
      <c r="L276" s="101"/>
      <c r="M276" s="101"/>
      <c r="N276" s="101"/>
      <c r="O276" s="101"/>
      <c r="P276" s="101"/>
      <c r="Q276" s="101"/>
    </row>
    <row r="277" spans="1:17" ht="14.25" customHeight="1">
      <c r="A277" s="101"/>
      <c r="B277" s="101"/>
      <c r="C277" s="101"/>
      <c r="D277" s="101"/>
      <c r="E277" s="102"/>
      <c r="F277" s="102"/>
      <c r="G277" s="102"/>
      <c r="H277" s="101"/>
      <c r="I277" s="101"/>
      <c r="J277" s="101"/>
      <c r="K277" s="101"/>
      <c r="L277" s="101"/>
      <c r="M277" s="101"/>
      <c r="N277" s="101"/>
      <c r="O277" s="101"/>
      <c r="P277" s="101"/>
      <c r="Q277" s="101"/>
    </row>
    <row r="278" spans="1:17" ht="14.25" customHeight="1">
      <c r="A278" s="101"/>
      <c r="B278" s="101"/>
      <c r="C278" s="101"/>
      <c r="D278" s="101"/>
      <c r="E278" s="102"/>
      <c r="F278" s="102"/>
      <c r="G278" s="102"/>
      <c r="H278" s="101"/>
      <c r="I278" s="101"/>
      <c r="J278" s="101"/>
      <c r="K278" s="101"/>
      <c r="L278" s="101"/>
      <c r="M278" s="101"/>
      <c r="N278" s="101"/>
      <c r="O278" s="101"/>
      <c r="P278" s="101"/>
      <c r="Q278" s="101"/>
    </row>
    <row r="279" spans="1:17" ht="14.25" customHeight="1">
      <c r="A279" s="101"/>
      <c r="B279" s="101"/>
      <c r="C279" s="101"/>
      <c r="D279" s="101"/>
      <c r="E279" s="102"/>
      <c r="F279" s="102"/>
      <c r="G279" s="102"/>
      <c r="H279" s="101"/>
      <c r="I279" s="101"/>
      <c r="J279" s="101"/>
      <c r="K279" s="101"/>
      <c r="L279" s="101"/>
      <c r="M279" s="101"/>
      <c r="N279" s="101"/>
      <c r="O279" s="101"/>
      <c r="P279" s="101"/>
      <c r="Q279" s="101"/>
    </row>
    <row r="280" spans="1:17" ht="14.25" customHeight="1">
      <c r="A280" s="101"/>
      <c r="B280" s="101"/>
      <c r="C280" s="101"/>
      <c r="D280" s="101"/>
      <c r="E280" s="102"/>
      <c r="F280" s="102"/>
      <c r="G280" s="102"/>
      <c r="H280" s="101"/>
      <c r="I280" s="101"/>
      <c r="J280" s="101"/>
      <c r="K280" s="101"/>
      <c r="L280" s="101"/>
      <c r="M280" s="101"/>
      <c r="N280" s="101"/>
      <c r="O280" s="101"/>
      <c r="P280" s="101"/>
      <c r="Q280" s="101"/>
    </row>
    <row r="281" spans="1:17" ht="14.25" customHeight="1">
      <c r="A281" s="101"/>
      <c r="B281" s="101"/>
      <c r="C281" s="101"/>
      <c r="D281" s="101"/>
      <c r="E281" s="102"/>
      <c r="F281" s="102"/>
      <c r="G281" s="102"/>
      <c r="H281" s="101"/>
      <c r="I281" s="101"/>
      <c r="J281" s="101"/>
      <c r="K281" s="101"/>
      <c r="L281" s="101"/>
      <c r="M281" s="101"/>
      <c r="N281" s="101"/>
      <c r="O281" s="101"/>
      <c r="P281" s="101"/>
      <c r="Q281" s="101"/>
    </row>
    <row r="282" spans="1:17" ht="14.25" customHeight="1">
      <c r="A282" s="101"/>
      <c r="B282" s="101"/>
      <c r="C282" s="101"/>
      <c r="D282" s="101"/>
      <c r="E282" s="102"/>
      <c r="F282" s="102"/>
      <c r="G282" s="102"/>
      <c r="H282" s="101"/>
      <c r="I282" s="101"/>
      <c r="J282" s="101"/>
      <c r="K282" s="101"/>
      <c r="L282" s="101"/>
      <c r="M282" s="101"/>
      <c r="N282" s="101"/>
      <c r="O282" s="101"/>
      <c r="P282" s="101"/>
      <c r="Q282" s="101"/>
    </row>
    <row r="283" spans="1:17" ht="14.25" customHeight="1">
      <c r="A283" s="101"/>
      <c r="B283" s="101"/>
      <c r="C283" s="101"/>
      <c r="D283" s="101"/>
      <c r="E283" s="102"/>
      <c r="F283" s="102"/>
      <c r="G283" s="102"/>
      <c r="H283" s="101"/>
      <c r="I283" s="101"/>
      <c r="J283" s="101"/>
      <c r="K283" s="101"/>
      <c r="L283" s="101"/>
      <c r="M283" s="101"/>
      <c r="N283" s="101"/>
      <c r="O283" s="101"/>
      <c r="P283" s="101"/>
      <c r="Q283" s="101"/>
    </row>
    <row r="284" spans="1:17" ht="14.25" customHeight="1">
      <c r="A284" s="101"/>
      <c r="B284" s="101"/>
      <c r="C284" s="101"/>
      <c r="D284" s="101"/>
      <c r="E284" s="102"/>
      <c r="F284" s="102"/>
      <c r="G284" s="102"/>
      <c r="H284" s="101"/>
      <c r="I284" s="101"/>
      <c r="J284" s="101"/>
      <c r="K284" s="101"/>
      <c r="L284" s="101"/>
      <c r="M284" s="101"/>
      <c r="N284" s="101"/>
      <c r="O284" s="101"/>
      <c r="P284" s="101"/>
      <c r="Q284" s="101"/>
    </row>
    <row r="285" spans="1:17" ht="14.25" customHeight="1">
      <c r="A285" s="101"/>
      <c r="B285" s="101"/>
      <c r="C285" s="101"/>
      <c r="D285" s="101"/>
      <c r="E285" s="102"/>
      <c r="F285" s="102"/>
      <c r="G285" s="102"/>
      <c r="H285" s="101"/>
      <c r="I285" s="101"/>
      <c r="J285" s="101"/>
      <c r="K285" s="101"/>
      <c r="L285" s="101"/>
      <c r="M285" s="101"/>
      <c r="N285" s="101"/>
      <c r="O285" s="101"/>
      <c r="P285" s="101"/>
      <c r="Q285" s="101"/>
    </row>
    <row r="286" spans="1:17" ht="14.25" customHeight="1">
      <c r="A286" s="101"/>
      <c r="B286" s="101"/>
      <c r="C286" s="101"/>
      <c r="D286" s="101"/>
      <c r="E286" s="102"/>
      <c r="F286" s="102"/>
      <c r="G286" s="102"/>
      <c r="H286" s="101"/>
      <c r="I286" s="101"/>
      <c r="J286" s="101"/>
      <c r="K286" s="101"/>
      <c r="L286" s="101"/>
      <c r="M286" s="101"/>
      <c r="N286" s="101"/>
      <c r="O286" s="101"/>
      <c r="P286" s="101"/>
      <c r="Q286" s="101"/>
    </row>
    <row r="287" spans="1:17" ht="14.25" customHeight="1">
      <c r="A287" s="101"/>
      <c r="B287" s="101"/>
      <c r="C287" s="101"/>
      <c r="D287" s="101"/>
      <c r="E287" s="102"/>
      <c r="F287" s="102"/>
      <c r="G287" s="102"/>
      <c r="H287" s="101"/>
      <c r="I287" s="101"/>
      <c r="J287" s="101"/>
      <c r="K287" s="101"/>
      <c r="L287" s="101"/>
      <c r="M287" s="101"/>
      <c r="N287" s="101"/>
      <c r="O287" s="101"/>
      <c r="P287" s="101"/>
      <c r="Q287" s="101"/>
    </row>
    <row r="288" spans="1:17" ht="14.25" customHeight="1">
      <c r="A288" s="101"/>
      <c r="B288" s="101"/>
      <c r="C288" s="101"/>
      <c r="D288" s="101"/>
      <c r="E288" s="102"/>
      <c r="F288" s="102"/>
      <c r="G288" s="102"/>
      <c r="H288" s="101"/>
      <c r="I288" s="101"/>
      <c r="J288" s="101"/>
      <c r="K288" s="101"/>
      <c r="L288" s="101"/>
      <c r="M288" s="101"/>
      <c r="N288" s="101"/>
      <c r="O288" s="101"/>
      <c r="P288" s="101"/>
      <c r="Q288" s="101"/>
    </row>
    <row r="289" spans="1:17" ht="14.25" customHeight="1">
      <c r="A289" s="101"/>
      <c r="B289" s="101"/>
      <c r="C289" s="101"/>
      <c r="D289" s="101"/>
      <c r="E289" s="102"/>
      <c r="F289" s="102"/>
      <c r="G289" s="102"/>
      <c r="H289" s="101"/>
      <c r="I289" s="101"/>
      <c r="J289" s="101"/>
      <c r="K289" s="101"/>
      <c r="L289" s="101"/>
      <c r="M289" s="101"/>
      <c r="N289" s="101"/>
      <c r="O289" s="101"/>
      <c r="P289" s="101"/>
      <c r="Q289" s="101"/>
    </row>
    <row r="290" spans="1:17" ht="14.25" customHeight="1">
      <c r="A290" s="101"/>
      <c r="B290" s="101"/>
      <c r="C290" s="101"/>
      <c r="D290" s="101"/>
      <c r="E290" s="102"/>
      <c r="F290" s="102"/>
      <c r="G290" s="102"/>
      <c r="H290" s="101"/>
      <c r="I290" s="101"/>
      <c r="J290" s="101"/>
      <c r="K290" s="101"/>
      <c r="L290" s="101"/>
      <c r="M290" s="101"/>
      <c r="N290" s="101"/>
      <c r="O290" s="101"/>
      <c r="P290" s="101"/>
      <c r="Q290" s="101"/>
    </row>
    <row r="291" spans="1:17" ht="14.25" customHeight="1">
      <c r="A291" s="101"/>
      <c r="B291" s="101"/>
      <c r="C291" s="101"/>
      <c r="D291" s="101"/>
      <c r="E291" s="102"/>
      <c r="F291" s="102"/>
      <c r="G291" s="102"/>
      <c r="H291" s="101"/>
      <c r="I291" s="101"/>
      <c r="J291" s="101"/>
      <c r="K291" s="101"/>
      <c r="L291" s="101"/>
      <c r="M291" s="101"/>
      <c r="N291" s="101"/>
      <c r="O291" s="101"/>
      <c r="P291" s="101"/>
      <c r="Q291" s="101"/>
    </row>
    <row r="292" spans="1:17" ht="14.25" customHeight="1">
      <c r="A292" s="101"/>
      <c r="B292" s="101"/>
      <c r="C292" s="101"/>
      <c r="D292" s="101"/>
      <c r="E292" s="102"/>
      <c r="F292" s="102"/>
      <c r="G292" s="102"/>
      <c r="H292" s="101"/>
      <c r="I292" s="101"/>
      <c r="J292" s="101"/>
      <c r="K292" s="101"/>
      <c r="L292" s="101"/>
      <c r="M292" s="101"/>
      <c r="N292" s="101"/>
      <c r="O292" s="101"/>
      <c r="P292" s="101"/>
      <c r="Q292" s="101"/>
    </row>
    <row r="293" spans="1:17" ht="14.25" customHeight="1">
      <c r="A293" s="101"/>
      <c r="B293" s="101"/>
      <c r="C293" s="101"/>
      <c r="D293" s="101"/>
      <c r="E293" s="102"/>
      <c r="F293" s="102"/>
      <c r="G293" s="102"/>
      <c r="H293" s="101"/>
      <c r="I293" s="101"/>
      <c r="J293" s="101"/>
      <c r="K293" s="101"/>
      <c r="L293" s="101"/>
      <c r="M293" s="101"/>
      <c r="N293" s="101"/>
      <c r="O293" s="101"/>
      <c r="P293" s="101"/>
      <c r="Q293" s="101"/>
    </row>
    <row r="294" spans="1:17" ht="14.25" customHeight="1">
      <c r="A294" s="101"/>
      <c r="B294" s="101"/>
      <c r="C294" s="101"/>
      <c r="D294" s="101"/>
      <c r="E294" s="102"/>
      <c r="F294" s="102"/>
      <c r="G294" s="102"/>
      <c r="H294" s="101"/>
      <c r="I294" s="101"/>
      <c r="J294" s="101"/>
      <c r="K294" s="101"/>
      <c r="L294" s="101"/>
      <c r="M294" s="101"/>
      <c r="N294" s="101"/>
      <c r="O294" s="101"/>
      <c r="P294" s="101"/>
      <c r="Q294" s="101"/>
    </row>
    <row r="295" spans="1:17" ht="14.25" customHeight="1">
      <c r="A295" s="101"/>
      <c r="B295" s="101"/>
      <c r="C295" s="101"/>
      <c r="D295" s="101"/>
      <c r="E295" s="102"/>
      <c r="F295" s="102"/>
      <c r="G295" s="102"/>
      <c r="H295" s="101"/>
      <c r="I295" s="101"/>
      <c r="J295" s="101"/>
      <c r="K295" s="101"/>
      <c r="L295" s="101"/>
      <c r="M295" s="101"/>
      <c r="N295" s="101"/>
      <c r="O295" s="101"/>
      <c r="P295" s="101"/>
      <c r="Q295" s="101"/>
    </row>
    <row r="296" spans="1:17" ht="14.25" customHeight="1">
      <c r="A296" s="101"/>
      <c r="B296" s="101"/>
      <c r="C296" s="101"/>
      <c r="D296" s="101"/>
      <c r="E296" s="102"/>
      <c r="F296" s="102"/>
      <c r="G296" s="102"/>
      <c r="H296" s="101"/>
      <c r="I296" s="101"/>
      <c r="J296" s="101"/>
      <c r="K296" s="101"/>
      <c r="L296" s="101"/>
      <c r="M296" s="101"/>
      <c r="N296" s="101"/>
      <c r="O296" s="101"/>
      <c r="P296" s="101"/>
      <c r="Q296" s="101"/>
    </row>
    <row r="297" spans="1:17" ht="14.25" customHeight="1">
      <c r="A297" s="101"/>
      <c r="B297" s="101"/>
      <c r="C297" s="101"/>
      <c r="D297" s="101"/>
      <c r="E297" s="102"/>
      <c r="F297" s="102"/>
      <c r="G297" s="102"/>
      <c r="H297" s="101"/>
      <c r="I297" s="101"/>
      <c r="J297" s="101"/>
      <c r="K297" s="101"/>
      <c r="L297" s="101"/>
      <c r="M297" s="101"/>
      <c r="N297" s="101"/>
      <c r="O297" s="101"/>
      <c r="P297" s="101"/>
      <c r="Q297" s="101"/>
    </row>
    <row r="298" spans="1:17" ht="14.25" customHeight="1">
      <c r="A298" s="101"/>
      <c r="B298" s="101"/>
      <c r="C298" s="101"/>
      <c r="D298" s="101"/>
      <c r="E298" s="102"/>
      <c r="F298" s="102"/>
      <c r="G298" s="102"/>
      <c r="H298" s="101"/>
      <c r="I298" s="101"/>
      <c r="J298" s="101"/>
      <c r="K298" s="101"/>
      <c r="L298" s="101"/>
      <c r="M298" s="101"/>
      <c r="N298" s="101"/>
      <c r="O298" s="101"/>
      <c r="P298" s="101"/>
      <c r="Q298" s="101"/>
    </row>
    <row r="299" spans="1:17" ht="14.25" customHeight="1">
      <c r="A299" s="101"/>
      <c r="B299" s="101"/>
      <c r="C299" s="101"/>
      <c r="D299" s="101"/>
      <c r="E299" s="102"/>
      <c r="F299" s="102"/>
      <c r="G299" s="102"/>
      <c r="H299" s="101"/>
      <c r="I299" s="101"/>
      <c r="J299" s="101"/>
      <c r="K299" s="101"/>
      <c r="L299" s="101"/>
      <c r="M299" s="101"/>
      <c r="N299" s="101"/>
      <c r="O299" s="101"/>
      <c r="P299" s="101"/>
      <c r="Q299" s="101"/>
    </row>
    <row r="300" spans="1:17" ht="14.25" customHeight="1">
      <c r="A300" s="101"/>
      <c r="B300" s="101"/>
      <c r="C300" s="101"/>
      <c r="D300" s="101"/>
      <c r="E300" s="102"/>
      <c r="F300" s="102"/>
      <c r="G300" s="102"/>
      <c r="H300" s="101"/>
      <c r="I300" s="101"/>
      <c r="J300" s="101"/>
      <c r="K300" s="101"/>
      <c r="L300" s="101"/>
      <c r="M300" s="101"/>
      <c r="N300" s="101"/>
      <c r="O300" s="101"/>
      <c r="P300" s="101"/>
      <c r="Q300" s="101"/>
    </row>
    <row r="301" spans="1:17" ht="14.25" customHeight="1">
      <c r="A301" s="101"/>
      <c r="B301" s="101"/>
      <c r="C301" s="101"/>
      <c r="D301" s="101"/>
      <c r="E301" s="102"/>
      <c r="F301" s="102"/>
      <c r="G301" s="102"/>
      <c r="H301" s="101"/>
      <c r="I301" s="101"/>
      <c r="J301" s="101"/>
      <c r="K301" s="101"/>
      <c r="L301" s="101"/>
      <c r="M301" s="101"/>
      <c r="N301" s="101"/>
      <c r="O301" s="101"/>
      <c r="P301" s="101"/>
      <c r="Q301" s="101"/>
    </row>
    <row r="302" spans="1:17" ht="14.25" customHeight="1">
      <c r="A302" s="101"/>
      <c r="B302" s="101"/>
      <c r="C302" s="101"/>
      <c r="D302" s="101"/>
      <c r="E302" s="102"/>
      <c r="F302" s="102"/>
      <c r="G302" s="102"/>
      <c r="H302" s="101"/>
      <c r="I302" s="101"/>
      <c r="J302" s="101"/>
      <c r="K302" s="101"/>
      <c r="L302" s="101"/>
      <c r="M302" s="101"/>
      <c r="N302" s="101"/>
      <c r="O302" s="101"/>
      <c r="P302" s="101"/>
      <c r="Q302" s="101"/>
    </row>
    <row r="303" spans="1:17" ht="14.25" customHeight="1">
      <c r="A303" s="101"/>
      <c r="B303" s="101"/>
      <c r="C303" s="101"/>
      <c r="D303" s="101"/>
      <c r="E303" s="102"/>
      <c r="F303" s="102"/>
      <c r="G303" s="102"/>
      <c r="H303" s="101"/>
      <c r="I303" s="101"/>
      <c r="J303" s="101"/>
      <c r="K303" s="101"/>
      <c r="L303" s="101"/>
      <c r="M303" s="101"/>
      <c r="N303" s="101"/>
      <c r="O303" s="101"/>
      <c r="P303" s="101"/>
      <c r="Q303" s="101"/>
    </row>
    <row r="304" spans="1:17" ht="14.25" customHeight="1">
      <c r="A304" s="101"/>
      <c r="B304" s="101"/>
      <c r="C304" s="101"/>
      <c r="D304" s="101"/>
      <c r="E304" s="102"/>
      <c r="F304" s="102"/>
      <c r="G304" s="102"/>
      <c r="H304" s="101"/>
      <c r="I304" s="101"/>
      <c r="J304" s="101"/>
      <c r="K304" s="101"/>
      <c r="L304" s="101"/>
      <c r="M304" s="101"/>
      <c r="N304" s="101"/>
      <c r="O304" s="101"/>
      <c r="P304" s="101"/>
      <c r="Q304" s="101"/>
    </row>
    <row r="305" spans="1:17" ht="14.25" customHeight="1">
      <c r="A305" s="101"/>
      <c r="B305" s="101"/>
      <c r="C305" s="101"/>
      <c r="D305" s="101"/>
      <c r="E305" s="102"/>
      <c r="F305" s="102"/>
      <c r="G305" s="102"/>
      <c r="H305" s="101"/>
      <c r="I305" s="101"/>
      <c r="J305" s="101"/>
      <c r="K305" s="101"/>
      <c r="L305" s="101"/>
      <c r="M305" s="101"/>
      <c r="N305" s="101"/>
      <c r="O305" s="101"/>
      <c r="P305" s="101"/>
      <c r="Q305" s="101"/>
    </row>
    <row r="306" spans="1:17" ht="14.25" customHeight="1">
      <c r="A306" s="101"/>
      <c r="B306" s="101"/>
      <c r="C306" s="101"/>
      <c r="D306" s="101"/>
      <c r="E306" s="102"/>
      <c r="F306" s="102"/>
      <c r="G306" s="102"/>
      <c r="H306" s="101"/>
      <c r="I306" s="101"/>
      <c r="J306" s="101"/>
      <c r="K306" s="101"/>
      <c r="L306" s="101"/>
      <c r="M306" s="101"/>
      <c r="N306" s="101"/>
      <c r="O306" s="101"/>
      <c r="P306" s="101"/>
      <c r="Q306" s="101"/>
    </row>
    <row r="307" spans="1:17" ht="14.25" customHeight="1">
      <c r="A307" s="101"/>
      <c r="B307" s="101"/>
      <c r="C307" s="101"/>
      <c r="D307" s="101"/>
      <c r="E307" s="102"/>
      <c r="F307" s="102"/>
      <c r="G307" s="102"/>
      <c r="H307" s="101"/>
      <c r="I307" s="101"/>
      <c r="J307" s="101"/>
      <c r="K307" s="101"/>
      <c r="L307" s="101"/>
      <c r="M307" s="101"/>
      <c r="N307" s="101"/>
      <c r="O307" s="101"/>
      <c r="P307" s="101"/>
      <c r="Q307" s="101"/>
    </row>
    <row r="308" spans="1:17" ht="14.25" customHeight="1">
      <c r="A308" s="101"/>
      <c r="B308" s="101"/>
      <c r="C308" s="101"/>
      <c r="D308" s="101"/>
      <c r="E308" s="102"/>
      <c r="F308" s="102"/>
      <c r="G308" s="102"/>
      <c r="H308" s="101"/>
      <c r="I308" s="101"/>
      <c r="J308" s="101"/>
      <c r="K308" s="101"/>
      <c r="L308" s="101"/>
      <c r="M308" s="101"/>
      <c r="N308" s="101"/>
      <c r="O308" s="101"/>
      <c r="P308" s="101"/>
      <c r="Q308" s="101"/>
    </row>
    <row r="309" spans="1:17" ht="14.25" customHeight="1">
      <c r="A309" s="101"/>
      <c r="B309" s="101"/>
      <c r="C309" s="101"/>
      <c r="D309" s="101"/>
      <c r="E309" s="102"/>
      <c r="F309" s="102"/>
      <c r="G309" s="102"/>
      <c r="H309" s="101"/>
      <c r="I309" s="101"/>
      <c r="J309" s="101"/>
      <c r="K309" s="101"/>
      <c r="L309" s="101"/>
      <c r="M309" s="101"/>
      <c r="N309" s="101"/>
      <c r="O309" s="101"/>
      <c r="P309" s="101"/>
      <c r="Q309" s="101"/>
    </row>
    <row r="310" spans="1:17" ht="14.25" customHeight="1">
      <c r="A310" s="101"/>
      <c r="B310" s="101"/>
      <c r="C310" s="101"/>
      <c r="D310" s="101"/>
      <c r="E310" s="102"/>
      <c r="F310" s="102"/>
      <c r="G310" s="102"/>
      <c r="H310" s="101"/>
      <c r="I310" s="101"/>
      <c r="J310" s="101"/>
      <c r="K310" s="101"/>
      <c r="L310" s="101"/>
      <c r="M310" s="101"/>
      <c r="N310" s="101"/>
      <c r="O310" s="101"/>
      <c r="P310" s="101"/>
      <c r="Q310" s="101"/>
    </row>
    <row r="311" spans="1:17" ht="14.25" customHeight="1">
      <c r="A311" s="101"/>
      <c r="B311" s="101"/>
      <c r="C311" s="101"/>
      <c r="D311" s="101"/>
      <c r="E311" s="102"/>
      <c r="F311" s="102"/>
      <c r="G311" s="102"/>
      <c r="H311" s="101"/>
      <c r="I311" s="101"/>
      <c r="J311" s="101"/>
      <c r="K311" s="101"/>
      <c r="L311" s="101"/>
      <c r="M311" s="101"/>
      <c r="N311" s="101"/>
      <c r="O311" s="101"/>
      <c r="P311" s="101"/>
      <c r="Q311" s="101"/>
    </row>
    <row r="312" spans="1:17" ht="14.25" customHeight="1">
      <c r="A312" s="101"/>
      <c r="B312" s="101"/>
      <c r="C312" s="101"/>
      <c r="D312" s="101"/>
      <c r="E312" s="102"/>
      <c r="F312" s="102"/>
      <c r="G312" s="102"/>
      <c r="H312" s="101"/>
      <c r="I312" s="101"/>
      <c r="J312" s="101"/>
      <c r="K312" s="101"/>
      <c r="L312" s="101"/>
      <c r="M312" s="101"/>
      <c r="N312" s="101"/>
      <c r="O312" s="101"/>
      <c r="P312" s="101"/>
      <c r="Q312" s="101"/>
    </row>
    <row r="313" spans="1:17" ht="14.25" customHeight="1">
      <c r="A313" s="101"/>
      <c r="B313" s="101"/>
      <c r="C313" s="101"/>
      <c r="D313" s="101"/>
      <c r="E313" s="102"/>
      <c r="F313" s="102"/>
      <c r="G313" s="102"/>
      <c r="H313" s="101"/>
      <c r="I313" s="101"/>
      <c r="J313" s="101"/>
      <c r="K313" s="101"/>
      <c r="L313" s="101"/>
      <c r="M313" s="101"/>
      <c r="N313" s="101"/>
      <c r="O313" s="101"/>
      <c r="P313" s="101"/>
      <c r="Q313" s="101"/>
    </row>
    <row r="314" spans="1:17" ht="14.25" customHeight="1">
      <c r="A314" s="101"/>
      <c r="B314" s="101"/>
      <c r="C314" s="101"/>
      <c r="D314" s="101"/>
      <c r="E314" s="102"/>
      <c r="F314" s="102"/>
      <c r="G314" s="102"/>
      <c r="H314" s="101"/>
      <c r="I314" s="101"/>
      <c r="J314" s="101"/>
      <c r="K314" s="101"/>
      <c r="L314" s="101"/>
      <c r="M314" s="101"/>
      <c r="N314" s="101"/>
      <c r="O314" s="101"/>
      <c r="P314" s="101"/>
      <c r="Q314" s="101"/>
    </row>
    <row r="315" spans="1:17" ht="14.25" customHeight="1">
      <c r="A315" s="101"/>
      <c r="B315" s="101"/>
      <c r="C315" s="101"/>
      <c r="D315" s="101"/>
      <c r="E315" s="102"/>
      <c r="F315" s="102"/>
      <c r="G315" s="102"/>
      <c r="H315" s="101"/>
      <c r="I315" s="101"/>
      <c r="J315" s="101"/>
      <c r="K315" s="101"/>
      <c r="L315" s="101"/>
      <c r="M315" s="101"/>
      <c r="N315" s="101"/>
      <c r="O315" s="101"/>
      <c r="P315" s="101"/>
      <c r="Q315" s="101"/>
    </row>
    <row r="316" spans="1:17" ht="14.25" customHeight="1">
      <c r="A316" s="101"/>
      <c r="B316" s="101"/>
      <c r="C316" s="101"/>
      <c r="D316" s="101"/>
      <c r="E316" s="102"/>
      <c r="F316" s="102"/>
      <c r="G316" s="102"/>
      <c r="H316" s="101"/>
      <c r="I316" s="101"/>
      <c r="J316" s="101"/>
      <c r="K316" s="101"/>
      <c r="L316" s="101"/>
      <c r="M316" s="101"/>
      <c r="N316" s="101"/>
      <c r="O316" s="101"/>
      <c r="P316" s="101"/>
      <c r="Q316" s="101"/>
    </row>
    <row r="317" spans="1:17" ht="14.25" customHeight="1">
      <c r="A317" s="101"/>
      <c r="B317" s="101"/>
      <c r="C317" s="101"/>
      <c r="D317" s="101"/>
      <c r="E317" s="102"/>
      <c r="F317" s="102"/>
      <c r="G317" s="102"/>
      <c r="H317" s="101"/>
      <c r="I317" s="101"/>
      <c r="J317" s="101"/>
      <c r="K317" s="101"/>
      <c r="L317" s="101"/>
      <c r="M317" s="101"/>
      <c r="N317" s="101"/>
      <c r="O317" s="101"/>
      <c r="P317" s="101"/>
      <c r="Q317" s="101"/>
    </row>
    <row r="318" spans="1:17" ht="14.25" customHeight="1">
      <c r="A318" s="101"/>
      <c r="B318" s="101"/>
      <c r="C318" s="101"/>
      <c r="D318" s="101"/>
      <c r="E318" s="102"/>
      <c r="F318" s="102"/>
      <c r="G318" s="102"/>
      <c r="H318" s="101"/>
      <c r="I318" s="101"/>
      <c r="J318" s="101"/>
      <c r="K318" s="101"/>
      <c r="L318" s="101"/>
      <c r="M318" s="101"/>
      <c r="N318" s="101"/>
      <c r="O318" s="101"/>
      <c r="P318" s="101"/>
      <c r="Q318" s="101"/>
    </row>
    <row r="319" spans="1:17" ht="14.25" customHeight="1">
      <c r="A319" s="101"/>
      <c r="B319" s="101"/>
      <c r="C319" s="101"/>
      <c r="D319" s="101"/>
      <c r="E319" s="102"/>
      <c r="F319" s="102"/>
      <c r="G319" s="102"/>
      <c r="H319" s="101"/>
      <c r="I319" s="101"/>
      <c r="J319" s="101"/>
      <c r="K319" s="101"/>
      <c r="L319" s="101"/>
      <c r="M319" s="101"/>
      <c r="N319" s="101"/>
      <c r="O319" s="101"/>
      <c r="P319" s="101"/>
      <c r="Q319" s="101"/>
    </row>
    <row r="320" spans="1:17" ht="14.25" customHeight="1">
      <c r="A320" s="101"/>
      <c r="B320" s="101"/>
      <c r="C320" s="101"/>
      <c r="D320" s="101"/>
      <c r="E320" s="102"/>
      <c r="F320" s="102"/>
      <c r="G320" s="102"/>
      <c r="H320" s="101"/>
      <c r="I320" s="101"/>
      <c r="J320" s="101"/>
      <c r="K320" s="101"/>
      <c r="L320" s="101"/>
      <c r="M320" s="101"/>
      <c r="N320" s="101"/>
      <c r="O320" s="101"/>
      <c r="P320" s="101"/>
      <c r="Q320" s="101"/>
    </row>
    <row r="321" spans="1:17" ht="14.25" customHeight="1">
      <c r="A321" s="101"/>
      <c r="B321" s="101"/>
      <c r="C321" s="101"/>
      <c r="D321" s="101"/>
      <c r="E321" s="102"/>
      <c r="F321" s="102"/>
      <c r="G321" s="102"/>
      <c r="H321" s="101"/>
      <c r="I321" s="101"/>
      <c r="J321" s="101"/>
      <c r="K321" s="101"/>
      <c r="L321" s="101"/>
      <c r="M321" s="101"/>
      <c r="N321" s="101"/>
      <c r="O321" s="101"/>
      <c r="P321" s="101"/>
      <c r="Q321" s="101"/>
    </row>
    <row r="322" spans="1:17" ht="14.25" customHeight="1">
      <c r="A322" s="101"/>
      <c r="B322" s="101"/>
      <c r="C322" s="101"/>
      <c r="D322" s="101"/>
      <c r="E322" s="102"/>
      <c r="F322" s="102"/>
      <c r="G322" s="102"/>
      <c r="H322" s="101"/>
      <c r="I322" s="101"/>
      <c r="J322" s="101"/>
      <c r="K322" s="101"/>
      <c r="L322" s="101"/>
      <c r="M322" s="101"/>
      <c r="N322" s="101"/>
      <c r="O322" s="101"/>
      <c r="P322" s="101"/>
      <c r="Q322" s="101"/>
    </row>
    <row r="323" spans="1:17" ht="14.25" customHeight="1">
      <c r="A323" s="101"/>
      <c r="B323" s="101"/>
      <c r="C323" s="101"/>
      <c r="D323" s="101"/>
      <c r="E323" s="102"/>
      <c r="F323" s="102"/>
      <c r="G323" s="102"/>
      <c r="H323" s="101"/>
      <c r="I323" s="101"/>
      <c r="J323" s="101"/>
      <c r="K323" s="101"/>
      <c r="L323" s="101"/>
      <c r="M323" s="101"/>
      <c r="N323" s="101"/>
      <c r="O323" s="101"/>
      <c r="P323" s="101"/>
      <c r="Q323" s="101"/>
    </row>
    <row r="324" spans="1:17" ht="14.25" customHeight="1">
      <c r="A324" s="101"/>
      <c r="B324" s="101"/>
      <c r="C324" s="101"/>
      <c r="D324" s="101"/>
      <c r="E324" s="102"/>
      <c r="F324" s="102"/>
      <c r="G324" s="102"/>
      <c r="H324" s="101"/>
      <c r="I324" s="101"/>
      <c r="J324" s="101"/>
      <c r="K324" s="101"/>
      <c r="L324" s="101"/>
      <c r="M324" s="101"/>
      <c r="N324" s="101"/>
      <c r="O324" s="101"/>
      <c r="P324" s="101"/>
      <c r="Q324" s="101"/>
    </row>
    <row r="325" spans="1:17" ht="14.25" customHeight="1">
      <c r="A325" s="101"/>
      <c r="B325" s="101"/>
      <c r="C325" s="101"/>
      <c r="D325" s="101"/>
      <c r="E325" s="102"/>
      <c r="F325" s="102"/>
      <c r="G325" s="102"/>
      <c r="H325" s="101"/>
      <c r="I325" s="101"/>
      <c r="J325" s="101"/>
      <c r="K325" s="101"/>
      <c r="L325" s="101"/>
      <c r="M325" s="101"/>
      <c r="N325" s="101"/>
      <c r="O325" s="101"/>
      <c r="P325" s="101"/>
      <c r="Q325" s="101"/>
    </row>
    <row r="326" spans="1:17" ht="14.25" customHeight="1">
      <c r="A326" s="101"/>
      <c r="B326" s="101"/>
      <c r="C326" s="101"/>
      <c r="D326" s="101"/>
      <c r="E326" s="102"/>
      <c r="F326" s="102"/>
      <c r="G326" s="102"/>
      <c r="H326" s="101"/>
      <c r="I326" s="101"/>
      <c r="J326" s="101"/>
      <c r="K326" s="101"/>
      <c r="L326" s="101"/>
      <c r="M326" s="101"/>
      <c r="N326" s="101"/>
      <c r="O326" s="101"/>
      <c r="P326" s="101"/>
      <c r="Q326" s="101"/>
    </row>
    <row r="327" spans="1:17" ht="14.25" customHeight="1">
      <c r="A327" s="101"/>
      <c r="B327" s="101"/>
      <c r="C327" s="101"/>
      <c r="D327" s="101"/>
      <c r="E327" s="102"/>
      <c r="F327" s="102"/>
      <c r="G327" s="102"/>
      <c r="H327" s="101"/>
      <c r="I327" s="101"/>
      <c r="J327" s="101"/>
      <c r="K327" s="101"/>
      <c r="L327" s="101"/>
      <c r="M327" s="101"/>
      <c r="N327" s="101"/>
      <c r="O327" s="101"/>
      <c r="P327" s="101"/>
      <c r="Q327" s="101"/>
    </row>
    <row r="328" spans="1:17" ht="14.25" customHeight="1">
      <c r="A328" s="101"/>
      <c r="B328" s="101"/>
      <c r="C328" s="101"/>
      <c r="D328" s="101"/>
      <c r="E328" s="102"/>
      <c r="F328" s="102"/>
      <c r="G328" s="102"/>
      <c r="H328" s="101"/>
      <c r="I328" s="101"/>
      <c r="J328" s="101"/>
      <c r="K328" s="101"/>
      <c r="L328" s="101"/>
      <c r="M328" s="101"/>
      <c r="N328" s="101"/>
      <c r="O328" s="101"/>
      <c r="P328" s="101"/>
      <c r="Q328" s="101"/>
    </row>
    <row r="329" spans="1:17" ht="14.25" customHeight="1">
      <c r="A329" s="101"/>
      <c r="B329" s="101"/>
      <c r="C329" s="101"/>
      <c r="D329" s="101"/>
      <c r="E329" s="102"/>
      <c r="F329" s="102"/>
      <c r="G329" s="102"/>
      <c r="H329" s="101"/>
      <c r="I329" s="101"/>
      <c r="J329" s="101"/>
      <c r="K329" s="101"/>
      <c r="L329" s="101"/>
      <c r="M329" s="101"/>
      <c r="N329" s="101"/>
      <c r="O329" s="101"/>
      <c r="P329" s="101"/>
      <c r="Q329" s="101"/>
    </row>
    <row r="330" spans="1:17" ht="14.25" customHeight="1">
      <c r="A330" s="101"/>
      <c r="B330" s="101"/>
      <c r="C330" s="101"/>
      <c r="D330" s="101"/>
      <c r="E330" s="102"/>
      <c r="F330" s="102"/>
      <c r="G330" s="102"/>
      <c r="H330" s="101"/>
      <c r="I330" s="101"/>
      <c r="J330" s="101"/>
      <c r="K330" s="101"/>
      <c r="L330" s="101"/>
      <c r="M330" s="101"/>
      <c r="N330" s="101"/>
      <c r="O330" s="101"/>
      <c r="P330" s="101"/>
      <c r="Q330" s="101"/>
    </row>
    <row r="331" spans="1:17" ht="14.25" customHeight="1">
      <c r="A331" s="101"/>
      <c r="B331" s="101"/>
      <c r="C331" s="101"/>
      <c r="D331" s="101"/>
      <c r="E331" s="102"/>
      <c r="F331" s="102"/>
      <c r="G331" s="102"/>
      <c r="H331" s="101"/>
      <c r="I331" s="101"/>
      <c r="J331" s="101"/>
      <c r="K331" s="101"/>
      <c r="L331" s="101"/>
      <c r="M331" s="101"/>
      <c r="N331" s="101"/>
      <c r="O331" s="101"/>
      <c r="P331" s="101"/>
      <c r="Q331" s="101"/>
    </row>
    <row r="332" spans="1:17" ht="14.25" customHeight="1">
      <c r="A332" s="101"/>
      <c r="B332" s="101"/>
      <c r="C332" s="101"/>
      <c r="D332" s="101"/>
      <c r="E332" s="102"/>
      <c r="F332" s="102"/>
      <c r="G332" s="102"/>
      <c r="H332" s="101"/>
      <c r="I332" s="101"/>
      <c r="J332" s="101"/>
      <c r="K332" s="101"/>
      <c r="L332" s="101"/>
      <c r="M332" s="101"/>
      <c r="N332" s="101"/>
      <c r="O332" s="101"/>
      <c r="P332" s="101"/>
      <c r="Q332" s="101"/>
    </row>
    <row r="333" spans="1:17" ht="14.25" customHeight="1">
      <c r="A333" s="101"/>
      <c r="B333" s="101"/>
      <c r="C333" s="101"/>
      <c r="D333" s="101"/>
      <c r="E333" s="102"/>
      <c r="F333" s="102"/>
      <c r="G333" s="102"/>
      <c r="H333" s="101"/>
      <c r="I333" s="101"/>
      <c r="J333" s="101"/>
      <c r="K333" s="101"/>
      <c r="L333" s="101"/>
      <c r="M333" s="101"/>
      <c r="N333" s="101"/>
      <c r="O333" s="101"/>
      <c r="P333" s="101"/>
      <c r="Q333" s="101"/>
    </row>
    <row r="334" spans="1:17" ht="14.25" customHeight="1">
      <c r="A334" s="101"/>
      <c r="B334" s="101"/>
      <c r="C334" s="101"/>
      <c r="D334" s="101"/>
      <c r="E334" s="102"/>
      <c r="F334" s="102"/>
      <c r="G334" s="102"/>
      <c r="H334" s="101"/>
      <c r="I334" s="101"/>
      <c r="J334" s="101"/>
      <c r="K334" s="101"/>
      <c r="L334" s="101"/>
      <c r="M334" s="101"/>
      <c r="N334" s="101"/>
      <c r="O334" s="101"/>
      <c r="P334" s="101"/>
      <c r="Q334" s="101"/>
    </row>
    <row r="335" spans="1:17" ht="14.25" customHeight="1">
      <c r="A335" s="101"/>
      <c r="B335" s="101"/>
      <c r="C335" s="101"/>
      <c r="D335" s="101"/>
      <c r="E335" s="102"/>
      <c r="F335" s="102"/>
      <c r="G335" s="102"/>
      <c r="H335" s="101"/>
      <c r="I335" s="101"/>
      <c r="J335" s="101"/>
      <c r="K335" s="101"/>
      <c r="L335" s="101"/>
      <c r="M335" s="101"/>
      <c r="N335" s="101"/>
      <c r="O335" s="101"/>
      <c r="P335" s="101"/>
      <c r="Q335" s="101"/>
    </row>
    <row r="336" spans="1:17" ht="14.25" customHeight="1">
      <c r="A336" s="101"/>
      <c r="B336" s="101"/>
      <c r="C336" s="101"/>
      <c r="D336" s="101"/>
      <c r="E336" s="102"/>
      <c r="F336" s="102"/>
      <c r="G336" s="102"/>
      <c r="H336" s="101"/>
      <c r="I336" s="101"/>
      <c r="J336" s="101"/>
      <c r="K336" s="101"/>
      <c r="L336" s="101"/>
      <c r="M336" s="101"/>
      <c r="N336" s="101"/>
      <c r="O336" s="101"/>
      <c r="P336" s="101"/>
      <c r="Q336" s="101"/>
    </row>
    <row r="337" spans="1:17" ht="14.25" customHeight="1">
      <c r="A337" s="101"/>
      <c r="B337" s="101"/>
      <c r="C337" s="101"/>
      <c r="D337" s="101"/>
      <c r="E337" s="102"/>
      <c r="F337" s="102"/>
      <c r="G337" s="102"/>
      <c r="H337" s="101"/>
      <c r="I337" s="101"/>
      <c r="J337" s="101"/>
      <c r="K337" s="101"/>
      <c r="L337" s="101"/>
      <c r="M337" s="101"/>
      <c r="N337" s="101"/>
      <c r="O337" s="101"/>
      <c r="P337" s="101"/>
      <c r="Q337" s="101"/>
    </row>
    <row r="338" spans="1:17" ht="14.25" customHeight="1">
      <c r="A338" s="101"/>
      <c r="B338" s="101"/>
      <c r="C338" s="101"/>
      <c r="D338" s="101"/>
      <c r="E338" s="102"/>
      <c r="F338" s="102"/>
      <c r="G338" s="102"/>
      <c r="H338" s="101"/>
      <c r="I338" s="101"/>
      <c r="J338" s="101"/>
      <c r="K338" s="101"/>
      <c r="L338" s="101"/>
      <c r="M338" s="101"/>
      <c r="N338" s="101"/>
      <c r="O338" s="101"/>
      <c r="P338" s="101"/>
      <c r="Q338" s="101"/>
    </row>
    <row r="339" spans="1:17" ht="14.25" customHeight="1">
      <c r="A339" s="101"/>
      <c r="B339" s="101"/>
      <c r="C339" s="101"/>
      <c r="D339" s="101"/>
      <c r="E339" s="102"/>
      <c r="F339" s="102"/>
      <c r="G339" s="102"/>
      <c r="H339" s="101"/>
      <c r="I339" s="101"/>
      <c r="J339" s="101"/>
      <c r="K339" s="101"/>
      <c r="L339" s="101"/>
      <c r="M339" s="101"/>
      <c r="N339" s="101"/>
      <c r="O339" s="101"/>
      <c r="P339" s="101"/>
      <c r="Q339" s="101"/>
    </row>
    <row r="340" spans="1:17" ht="14.25" customHeight="1">
      <c r="A340" s="101"/>
      <c r="B340" s="101"/>
      <c r="C340" s="101"/>
      <c r="D340" s="101"/>
      <c r="E340" s="102"/>
      <c r="F340" s="102"/>
      <c r="G340" s="102"/>
      <c r="H340" s="101"/>
      <c r="I340" s="101"/>
      <c r="J340" s="101"/>
      <c r="K340" s="101"/>
      <c r="L340" s="101"/>
      <c r="M340" s="101"/>
      <c r="N340" s="101"/>
      <c r="O340" s="101"/>
      <c r="P340" s="101"/>
      <c r="Q340" s="101"/>
    </row>
    <row r="341" spans="1:17" ht="14.25" customHeight="1">
      <c r="A341" s="101"/>
      <c r="B341" s="101"/>
      <c r="C341" s="101"/>
      <c r="D341" s="101"/>
      <c r="E341" s="102"/>
      <c r="F341" s="102"/>
      <c r="G341" s="102"/>
      <c r="H341" s="101"/>
      <c r="I341" s="101"/>
      <c r="J341" s="101"/>
      <c r="K341" s="101"/>
      <c r="L341" s="101"/>
      <c r="M341" s="101"/>
      <c r="N341" s="101"/>
      <c r="O341" s="101"/>
      <c r="P341" s="101"/>
      <c r="Q341" s="101"/>
    </row>
    <row r="342" spans="1:17" ht="14.25" customHeight="1">
      <c r="A342" s="101"/>
      <c r="B342" s="101"/>
      <c r="C342" s="101"/>
      <c r="D342" s="101"/>
      <c r="E342" s="102"/>
      <c r="F342" s="102"/>
      <c r="G342" s="102"/>
      <c r="H342" s="101"/>
      <c r="I342" s="101"/>
      <c r="J342" s="101"/>
      <c r="K342" s="101"/>
      <c r="L342" s="101"/>
      <c r="M342" s="101"/>
      <c r="N342" s="101"/>
      <c r="O342" s="101"/>
      <c r="P342" s="101"/>
      <c r="Q342" s="101"/>
    </row>
    <row r="343" spans="1:17" ht="14.25" customHeight="1">
      <c r="A343" s="101"/>
      <c r="B343" s="101"/>
      <c r="C343" s="101"/>
      <c r="D343" s="101"/>
      <c r="E343" s="102"/>
      <c r="F343" s="102"/>
      <c r="G343" s="102"/>
      <c r="H343" s="101"/>
      <c r="I343" s="101"/>
      <c r="J343" s="101"/>
      <c r="K343" s="101"/>
      <c r="L343" s="101"/>
      <c r="M343" s="101"/>
      <c r="N343" s="101"/>
      <c r="O343" s="101"/>
      <c r="P343" s="101"/>
      <c r="Q343" s="101"/>
    </row>
    <row r="344" spans="1:17" ht="14.25" customHeight="1">
      <c r="A344" s="101"/>
      <c r="B344" s="101"/>
      <c r="C344" s="101"/>
      <c r="D344" s="101"/>
      <c r="E344" s="102"/>
      <c r="F344" s="102"/>
      <c r="G344" s="102"/>
      <c r="H344" s="101"/>
      <c r="I344" s="101"/>
      <c r="J344" s="101"/>
      <c r="K344" s="101"/>
      <c r="L344" s="101"/>
      <c r="M344" s="101"/>
      <c r="N344" s="101"/>
      <c r="O344" s="101"/>
      <c r="P344" s="101"/>
      <c r="Q344" s="101"/>
    </row>
    <row r="345" spans="1:17" ht="14.25" customHeight="1">
      <c r="A345" s="101"/>
      <c r="B345" s="101"/>
      <c r="C345" s="101"/>
      <c r="D345" s="101"/>
      <c r="E345" s="102"/>
      <c r="F345" s="102"/>
      <c r="G345" s="102"/>
      <c r="H345" s="101"/>
      <c r="I345" s="101"/>
      <c r="J345" s="101"/>
      <c r="K345" s="101"/>
      <c r="L345" s="101"/>
      <c r="M345" s="101"/>
      <c r="N345" s="101"/>
      <c r="O345" s="101"/>
      <c r="P345" s="101"/>
      <c r="Q345" s="101"/>
    </row>
    <row r="346" spans="1:17" ht="14.25" customHeight="1">
      <c r="A346" s="101"/>
      <c r="B346" s="101"/>
      <c r="C346" s="101"/>
      <c r="D346" s="101"/>
      <c r="E346" s="102"/>
      <c r="F346" s="102"/>
      <c r="G346" s="102"/>
      <c r="H346" s="101"/>
      <c r="I346" s="101"/>
      <c r="J346" s="101"/>
      <c r="K346" s="101"/>
      <c r="L346" s="101"/>
      <c r="M346" s="101"/>
      <c r="N346" s="101"/>
      <c r="O346" s="101"/>
      <c r="P346" s="101"/>
      <c r="Q346" s="101"/>
    </row>
    <row r="347" spans="1:17" ht="14.25" customHeight="1">
      <c r="A347" s="101"/>
      <c r="B347" s="101"/>
      <c r="C347" s="101"/>
      <c r="D347" s="101"/>
      <c r="E347" s="102"/>
      <c r="F347" s="102"/>
      <c r="G347" s="102"/>
      <c r="H347" s="101"/>
      <c r="I347" s="101"/>
      <c r="J347" s="101"/>
      <c r="K347" s="101"/>
      <c r="L347" s="101"/>
      <c r="M347" s="101"/>
      <c r="N347" s="101"/>
      <c r="O347" s="101"/>
      <c r="P347" s="101"/>
      <c r="Q347" s="101"/>
    </row>
    <row r="348" spans="1:17" ht="14.25" customHeight="1">
      <c r="A348" s="101"/>
      <c r="B348" s="101"/>
      <c r="C348" s="101"/>
      <c r="D348" s="101"/>
      <c r="E348" s="102"/>
      <c r="F348" s="102"/>
      <c r="G348" s="102"/>
      <c r="H348" s="101"/>
      <c r="I348" s="101"/>
      <c r="J348" s="101"/>
      <c r="K348" s="101"/>
      <c r="L348" s="101"/>
      <c r="M348" s="101"/>
      <c r="N348" s="101"/>
      <c r="O348" s="101"/>
      <c r="P348" s="101"/>
      <c r="Q348" s="101"/>
    </row>
    <row r="349" spans="1:17" ht="14.25" customHeight="1">
      <c r="A349" s="101"/>
      <c r="B349" s="101"/>
      <c r="C349" s="101"/>
      <c r="D349" s="101"/>
      <c r="E349" s="102"/>
      <c r="F349" s="102"/>
      <c r="G349" s="102"/>
      <c r="H349" s="101"/>
      <c r="I349" s="101"/>
      <c r="J349" s="101"/>
      <c r="K349" s="101"/>
      <c r="L349" s="101"/>
      <c r="M349" s="101"/>
      <c r="N349" s="101"/>
      <c r="O349" s="101"/>
      <c r="P349" s="101"/>
      <c r="Q349" s="101"/>
    </row>
    <row r="350" spans="1:17" ht="14.25" customHeight="1">
      <c r="A350" s="101"/>
      <c r="B350" s="101"/>
      <c r="C350" s="101"/>
      <c r="D350" s="101"/>
      <c r="E350" s="102"/>
      <c r="F350" s="102"/>
      <c r="G350" s="102"/>
      <c r="H350" s="101"/>
      <c r="I350" s="101"/>
      <c r="J350" s="101"/>
      <c r="K350" s="101"/>
      <c r="L350" s="101"/>
      <c r="M350" s="101"/>
      <c r="N350" s="101"/>
      <c r="O350" s="101"/>
      <c r="P350" s="101"/>
      <c r="Q350" s="101"/>
    </row>
    <row r="351" spans="1:17" ht="14.25" customHeight="1">
      <c r="A351" s="101"/>
      <c r="B351" s="101"/>
      <c r="C351" s="101"/>
      <c r="D351" s="101"/>
      <c r="E351" s="102"/>
      <c r="F351" s="102"/>
      <c r="G351" s="102"/>
      <c r="H351" s="101"/>
      <c r="I351" s="101"/>
      <c r="J351" s="101"/>
      <c r="K351" s="101"/>
      <c r="L351" s="101"/>
      <c r="M351" s="101"/>
      <c r="N351" s="101"/>
      <c r="O351" s="101"/>
      <c r="P351" s="101"/>
      <c r="Q351" s="101"/>
    </row>
    <row r="352" spans="1:17" ht="14.25" customHeight="1">
      <c r="A352" s="101"/>
      <c r="B352" s="101"/>
      <c r="C352" s="101"/>
      <c r="D352" s="101"/>
      <c r="E352" s="102"/>
      <c r="F352" s="102"/>
      <c r="G352" s="102"/>
      <c r="H352" s="101"/>
      <c r="I352" s="101"/>
      <c r="J352" s="101"/>
      <c r="K352" s="101"/>
      <c r="L352" s="101"/>
      <c r="M352" s="101"/>
      <c r="N352" s="101"/>
      <c r="O352" s="101"/>
      <c r="P352" s="101"/>
      <c r="Q352" s="101"/>
    </row>
    <row r="353" spans="1:17" ht="14.25" customHeight="1">
      <c r="A353" s="101"/>
      <c r="B353" s="101"/>
      <c r="C353" s="101"/>
      <c r="D353" s="101"/>
      <c r="E353" s="102"/>
      <c r="F353" s="102"/>
      <c r="G353" s="102"/>
      <c r="H353" s="101"/>
      <c r="I353" s="101"/>
      <c r="J353" s="101"/>
      <c r="K353" s="101"/>
      <c r="L353" s="101"/>
      <c r="M353" s="101"/>
      <c r="N353" s="101"/>
      <c r="O353" s="101"/>
      <c r="P353" s="101"/>
      <c r="Q353" s="101"/>
    </row>
    <row r="354" spans="1:17" ht="14.25" customHeight="1">
      <c r="A354" s="101"/>
      <c r="B354" s="101"/>
      <c r="C354" s="101"/>
      <c r="D354" s="101"/>
      <c r="E354" s="102"/>
      <c r="F354" s="102"/>
      <c r="G354" s="102"/>
      <c r="H354" s="101"/>
      <c r="I354" s="101"/>
      <c r="J354" s="101"/>
      <c r="K354" s="101"/>
      <c r="L354" s="101"/>
      <c r="M354" s="101"/>
      <c r="N354" s="101"/>
      <c r="O354" s="101"/>
      <c r="P354" s="101"/>
      <c r="Q354" s="101"/>
    </row>
    <row r="355" spans="1:17" ht="14.25" customHeight="1">
      <c r="A355" s="101"/>
      <c r="B355" s="101"/>
      <c r="C355" s="101"/>
      <c r="D355" s="101"/>
      <c r="E355" s="102"/>
      <c r="F355" s="102"/>
      <c r="G355" s="102"/>
      <c r="H355" s="101"/>
      <c r="I355" s="101"/>
      <c r="J355" s="101"/>
      <c r="K355" s="101"/>
      <c r="L355" s="101"/>
      <c r="M355" s="101"/>
      <c r="N355" s="101"/>
      <c r="O355" s="101"/>
      <c r="P355" s="101"/>
      <c r="Q355" s="101"/>
    </row>
    <row r="356" spans="1:17" ht="14.25" customHeight="1">
      <c r="A356" s="101"/>
      <c r="B356" s="101"/>
      <c r="C356" s="101"/>
      <c r="D356" s="101"/>
      <c r="E356" s="102"/>
      <c r="F356" s="102"/>
      <c r="G356" s="102"/>
      <c r="H356" s="101"/>
      <c r="I356" s="101"/>
      <c r="J356" s="101"/>
      <c r="K356" s="101"/>
      <c r="L356" s="101"/>
      <c r="M356" s="101"/>
      <c r="N356" s="101"/>
      <c r="O356" s="101"/>
      <c r="P356" s="101"/>
      <c r="Q356" s="101"/>
    </row>
    <row r="357" spans="1:17" ht="14.25" customHeight="1">
      <c r="A357" s="101"/>
      <c r="B357" s="101"/>
      <c r="C357" s="101"/>
      <c r="D357" s="101"/>
      <c r="E357" s="102"/>
      <c r="F357" s="102"/>
      <c r="G357" s="102"/>
      <c r="H357" s="101"/>
      <c r="I357" s="101"/>
      <c r="J357" s="101"/>
      <c r="K357" s="101"/>
      <c r="L357" s="101"/>
      <c r="M357" s="101"/>
      <c r="N357" s="101"/>
      <c r="O357" s="101"/>
      <c r="P357" s="101"/>
      <c r="Q357" s="101"/>
    </row>
    <row r="358" spans="1:17" ht="14.25" customHeight="1">
      <c r="A358" s="101"/>
      <c r="B358" s="101"/>
      <c r="C358" s="101"/>
      <c r="D358" s="101"/>
      <c r="E358" s="102"/>
      <c r="F358" s="102"/>
      <c r="G358" s="102"/>
      <c r="H358" s="101"/>
      <c r="I358" s="101"/>
      <c r="J358" s="101"/>
      <c r="K358" s="101"/>
      <c r="L358" s="101"/>
      <c r="M358" s="101"/>
      <c r="N358" s="101"/>
      <c r="O358" s="101"/>
      <c r="P358" s="101"/>
      <c r="Q358" s="101"/>
    </row>
    <row r="359" spans="1:17" ht="14.25" customHeight="1">
      <c r="A359" s="101"/>
      <c r="B359" s="101"/>
      <c r="C359" s="101"/>
      <c r="D359" s="101"/>
      <c r="E359" s="102"/>
      <c r="F359" s="102"/>
      <c r="G359" s="102"/>
      <c r="H359" s="101"/>
      <c r="I359" s="101"/>
      <c r="J359" s="101"/>
      <c r="K359" s="101"/>
      <c r="L359" s="101"/>
      <c r="M359" s="101"/>
      <c r="N359" s="101"/>
      <c r="O359" s="101"/>
      <c r="P359" s="101"/>
      <c r="Q359" s="101"/>
    </row>
    <row r="360" spans="1:17" ht="14.25" customHeight="1">
      <c r="A360" s="101"/>
      <c r="B360" s="101"/>
      <c r="C360" s="101"/>
      <c r="D360" s="101"/>
      <c r="E360" s="102"/>
      <c r="F360" s="102"/>
      <c r="G360" s="102"/>
      <c r="H360" s="101"/>
      <c r="I360" s="101"/>
      <c r="J360" s="101"/>
      <c r="K360" s="101"/>
      <c r="L360" s="101"/>
      <c r="M360" s="101"/>
      <c r="N360" s="101"/>
      <c r="O360" s="101"/>
      <c r="P360" s="101"/>
      <c r="Q360" s="101"/>
    </row>
    <row r="361" spans="1:17" ht="14.25" customHeight="1">
      <c r="A361" s="101"/>
      <c r="B361" s="101"/>
      <c r="C361" s="101"/>
      <c r="D361" s="101"/>
      <c r="E361" s="102"/>
      <c r="F361" s="102"/>
      <c r="G361" s="102"/>
      <c r="H361" s="101"/>
      <c r="I361" s="101"/>
      <c r="J361" s="101"/>
      <c r="K361" s="101"/>
      <c r="L361" s="101"/>
      <c r="M361" s="101"/>
      <c r="N361" s="101"/>
      <c r="O361" s="101"/>
      <c r="P361" s="101"/>
      <c r="Q361" s="101"/>
    </row>
    <row r="362" spans="1:17" ht="14.25" customHeight="1">
      <c r="A362" s="101"/>
      <c r="B362" s="101"/>
      <c r="C362" s="101"/>
      <c r="D362" s="101"/>
      <c r="E362" s="102"/>
      <c r="F362" s="102"/>
      <c r="G362" s="102"/>
      <c r="H362" s="101"/>
      <c r="I362" s="101"/>
      <c r="J362" s="101"/>
      <c r="K362" s="101"/>
      <c r="L362" s="101"/>
      <c r="M362" s="101"/>
      <c r="N362" s="101"/>
      <c r="O362" s="101"/>
      <c r="P362" s="101"/>
      <c r="Q362" s="101"/>
    </row>
    <row r="363" spans="1:17" ht="14.25" customHeight="1">
      <c r="A363" s="101"/>
      <c r="B363" s="101"/>
      <c r="C363" s="101"/>
      <c r="D363" s="101"/>
      <c r="E363" s="102"/>
      <c r="F363" s="102"/>
      <c r="G363" s="102"/>
      <c r="H363" s="101"/>
      <c r="I363" s="101"/>
      <c r="J363" s="101"/>
      <c r="K363" s="101"/>
      <c r="L363" s="101"/>
      <c r="M363" s="101"/>
      <c r="N363" s="101"/>
      <c r="O363" s="101"/>
      <c r="P363" s="101"/>
      <c r="Q363" s="101"/>
    </row>
    <row r="364" spans="1:17" ht="14.25" customHeight="1">
      <c r="A364" s="101"/>
      <c r="B364" s="101"/>
      <c r="C364" s="101"/>
      <c r="D364" s="101"/>
      <c r="E364" s="102"/>
      <c r="F364" s="102"/>
      <c r="G364" s="102"/>
      <c r="H364" s="101"/>
      <c r="I364" s="101"/>
      <c r="J364" s="101"/>
      <c r="K364" s="101"/>
      <c r="L364" s="101"/>
      <c r="M364" s="101"/>
      <c r="N364" s="101"/>
      <c r="O364" s="101"/>
      <c r="P364" s="101"/>
      <c r="Q364" s="101"/>
    </row>
    <row r="365" spans="1:17" ht="14.25" customHeight="1">
      <c r="A365" s="101"/>
      <c r="B365" s="101"/>
      <c r="C365" s="101"/>
      <c r="D365" s="101"/>
      <c r="E365" s="102"/>
      <c r="F365" s="102"/>
      <c r="G365" s="102"/>
      <c r="H365" s="101"/>
      <c r="I365" s="101"/>
      <c r="J365" s="101"/>
      <c r="K365" s="101"/>
      <c r="L365" s="101"/>
      <c r="M365" s="101"/>
      <c r="N365" s="101"/>
      <c r="O365" s="101"/>
      <c r="P365" s="101"/>
      <c r="Q365" s="101"/>
    </row>
    <row r="366" spans="1:17" ht="14.25" customHeight="1">
      <c r="A366" s="101"/>
      <c r="B366" s="101"/>
      <c r="C366" s="101"/>
      <c r="D366" s="101"/>
      <c r="E366" s="102"/>
      <c r="F366" s="102"/>
      <c r="G366" s="102"/>
      <c r="H366" s="101"/>
      <c r="I366" s="101"/>
      <c r="J366" s="101"/>
      <c r="K366" s="101"/>
      <c r="L366" s="101"/>
      <c r="M366" s="101"/>
      <c r="N366" s="101"/>
      <c r="O366" s="101"/>
      <c r="P366" s="101"/>
      <c r="Q366" s="101"/>
    </row>
    <row r="367" spans="1:17" ht="14.25" customHeight="1">
      <c r="A367" s="101"/>
      <c r="B367" s="101"/>
      <c r="C367" s="101"/>
      <c r="D367" s="101"/>
      <c r="E367" s="102"/>
      <c r="F367" s="102"/>
      <c r="G367" s="102"/>
      <c r="H367" s="101"/>
      <c r="I367" s="101"/>
      <c r="J367" s="101"/>
      <c r="K367" s="101"/>
      <c r="L367" s="101"/>
      <c r="M367" s="101"/>
      <c r="N367" s="101"/>
      <c r="O367" s="101"/>
      <c r="P367" s="101"/>
      <c r="Q367" s="101"/>
    </row>
    <row r="368" spans="1:17" ht="15.75" customHeight="1">
      <c r="E368" s="102"/>
      <c r="G368" s="101"/>
    </row>
    <row r="369" spans="5:7" ht="15.75" customHeight="1">
      <c r="E369" s="102"/>
      <c r="G369" s="101"/>
    </row>
    <row r="370" spans="5:7" ht="15.75" customHeight="1">
      <c r="E370" s="102"/>
      <c r="G370" s="101"/>
    </row>
    <row r="371" spans="5:7" ht="15.75" customHeight="1">
      <c r="E371" s="102"/>
      <c r="G371" s="101"/>
    </row>
    <row r="372" spans="5:7" ht="15.75" customHeight="1">
      <c r="E372" s="102"/>
      <c r="G372" s="101"/>
    </row>
    <row r="373" spans="5:7" ht="15.75" customHeight="1">
      <c r="E373" s="102"/>
      <c r="G373" s="101"/>
    </row>
    <row r="374" spans="5:7" ht="15.75" customHeight="1">
      <c r="E374" s="102"/>
      <c r="G374" s="101"/>
    </row>
    <row r="375" spans="5:7" ht="15.75" customHeight="1">
      <c r="E375" s="102"/>
      <c r="G375" s="101"/>
    </row>
    <row r="376" spans="5:7" ht="15.75" customHeight="1">
      <c r="E376" s="102"/>
      <c r="G376" s="101"/>
    </row>
    <row r="377" spans="5:7" ht="15.75" customHeight="1">
      <c r="E377" s="102"/>
      <c r="G377" s="101"/>
    </row>
    <row r="378" spans="5:7" ht="15.75" customHeight="1">
      <c r="E378" s="102"/>
      <c r="G378" s="101"/>
    </row>
    <row r="379" spans="5:7" ht="15.75" customHeight="1">
      <c r="E379" s="102"/>
      <c r="G379" s="101"/>
    </row>
    <row r="380" spans="5:7" ht="15.75" customHeight="1">
      <c r="E380" s="102"/>
      <c r="G380" s="101"/>
    </row>
    <row r="381" spans="5:7" ht="15.75" customHeight="1">
      <c r="E381" s="102"/>
      <c r="G381" s="101"/>
    </row>
    <row r="382" spans="5:7" ht="15.75" customHeight="1">
      <c r="E382" s="102"/>
      <c r="G382" s="101"/>
    </row>
    <row r="383" spans="5:7" ht="15.75" customHeight="1">
      <c r="E383" s="102"/>
      <c r="G383" s="101"/>
    </row>
    <row r="384" spans="5:7" ht="15.75" customHeight="1">
      <c r="E384" s="102"/>
      <c r="G384" s="101"/>
    </row>
    <row r="385" spans="5:7" ht="15.75" customHeight="1">
      <c r="E385" s="102"/>
      <c r="G385" s="101"/>
    </row>
    <row r="386" spans="5:7" ht="15.75" customHeight="1">
      <c r="E386" s="102"/>
      <c r="G386" s="101"/>
    </row>
    <row r="387" spans="5:7" ht="15.75" customHeight="1">
      <c r="E387" s="102"/>
      <c r="G387" s="101"/>
    </row>
    <row r="388" spans="5:7" ht="15.75" customHeight="1">
      <c r="E388" s="102"/>
      <c r="G388" s="101"/>
    </row>
    <row r="389" spans="5:7" ht="15.75" customHeight="1">
      <c r="E389" s="102"/>
      <c r="G389" s="101"/>
    </row>
    <row r="390" spans="5:7" ht="15.75" customHeight="1">
      <c r="E390" s="102"/>
      <c r="G390" s="101"/>
    </row>
    <row r="391" spans="5:7" ht="15.75" customHeight="1">
      <c r="E391" s="102"/>
      <c r="G391" s="101"/>
    </row>
    <row r="392" spans="5:7" ht="15.75" customHeight="1">
      <c r="E392" s="102"/>
      <c r="G392" s="101"/>
    </row>
    <row r="393" spans="5:7" ht="15.75" customHeight="1">
      <c r="E393" s="102"/>
      <c r="G393" s="101"/>
    </row>
    <row r="394" spans="5:7" ht="15.75" customHeight="1">
      <c r="E394" s="102"/>
      <c r="G394" s="101"/>
    </row>
    <row r="395" spans="5:7" ht="15.75" customHeight="1">
      <c r="E395" s="102"/>
      <c r="G395" s="101"/>
    </row>
    <row r="396" spans="5:7" ht="15.75" customHeight="1">
      <c r="E396" s="102"/>
      <c r="G396" s="101"/>
    </row>
    <row r="397" spans="5:7" ht="15.75" customHeight="1">
      <c r="E397" s="102"/>
      <c r="G397" s="101"/>
    </row>
    <row r="398" spans="5:7" ht="15.75" customHeight="1">
      <c r="E398" s="102"/>
      <c r="G398" s="101"/>
    </row>
    <row r="399" spans="5:7" ht="15.75" customHeight="1">
      <c r="E399" s="102"/>
      <c r="G399" s="101"/>
    </row>
    <row r="400" spans="5:7" ht="15.75" customHeight="1">
      <c r="E400" s="102"/>
      <c r="G400" s="101"/>
    </row>
    <row r="401" spans="5:7" ht="15.75" customHeight="1">
      <c r="E401" s="102"/>
      <c r="G401" s="101"/>
    </row>
    <row r="402" spans="5:7" ht="15.75" customHeight="1">
      <c r="E402" s="102"/>
      <c r="G402" s="101"/>
    </row>
    <row r="403" spans="5:7" ht="15.75" customHeight="1">
      <c r="E403" s="102"/>
      <c r="G403" s="101"/>
    </row>
    <row r="404" spans="5:7" ht="15.75" customHeight="1">
      <c r="E404" s="102"/>
      <c r="G404" s="101"/>
    </row>
    <row r="405" spans="5:7" ht="15.75" customHeight="1">
      <c r="E405" s="102"/>
      <c r="G405" s="101"/>
    </row>
    <row r="406" spans="5:7" ht="15.75" customHeight="1">
      <c r="E406" s="102"/>
      <c r="G406" s="101"/>
    </row>
    <row r="407" spans="5:7" ht="15.75" customHeight="1">
      <c r="E407" s="102"/>
      <c r="G407" s="101"/>
    </row>
    <row r="408" spans="5:7" ht="15.75" customHeight="1">
      <c r="E408" s="102"/>
      <c r="G408" s="101"/>
    </row>
    <row r="409" spans="5:7" ht="15.75" customHeight="1">
      <c r="E409" s="102"/>
      <c r="G409" s="101"/>
    </row>
    <row r="410" spans="5:7" ht="15.75" customHeight="1">
      <c r="E410" s="102"/>
      <c r="G410" s="101"/>
    </row>
    <row r="411" spans="5:7" ht="15.75" customHeight="1">
      <c r="E411" s="102"/>
      <c r="G411" s="101"/>
    </row>
    <row r="412" spans="5:7" ht="15.75" customHeight="1">
      <c r="E412" s="102"/>
      <c r="G412" s="101"/>
    </row>
    <row r="413" spans="5:7" ht="15.75" customHeight="1">
      <c r="E413" s="102"/>
      <c r="G413" s="101"/>
    </row>
    <row r="414" spans="5:7" ht="15.75" customHeight="1">
      <c r="E414" s="102"/>
      <c r="G414" s="101"/>
    </row>
    <row r="415" spans="5:7" ht="15.75" customHeight="1">
      <c r="E415" s="102"/>
      <c r="G415" s="101"/>
    </row>
    <row r="416" spans="5:7" ht="15.75" customHeight="1">
      <c r="E416" s="102"/>
      <c r="G416" s="101"/>
    </row>
    <row r="417" spans="5:7" ht="15.75" customHeight="1">
      <c r="E417" s="102"/>
      <c r="G417" s="101"/>
    </row>
    <row r="418" spans="5:7" ht="15.75" customHeight="1">
      <c r="E418" s="102"/>
      <c r="G418" s="101"/>
    </row>
    <row r="419" spans="5:7" ht="15.75" customHeight="1">
      <c r="E419" s="102"/>
      <c r="G419" s="101"/>
    </row>
    <row r="420" spans="5:7" ht="15.75" customHeight="1">
      <c r="E420" s="102"/>
      <c r="G420" s="101"/>
    </row>
    <row r="421" spans="5:7" ht="15.75" customHeight="1">
      <c r="E421" s="102"/>
      <c r="G421" s="101"/>
    </row>
    <row r="422" spans="5:7" ht="15.75" customHeight="1">
      <c r="E422" s="102"/>
      <c r="G422" s="101"/>
    </row>
    <row r="423" spans="5:7" ht="15.75" customHeight="1">
      <c r="E423" s="102"/>
      <c r="G423" s="101"/>
    </row>
    <row r="424" spans="5:7" ht="15.75" customHeight="1">
      <c r="E424" s="102"/>
      <c r="G424" s="101"/>
    </row>
    <row r="425" spans="5:7" ht="15.75" customHeight="1">
      <c r="E425" s="102"/>
      <c r="G425" s="101"/>
    </row>
    <row r="426" spans="5:7" ht="15.75" customHeight="1">
      <c r="E426" s="102"/>
      <c r="G426" s="101"/>
    </row>
    <row r="427" spans="5:7" ht="15.75" customHeight="1">
      <c r="E427" s="102"/>
      <c r="G427" s="101"/>
    </row>
    <row r="428" spans="5:7" ht="15.75" customHeight="1">
      <c r="E428" s="102"/>
      <c r="G428" s="101"/>
    </row>
    <row r="429" spans="5:7" ht="15.75" customHeight="1">
      <c r="E429" s="102"/>
      <c r="G429" s="101"/>
    </row>
    <row r="430" spans="5:7" ht="15.75" customHeight="1">
      <c r="E430" s="102"/>
      <c r="G430" s="101"/>
    </row>
    <row r="431" spans="5:7" ht="15.75" customHeight="1">
      <c r="E431" s="102"/>
      <c r="G431" s="101"/>
    </row>
    <row r="432" spans="5:7" ht="15.75" customHeight="1">
      <c r="E432" s="102"/>
      <c r="G432" s="101"/>
    </row>
    <row r="433" spans="5:7" ht="15.75" customHeight="1">
      <c r="E433" s="102"/>
      <c r="G433" s="101"/>
    </row>
    <row r="434" spans="5:7" ht="15.75" customHeight="1">
      <c r="E434" s="102"/>
      <c r="G434" s="101"/>
    </row>
    <row r="435" spans="5:7" ht="15.75" customHeight="1">
      <c r="E435" s="102"/>
      <c r="G435" s="101"/>
    </row>
    <row r="436" spans="5:7" ht="15.75" customHeight="1">
      <c r="E436" s="102"/>
      <c r="G436" s="101"/>
    </row>
    <row r="437" spans="5:7" ht="15.75" customHeight="1">
      <c r="E437" s="102"/>
      <c r="G437" s="101"/>
    </row>
    <row r="438" spans="5:7" ht="15.75" customHeight="1">
      <c r="E438" s="102"/>
      <c r="G438" s="101"/>
    </row>
    <row r="439" spans="5:7" ht="15.75" customHeight="1">
      <c r="E439" s="102"/>
      <c r="G439" s="101"/>
    </row>
    <row r="440" spans="5:7" ht="15.75" customHeight="1">
      <c r="E440" s="102"/>
      <c r="G440" s="101"/>
    </row>
    <row r="441" spans="5:7" ht="15.75" customHeight="1">
      <c r="E441" s="102"/>
      <c r="G441" s="101"/>
    </row>
    <row r="442" spans="5:7" ht="15.75" customHeight="1">
      <c r="E442" s="102"/>
      <c r="G442" s="101"/>
    </row>
    <row r="443" spans="5:7" ht="15.75" customHeight="1">
      <c r="E443" s="102"/>
      <c r="G443" s="101"/>
    </row>
    <row r="444" spans="5:7" ht="15.75" customHeight="1">
      <c r="E444" s="102"/>
      <c r="G444" s="101"/>
    </row>
    <row r="445" spans="5:7" ht="15.75" customHeight="1">
      <c r="E445" s="102"/>
      <c r="G445" s="101"/>
    </row>
    <row r="446" spans="5:7" ht="15.75" customHeight="1">
      <c r="E446" s="102"/>
      <c r="G446" s="101"/>
    </row>
    <row r="447" spans="5:7" ht="15.75" customHeight="1">
      <c r="E447" s="102"/>
      <c r="G447" s="101"/>
    </row>
    <row r="448" spans="5:7" ht="15.75" customHeight="1">
      <c r="E448" s="102"/>
      <c r="G448" s="101"/>
    </row>
    <row r="449" spans="5:7" ht="15.75" customHeight="1">
      <c r="E449" s="102"/>
      <c r="G449" s="101"/>
    </row>
    <row r="450" spans="5:7" ht="15.75" customHeight="1">
      <c r="E450" s="102"/>
      <c r="G450" s="101"/>
    </row>
    <row r="451" spans="5:7" ht="15.75" customHeight="1">
      <c r="E451" s="102"/>
      <c r="G451" s="101"/>
    </row>
    <row r="452" spans="5:7" ht="15.75" customHeight="1">
      <c r="E452" s="102"/>
      <c r="G452" s="101"/>
    </row>
    <row r="453" spans="5:7" ht="15.75" customHeight="1">
      <c r="E453" s="102"/>
      <c r="G453" s="101"/>
    </row>
    <row r="454" spans="5:7" ht="15.75" customHeight="1">
      <c r="E454" s="102"/>
      <c r="G454" s="101"/>
    </row>
    <row r="455" spans="5:7" ht="15.75" customHeight="1">
      <c r="E455" s="102"/>
      <c r="G455" s="101"/>
    </row>
    <row r="456" spans="5:7" ht="15.75" customHeight="1">
      <c r="E456" s="102"/>
      <c r="G456" s="101"/>
    </row>
    <row r="457" spans="5:7" ht="15.75" customHeight="1">
      <c r="E457" s="102"/>
      <c r="G457" s="101"/>
    </row>
    <row r="458" spans="5:7" ht="15.75" customHeight="1">
      <c r="E458" s="102"/>
      <c r="G458" s="101"/>
    </row>
    <row r="459" spans="5:7" ht="15.75" customHeight="1">
      <c r="E459" s="102"/>
      <c r="G459" s="101"/>
    </row>
    <row r="460" spans="5:7" ht="15.75" customHeight="1">
      <c r="E460" s="102"/>
      <c r="G460" s="101"/>
    </row>
    <row r="461" spans="5:7" ht="15.75" customHeight="1">
      <c r="E461" s="102"/>
      <c r="G461" s="101"/>
    </row>
    <row r="462" spans="5:7" ht="15.75" customHeight="1">
      <c r="E462" s="102"/>
      <c r="G462" s="101"/>
    </row>
    <row r="463" spans="5:7" ht="15.75" customHeight="1">
      <c r="E463" s="102"/>
      <c r="G463" s="101"/>
    </row>
    <row r="464" spans="5:7" ht="15.75" customHeight="1">
      <c r="E464" s="102"/>
      <c r="G464" s="101"/>
    </row>
    <row r="465" spans="5:7" ht="15.75" customHeight="1">
      <c r="E465" s="102"/>
      <c r="G465" s="101"/>
    </row>
    <row r="466" spans="5:7" ht="15.75" customHeight="1">
      <c r="E466" s="102"/>
      <c r="G466" s="101"/>
    </row>
    <row r="467" spans="5:7" ht="15.75" customHeight="1">
      <c r="E467" s="102"/>
      <c r="G467" s="101"/>
    </row>
    <row r="468" spans="5:7" ht="15.75" customHeight="1">
      <c r="E468" s="102"/>
      <c r="G468" s="101"/>
    </row>
    <row r="469" spans="5:7" ht="15.75" customHeight="1">
      <c r="E469" s="102"/>
      <c r="G469" s="101"/>
    </row>
    <row r="470" spans="5:7" ht="15.75" customHeight="1">
      <c r="E470" s="102"/>
      <c r="G470" s="101"/>
    </row>
    <row r="471" spans="5:7" ht="15.75" customHeight="1">
      <c r="E471" s="102"/>
      <c r="G471" s="101"/>
    </row>
    <row r="472" spans="5:7" ht="15.75" customHeight="1">
      <c r="E472" s="102"/>
      <c r="G472" s="101"/>
    </row>
    <row r="473" spans="5:7" ht="15.75" customHeight="1">
      <c r="E473" s="102"/>
      <c r="G473" s="101"/>
    </row>
    <row r="474" spans="5:7" ht="15.75" customHeight="1">
      <c r="E474" s="102"/>
      <c r="G474" s="101"/>
    </row>
    <row r="475" spans="5:7" ht="15.75" customHeight="1">
      <c r="E475" s="102"/>
      <c r="G475" s="101"/>
    </row>
    <row r="476" spans="5:7" ht="15.75" customHeight="1">
      <c r="E476" s="102"/>
      <c r="G476" s="101"/>
    </row>
    <row r="477" spans="5:7" ht="15.75" customHeight="1">
      <c r="E477" s="102"/>
      <c r="G477" s="101"/>
    </row>
    <row r="478" spans="5:7" ht="15.75" customHeight="1">
      <c r="E478" s="102"/>
      <c r="G478" s="101"/>
    </row>
    <row r="479" spans="5:7" ht="15.75" customHeight="1">
      <c r="E479" s="102"/>
      <c r="G479" s="101"/>
    </row>
    <row r="480" spans="5:7" ht="15.75" customHeight="1">
      <c r="E480" s="102"/>
      <c r="G480" s="101"/>
    </row>
    <row r="481" spans="5:7" ht="15.75" customHeight="1">
      <c r="E481" s="102"/>
      <c r="G481" s="101"/>
    </row>
    <row r="482" spans="5:7" ht="15.75" customHeight="1">
      <c r="E482" s="102"/>
      <c r="G482" s="101"/>
    </row>
    <row r="483" spans="5:7" ht="15.75" customHeight="1">
      <c r="E483" s="102"/>
      <c r="G483" s="101"/>
    </row>
    <row r="484" spans="5:7" ht="15.75" customHeight="1">
      <c r="E484" s="102"/>
      <c r="G484" s="101"/>
    </row>
    <row r="485" spans="5:7" ht="15.75" customHeight="1">
      <c r="E485" s="102"/>
      <c r="G485" s="101"/>
    </row>
    <row r="486" spans="5:7" ht="15.75" customHeight="1">
      <c r="E486" s="102"/>
      <c r="G486" s="101"/>
    </row>
    <row r="487" spans="5:7" ht="15.75" customHeight="1">
      <c r="E487" s="102"/>
      <c r="G487" s="101"/>
    </row>
    <row r="488" spans="5:7" ht="15.75" customHeight="1">
      <c r="E488" s="102"/>
      <c r="G488" s="101"/>
    </row>
    <row r="489" spans="5:7" ht="15.75" customHeight="1">
      <c r="E489" s="102"/>
      <c r="G489" s="101"/>
    </row>
    <row r="490" spans="5:7" ht="15.75" customHeight="1">
      <c r="E490" s="102"/>
      <c r="G490" s="101"/>
    </row>
    <row r="491" spans="5:7" ht="15.75" customHeight="1">
      <c r="E491" s="102"/>
      <c r="G491" s="101"/>
    </row>
    <row r="492" spans="5:7" ht="15.75" customHeight="1">
      <c r="E492" s="102"/>
      <c r="G492" s="101"/>
    </row>
    <row r="493" spans="5:7" ht="15.75" customHeight="1">
      <c r="E493" s="102"/>
      <c r="G493" s="101"/>
    </row>
    <row r="494" spans="5:7" ht="15.75" customHeight="1">
      <c r="E494" s="102"/>
      <c r="G494" s="101"/>
    </row>
    <row r="495" spans="5:7" ht="15.75" customHeight="1">
      <c r="E495" s="102"/>
      <c r="G495" s="101"/>
    </row>
    <row r="496" spans="5:7" ht="15.75" customHeight="1">
      <c r="E496" s="102"/>
      <c r="G496" s="101"/>
    </row>
    <row r="497" spans="5:7" ht="15.75" customHeight="1">
      <c r="E497" s="102"/>
      <c r="G497" s="101"/>
    </row>
    <row r="498" spans="5:7" ht="15.75" customHeight="1">
      <c r="E498" s="102"/>
      <c r="G498" s="101"/>
    </row>
    <row r="499" spans="5:7" ht="15.75" customHeight="1">
      <c r="E499" s="102"/>
      <c r="G499" s="101"/>
    </row>
    <row r="500" spans="5:7" ht="15.75" customHeight="1">
      <c r="E500" s="102"/>
      <c r="G500" s="101"/>
    </row>
    <row r="501" spans="5:7" ht="15.75" customHeight="1">
      <c r="E501" s="102"/>
      <c r="G501" s="101"/>
    </row>
    <row r="502" spans="5:7" ht="15.75" customHeight="1">
      <c r="E502" s="102"/>
      <c r="G502" s="101"/>
    </row>
    <row r="503" spans="5:7" ht="15.75" customHeight="1">
      <c r="E503" s="102"/>
      <c r="G503" s="101"/>
    </row>
    <row r="504" spans="5:7" ht="15.75" customHeight="1">
      <c r="E504" s="102"/>
      <c r="G504" s="101"/>
    </row>
    <row r="505" spans="5:7" ht="15.75" customHeight="1">
      <c r="E505" s="102"/>
      <c r="G505" s="101"/>
    </row>
    <row r="506" spans="5:7" ht="15.75" customHeight="1">
      <c r="E506" s="102"/>
      <c r="G506" s="101"/>
    </row>
    <row r="507" spans="5:7" ht="15.75" customHeight="1">
      <c r="E507" s="102"/>
      <c r="G507" s="101"/>
    </row>
    <row r="508" spans="5:7" ht="15.75" customHeight="1">
      <c r="E508" s="102"/>
      <c r="G508" s="101"/>
    </row>
    <row r="509" spans="5:7" ht="15.75" customHeight="1">
      <c r="E509" s="102"/>
      <c r="G509" s="101"/>
    </row>
    <row r="510" spans="5:7" ht="15.75" customHeight="1">
      <c r="E510" s="102"/>
      <c r="G510" s="101"/>
    </row>
    <row r="511" spans="5:7" ht="15.75" customHeight="1">
      <c r="E511" s="102"/>
      <c r="G511" s="101"/>
    </row>
    <row r="512" spans="5:7" ht="15.75" customHeight="1">
      <c r="E512" s="102"/>
      <c r="G512" s="101"/>
    </row>
    <row r="513" spans="5:7" ht="15.75" customHeight="1">
      <c r="E513" s="102"/>
      <c r="G513" s="101"/>
    </row>
    <row r="514" spans="5:7" ht="15.75" customHeight="1">
      <c r="E514" s="102"/>
      <c r="G514" s="101"/>
    </row>
    <row r="515" spans="5:7" ht="15.75" customHeight="1">
      <c r="E515" s="102"/>
      <c r="G515" s="101"/>
    </row>
    <row r="516" spans="5:7" ht="15.75" customHeight="1">
      <c r="E516" s="102"/>
      <c r="G516" s="101"/>
    </row>
    <row r="517" spans="5:7" ht="15.75" customHeight="1">
      <c r="E517" s="102"/>
      <c r="G517" s="101"/>
    </row>
    <row r="518" spans="5:7" ht="15.75" customHeight="1">
      <c r="E518" s="102"/>
      <c r="G518" s="101"/>
    </row>
    <row r="519" spans="5:7" ht="15.75" customHeight="1">
      <c r="E519" s="102"/>
      <c r="G519" s="101"/>
    </row>
    <row r="520" spans="5:7" ht="15.75" customHeight="1">
      <c r="E520" s="102"/>
      <c r="G520" s="101"/>
    </row>
    <row r="521" spans="5:7" ht="15.75" customHeight="1">
      <c r="E521" s="102"/>
      <c r="G521" s="101"/>
    </row>
    <row r="522" spans="5:7" ht="15.75" customHeight="1">
      <c r="E522" s="102"/>
      <c r="G522" s="101"/>
    </row>
    <row r="523" spans="5:7" ht="15.75" customHeight="1">
      <c r="E523" s="102"/>
      <c r="G523" s="101"/>
    </row>
    <row r="524" spans="5:7" ht="15.75" customHeight="1">
      <c r="E524" s="102"/>
      <c r="G524" s="101"/>
    </row>
    <row r="525" spans="5:7" ht="15.75" customHeight="1">
      <c r="E525" s="102"/>
      <c r="G525" s="101"/>
    </row>
    <row r="526" spans="5:7" ht="15.75" customHeight="1">
      <c r="E526" s="102"/>
      <c r="G526" s="101"/>
    </row>
    <row r="527" spans="5:7" ht="15.75" customHeight="1">
      <c r="E527" s="102"/>
      <c r="G527" s="101"/>
    </row>
    <row r="528" spans="5:7" ht="15.75" customHeight="1">
      <c r="E528" s="102"/>
      <c r="G528" s="101"/>
    </row>
    <row r="529" spans="5:7" ht="15.75" customHeight="1">
      <c r="E529" s="102"/>
      <c r="G529" s="101"/>
    </row>
    <row r="530" spans="5:7" ht="15.75" customHeight="1">
      <c r="E530" s="102"/>
      <c r="G530" s="101"/>
    </row>
    <row r="531" spans="5:7" ht="15.75" customHeight="1">
      <c r="E531" s="102"/>
      <c r="G531" s="101"/>
    </row>
    <row r="532" spans="5:7" ht="15.75" customHeight="1">
      <c r="E532" s="102"/>
      <c r="G532" s="101"/>
    </row>
    <row r="533" spans="5:7" ht="15.75" customHeight="1">
      <c r="E533" s="102"/>
      <c r="G533" s="101"/>
    </row>
    <row r="534" spans="5:7" ht="15.75" customHeight="1">
      <c r="E534" s="102"/>
      <c r="G534" s="101"/>
    </row>
    <row r="535" spans="5:7" ht="15.75" customHeight="1">
      <c r="E535" s="102"/>
      <c r="G535" s="101"/>
    </row>
    <row r="536" spans="5:7" ht="15.75" customHeight="1">
      <c r="E536" s="102"/>
      <c r="G536" s="101"/>
    </row>
    <row r="537" spans="5:7" ht="15.75" customHeight="1">
      <c r="E537" s="102"/>
      <c r="G537" s="101"/>
    </row>
    <row r="538" spans="5:7" ht="15.75" customHeight="1">
      <c r="E538" s="102"/>
      <c r="G538" s="101"/>
    </row>
    <row r="539" spans="5:7" ht="15.75" customHeight="1">
      <c r="E539" s="102"/>
      <c r="G539" s="101"/>
    </row>
    <row r="540" spans="5:7" ht="15.75" customHeight="1">
      <c r="E540" s="102"/>
      <c r="G540" s="101"/>
    </row>
    <row r="541" spans="5:7" ht="15.75" customHeight="1">
      <c r="E541" s="102"/>
      <c r="G541" s="101"/>
    </row>
    <row r="542" spans="5:7" ht="15.75" customHeight="1">
      <c r="E542" s="102"/>
      <c r="G542" s="101"/>
    </row>
    <row r="543" spans="5:7" ht="15.75" customHeight="1">
      <c r="E543" s="102"/>
      <c r="G543" s="101"/>
    </row>
    <row r="544" spans="5:7" ht="15.75" customHeight="1">
      <c r="E544" s="102"/>
      <c r="G544" s="101"/>
    </row>
    <row r="545" spans="5:7" ht="15.75" customHeight="1">
      <c r="E545" s="102"/>
      <c r="G545" s="101"/>
    </row>
    <row r="546" spans="5:7" ht="15.75" customHeight="1">
      <c r="E546" s="102"/>
      <c r="G546" s="101"/>
    </row>
    <row r="547" spans="5:7" ht="15.75" customHeight="1">
      <c r="E547" s="102"/>
      <c r="G547" s="101"/>
    </row>
    <row r="548" spans="5:7" ht="15.75" customHeight="1">
      <c r="E548" s="102"/>
      <c r="G548" s="101"/>
    </row>
    <row r="549" spans="5:7" ht="15.75" customHeight="1">
      <c r="E549" s="102"/>
      <c r="G549" s="101"/>
    </row>
    <row r="550" spans="5:7" ht="15.75" customHeight="1">
      <c r="E550" s="102"/>
      <c r="G550" s="101"/>
    </row>
    <row r="551" spans="5:7" ht="15.75" customHeight="1">
      <c r="E551" s="102"/>
      <c r="G551" s="101"/>
    </row>
    <row r="552" spans="5:7" ht="15.75" customHeight="1">
      <c r="E552" s="102"/>
      <c r="G552" s="101"/>
    </row>
    <row r="553" spans="5:7" ht="15.75" customHeight="1">
      <c r="E553" s="102"/>
      <c r="G553" s="101"/>
    </row>
    <row r="554" spans="5:7" ht="15.75" customHeight="1">
      <c r="E554" s="102"/>
      <c r="G554" s="101"/>
    </row>
    <row r="555" spans="5:7" ht="15.75" customHeight="1">
      <c r="E555" s="102"/>
      <c r="G555" s="101"/>
    </row>
    <row r="556" spans="5:7" ht="15.75" customHeight="1">
      <c r="E556" s="102"/>
      <c r="G556" s="101"/>
    </row>
    <row r="557" spans="5:7" ht="15.75" customHeight="1">
      <c r="E557" s="102"/>
      <c r="G557" s="101"/>
    </row>
    <row r="558" spans="5:7" ht="15.75" customHeight="1">
      <c r="E558" s="102"/>
      <c r="G558" s="101"/>
    </row>
    <row r="559" spans="5:7" ht="15.75" customHeight="1">
      <c r="E559" s="102"/>
      <c r="G559" s="101"/>
    </row>
    <row r="560" spans="5:7" ht="15.75" customHeight="1">
      <c r="E560" s="102"/>
      <c r="G560" s="101"/>
    </row>
    <row r="561" spans="5:7" ht="15.75" customHeight="1">
      <c r="E561" s="102"/>
      <c r="G561" s="101"/>
    </row>
    <row r="562" spans="5:7" ht="15.75" customHeight="1">
      <c r="E562" s="102"/>
      <c r="G562" s="101"/>
    </row>
    <row r="563" spans="5:7" ht="15.75" customHeight="1">
      <c r="E563" s="102"/>
      <c r="G563" s="101"/>
    </row>
    <row r="564" spans="5:7" ht="15.75" customHeight="1">
      <c r="E564" s="102"/>
      <c r="G564" s="101"/>
    </row>
    <row r="565" spans="5:7" ht="15.75" customHeight="1">
      <c r="E565" s="102"/>
      <c r="G565" s="101"/>
    </row>
    <row r="566" spans="5:7" ht="15.75" customHeight="1">
      <c r="E566" s="102"/>
      <c r="G566" s="101"/>
    </row>
    <row r="567" spans="5:7" ht="15.75" customHeight="1">
      <c r="E567" s="102"/>
      <c r="G567" s="101"/>
    </row>
    <row r="568" spans="5:7" ht="15.75" customHeight="1">
      <c r="E568" s="102"/>
      <c r="G568" s="101"/>
    </row>
    <row r="569" spans="5:7" ht="15.75" customHeight="1">
      <c r="E569" s="102"/>
      <c r="G569" s="101"/>
    </row>
    <row r="570" spans="5:7" ht="15.75" customHeight="1">
      <c r="E570" s="102"/>
      <c r="G570" s="101"/>
    </row>
    <row r="571" spans="5:7" ht="15.75" customHeight="1">
      <c r="E571" s="102"/>
      <c r="G571" s="101"/>
    </row>
    <row r="572" spans="5:7" ht="15.75" customHeight="1">
      <c r="E572" s="102"/>
      <c r="G572" s="101"/>
    </row>
    <row r="573" spans="5:7" ht="15.75" customHeight="1">
      <c r="E573" s="102"/>
      <c r="G573" s="101"/>
    </row>
    <row r="574" spans="5:7" ht="15.75" customHeight="1">
      <c r="E574" s="102"/>
      <c r="G574" s="101"/>
    </row>
    <row r="575" spans="5:7" ht="15.75" customHeight="1">
      <c r="E575" s="102"/>
      <c r="G575" s="101"/>
    </row>
    <row r="576" spans="5:7" ht="15.75" customHeight="1">
      <c r="E576" s="102"/>
      <c r="G576" s="101"/>
    </row>
    <row r="577" spans="5:7" ht="15.75" customHeight="1">
      <c r="E577" s="102"/>
      <c r="G577" s="101"/>
    </row>
    <row r="578" spans="5:7" ht="15.75" customHeight="1">
      <c r="E578" s="102"/>
      <c r="G578" s="101"/>
    </row>
    <row r="579" spans="5:7" ht="15.75" customHeight="1">
      <c r="E579" s="102"/>
      <c r="G579" s="101"/>
    </row>
    <row r="580" spans="5:7" ht="15.75" customHeight="1">
      <c r="E580" s="102"/>
      <c r="G580" s="101"/>
    </row>
    <row r="581" spans="5:7" ht="15.75" customHeight="1">
      <c r="E581" s="102"/>
      <c r="G581" s="101"/>
    </row>
    <row r="582" spans="5:7" ht="15.75" customHeight="1">
      <c r="E582" s="102"/>
      <c r="G582" s="101"/>
    </row>
    <row r="583" spans="5:7" ht="15.75" customHeight="1">
      <c r="E583" s="102"/>
      <c r="G583" s="101"/>
    </row>
    <row r="584" spans="5:7" ht="15.75" customHeight="1">
      <c r="E584" s="102"/>
      <c r="G584" s="101"/>
    </row>
    <row r="585" spans="5:7" ht="15.75" customHeight="1">
      <c r="E585" s="102"/>
      <c r="G585" s="101"/>
    </row>
    <row r="586" spans="5:7" ht="15.75" customHeight="1">
      <c r="E586" s="102"/>
      <c r="G586" s="101"/>
    </row>
    <row r="587" spans="5:7" ht="15.75" customHeight="1">
      <c r="E587" s="102"/>
      <c r="G587" s="101"/>
    </row>
    <row r="588" spans="5:7" ht="15.75" customHeight="1">
      <c r="E588" s="102"/>
      <c r="G588" s="101"/>
    </row>
    <row r="589" spans="5:7" ht="15.75" customHeight="1">
      <c r="E589" s="102"/>
      <c r="G589" s="101"/>
    </row>
    <row r="590" spans="5:7" ht="15.75" customHeight="1">
      <c r="E590" s="102"/>
      <c r="G590" s="101"/>
    </row>
    <row r="591" spans="5:7" ht="15.75" customHeight="1">
      <c r="E591" s="102"/>
      <c r="G591" s="101"/>
    </row>
    <row r="592" spans="5:7" ht="15.75" customHeight="1">
      <c r="E592" s="102"/>
      <c r="G592" s="101"/>
    </row>
    <row r="593" spans="5:7" ht="15.75" customHeight="1">
      <c r="E593" s="102"/>
      <c r="G593" s="101"/>
    </row>
    <row r="594" spans="5:7" ht="15.75" customHeight="1">
      <c r="E594" s="102"/>
      <c r="G594" s="101"/>
    </row>
    <row r="595" spans="5:7" ht="15.75" customHeight="1">
      <c r="E595" s="102"/>
      <c r="G595" s="101"/>
    </row>
    <row r="596" spans="5:7" ht="15.75" customHeight="1">
      <c r="E596" s="102"/>
      <c r="G596" s="101"/>
    </row>
    <row r="597" spans="5:7" ht="15.75" customHeight="1">
      <c r="E597" s="102"/>
      <c r="G597" s="101"/>
    </row>
    <row r="598" spans="5:7" ht="15.75" customHeight="1">
      <c r="E598" s="102"/>
      <c r="G598" s="101"/>
    </row>
    <row r="599" spans="5:7" ht="15.75" customHeight="1">
      <c r="E599" s="102"/>
      <c r="G599" s="101"/>
    </row>
    <row r="600" spans="5:7" ht="15.75" customHeight="1">
      <c r="E600" s="102"/>
      <c r="G600" s="101"/>
    </row>
    <row r="601" spans="5:7" ht="15.75" customHeight="1">
      <c r="E601" s="102"/>
      <c r="G601" s="101"/>
    </row>
    <row r="602" spans="5:7" ht="15.75" customHeight="1">
      <c r="E602" s="102"/>
      <c r="G602" s="101"/>
    </row>
    <row r="603" spans="5:7" ht="15.75" customHeight="1">
      <c r="E603" s="102"/>
      <c r="G603" s="101"/>
    </row>
    <row r="604" spans="5:7" ht="15.75" customHeight="1">
      <c r="E604" s="102"/>
      <c r="G604" s="101"/>
    </row>
    <row r="605" spans="5:7" ht="15.75" customHeight="1">
      <c r="E605" s="102"/>
      <c r="G605" s="101"/>
    </row>
    <row r="606" spans="5:7" ht="15.75" customHeight="1">
      <c r="E606" s="102"/>
      <c r="G606" s="101"/>
    </row>
    <row r="607" spans="5:7" ht="15.75" customHeight="1">
      <c r="E607" s="102"/>
      <c r="G607" s="101"/>
    </row>
    <row r="608" spans="5:7" ht="15.75" customHeight="1">
      <c r="E608" s="102"/>
      <c r="G608" s="101"/>
    </row>
    <row r="609" spans="5:7" ht="15.75" customHeight="1">
      <c r="E609" s="102"/>
      <c r="G609" s="101"/>
    </row>
    <row r="610" spans="5:7" ht="15.75" customHeight="1">
      <c r="E610" s="102"/>
      <c r="G610" s="101"/>
    </row>
    <row r="611" spans="5:7" ht="15.75" customHeight="1">
      <c r="E611" s="102"/>
      <c r="G611" s="101"/>
    </row>
    <row r="612" spans="5:7" ht="15.75" customHeight="1">
      <c r="E612" s="102"/>
      <c r="G612" s="101"/>
    </row>
    <row r="613" spans="5:7" ht="15.75" customHeight="1">
      <c r="E613" s="102"/>
      <c r="G613" s="101"/>
    </row>
    <row r="614" spans="5:7" ht="15.75" customHeight="1">
      <c r="E614" s="102"/>
      <c r="G614" s="101"/>
    </row>
    <row r="615" spans="5:7" ht="15.75" customHeight="1">
      <c r="E615" s="102"/>
      <c r="G615" s="101"/>
    </row>
    <row r="616" spans="5:7" ht="15.75" customHeight="1">
      <c r="E616" s="102"/>
      <c r="G616" s="101"/>
    </row>
    <row r="617" spans="5:7" ht="15.75" customHeight="1">
      <c r="E617" s="102"/>
      <c r="G617" s="101"/>
    </row>
    <row r="618" spans="5:7" ht="15.75" customHeight="1">
      <c r="E618" s="102"/>
      <c r="G618" s="101"/>
    </row>
    <row r="619" spans="5:7" ht="15.75" customHeight="1">
      <c r="E619" s="102"/>
      <c r="G619" s="101"/>
    </row>
    <row r="620" spans="5:7" ht="15.75" customHeight="1">
      <c r="E620" s="102"/>
      <c r="G620" s="101"/>
    </row>
    <row r="621" spans="5:7" ht="15.75" customHeight="1">
      <c r="E621" s="102"/>
      <c r="G621" s="101"/>
    </row>
    <row r="622" spans="5:7" ht="15.75" customHeight="1">
      <c r="E622" s="102"/>
      <c r="G622" s="101"/>
    </row>
    <row r="623" spans="5:7" ht="15.75" customHeight="1">
      <c r="E623" s="102"/>
      <c r="G623" s="101"/>
    </row>
    <row r="624" spans="5:7" ht="15.75" customHeight="1">
      <c r="E624" s="102"/>
      <c r="G624" s="101"/>
    </row>
    <row r="625" spans="5:7" ht="15.75" customHeight="1">
      <c r="E625" s="102"/>
      <c r="G625" s="101"/>
    </row>
    <row r="626" spans="5:7" ht="15.75" customHeight="1">
      <c r="E626" s="102"/>
      <c r="G626" s="101"/>
    </row>
    <row r="627" spans="5:7" ht="15.75" customHeight="1">
      <c r="E627" s="102"/>
      <c r="G627" s="101"/>
    </row>
    <row r="628" spans="5:7" ht="15.75" customHeight="1">
      <c r="E628" s="102"/>
      <c r="G628" s="101"/>
    </row>
    <row r="629" spans="5:7" ht="15.75" customHeight="1">
      <c r="E629" s="102"/>
      <c r="G629" s="101"/>
    </row>
    <row r="630" spans="5:7" ht="15.75" customHeight="1">
      <c r="E630" s="102"/>
      <c r="G630" s="101"/>
    </row>
    <row r="631" spans="5:7" ht="15.75" customHeight="1">
      <c r="E631" s="102"/>
      <c r="G631" s="101"/>
    </row>
    <row r="632" spans="5:7" ht="15.75" customHeight="1">
      <c r="E632" s="102"/>
      <c r="G632" s="101"/>
    </row>
    <row r="633" spans="5:7" ht="15.75" customHeight="1">
      <c r="E633" s="102"/>
      <c r="G633" s="101"/>
    </row>
    <row r="634" spans="5:7" ht="15.75" customHeight="1">
      <c r="E634" s="102"/>
      <c r="G634" s="101"/>
    </row>
    <row r="635" spans="5:7" ht="15.75" customHeight="1">
      <c r="E635" s="102"/>
      <c r="G635" s="101"/>
    </row>
    <row r="636" spans="5:7" ht="15.75" customHeight="1">
      <c r="E636" s="102"/>
      <c r="G636" s="101"/>
    </row>
    <row r="637" spans="5:7" ht="15.75" customHeight="1">
      <c r="E637" s="102"/>
      <c r="G637" s="101"/>
    </row>
    <row r="638" spans="5:7" ht="15.75" customHeight="1">
      <c r="E638" s="102"/>
      <c r="G638" s="101"/>
    </row>
    <row r="639" spans="5:7" ht="15.75" customHeight="1">
      <c r="E639" s="102"/>
      <c r="G639" s="101"/>
    </row>
    <row r="640" spans="5:7" ht="15.75" customHeight="1">
      <c r="E640" s="102"/>
      <c r="G640" s="101"/>
    </row>
    <row r="641" spans="5:7" ht="15.75" customHeight="1">
      <c r="E641" s="102"/>
      <c r="G641" s="101"/>
    </row>
    <row r="642" spans="5:7" ht="15.75" customHeight="1">
      <c r="E642" s="102"/>
      <c r="G642" s="101"/>
    </row>
    <row r="643" spans="5:7" ht="15.75" customHeight="1">
      <c r="E643" s="102"/>
      <c r="G643" s="101"/>
    </row>
    <row r="644" spans="5:7" ht="15.75" customHeight="1">
      <c r="E644" s="102"/>
      <c r="G644" s="101"/>
    </row>
    <row r="645" spans="5:7" ht="15.75" customHeight="1">
      <c r="E645" s="102"/>
      <c r="G645" s="101"/>
    </row>
    <row r="646" spans="5:7" ht="15.75" customHeight="1">
      <c r="E646" s="102"/>
      <c r="G646" s="101"/>
    </row>
    <row r="647" spans="5:7" ht="15.75" customHeight="1">
      <c r="E647" s="102"/>
      <c r="G647" s="101"/>
    </row>
    <row r="648" spans="5:7" ht="15.75" customHeight="1">
      <c r="E648" s="102"/>
      <c r="G648" s="101"/>
    </row>
    <row r="649" spans="5:7" ht="15.75" customHeight="1">
      <c r="E649" s="102"/>
      <c r="G649" s="101"/>
    </row>
    <row r="650" spans="5:7" ht="15.75" customHeight="1">
      <c r="E650" s="102"/>
      <c r="G650" s="101"/>
    </row>
    <row r="651" spans="5:7" ht="15.75" customHeight="1">
      <c r="E651" s="102"/>
      <c r="G651" s="101"/>
    </row>
    <row r="652" spans="5:7" ht="15.75" customHeight="1">
      <c r="E652" s="102"/>
      <c r="G652" s="101"/>
    </row>
    <row r="653" spans="5:7" ht="15.75" customHeight="1">
      <c r="E653" s="102"/>
      <c r="G653" s="101"/>
    </row>
    <row r="654" spans="5:7" ht="15.75" customHeight="1">
      <c r="E654" s="102"/>
      <c r="G654" s="101"/>
    </row>
    <row r="655" spans="5:7" ht="15.75" customHeight="1">
      <c r="E655" s="102"/>
      <c r="G655" s="101"/>
    </row>
    <row r="656" spans="5:7" ht="15.75" customHeight="1">
      <c r="E656" s="102"/>
      <c r="G656" s="101"/>
    </row>
    <row r="657" spans="5:7" ht="15.75" customHeight="1">
      <c r="E657" s="102"/>
      <c r="G657" s="101"/>
    </row>
    <row r="658" spans="5:7" ht="15.75" customHeight="1">
      <c r="E658" s="102"/>
      <c r="G658" s="101"/>
    </row>
    <row r="659" spans="5:7" ht="15.75" customHeight="1">
      <c r="E659" s="102"/>
      <c r="G659" s="101"/>
    </row>
    <row r="660" spans="5:7" ht="15.75" customHeight="1">
      <c r="E660" s="102"/>
      <c r="G660" s="101"/>
    </row>
    <row r="661" spans="5:7" ht="15.75" customHeight="1">
      <c r="E661" s="102"/>
      <c r="G661" s="101"/>
    </row>
    <row r="662" spans="5:7" ht="15.75" customHeight="1">
      <c r="E662" s="102"/>
      <c r="G662" s="101"/>
    </row>
    <row r="663" spans="5:7" ht="15.75" customHeight="1">
      <c r="E663" s="102"/>
      <c r="G663" s="101"/>
    </row>
    <row r="664" spans="5:7" ht="15.75" customHeight="1">
      <c r="E664" s="102"/>
      <c r="G664" s="101"/>
    </row>
    <row r="665" spans="5:7" ht="15.75" customHeight="1">
      <c r="E665" s="102"/>
      <c r="G665" s="101"/>
    </row>
    <row r="666" spans="5:7" ht="15.75" customHeight="1">
      <c r="E666" s="102"/>
      <c r="G666" s="101"/>
    </row>
    <row r="667" spans="5:7" ht="15.75" customHeight="1">
      <c r="E667" s="102"/>
      <c r="G667" s="101"/>
    </row>
    <row r="668" spans="5:7" ht="15.75" customHeight="1">
      <c r="E668" s="102"/>
      <c r="G668" s="101"/>
    </row>
    <row r="669" spans="5:7" ht="15.75" customHeight="1">
      <c r="E669" s="102"/>
      <c r="G669" s="101"/>
    </row>
    <row r="670" spans="5:7" ht="15.75" customHeight="1">
      <c r="E670" s="102"/>
      <c r="G670" s="101"/>
    </row>
    <row r="671" spans="5:7" ht="15.75" customHeight="1">
      <c r="E671" s="102"/>
      <c r="G671" s="101"/>
    </row>
    <row r="672" spans="5:7" ht="15.75" customHeight="1">
      <c r="E672" s="102"/>
      <c r="G672" s="101"/>
    </row>
    <row r="673" spans="5:7" ht="15.75" customHeight="1">
      <c r="E673" s="102"/>
      <c r="G673" s="101"/>
    </row>
    <row r="674" spans="5:7" ht="15.75" customHeight="1">
      <c r="E674" s="102"/>
      <c r="G674" s="101"/>
    </row>
    <row r="675" spans="5:7" ht="15.75" customHeight="1">
      <c r="E675" s="102"/>
      <c r="G675" s="101"/>
    </row>
    <row r="676" spans="5:7" ht="15.75" customHeight="1">
      <c r="E676" s="102"/>
      <c r="G676" s="101"/>
    </row>
    <row r="677" spans="5:7" ht="15.75" customHeight="1">
      <c r="E677" s="102"/>
      <c r="G677" s="101"/>
    </row>
    <row r="678" spans="5:7" ht="15.75" customHeight="1">
      <c r="E678" s="102"/>
      <c r="G678" s="101"/>
    </row>
    <row r="679" spans="5:7" ht="15.75" customHeight="1">
      <c r="E679" s="102"/>
      <c r="G679" s="101"/>
    </row>
    <row r="680" spans="5:7" ht="15.75" customHeight="1">
      <c r="E680" s="102"/>
      <c r="G680" s="101"/>
    </row>
    <row r="681" spans="5:7" ht="15.75" customHeight="1">
      <c r="E681" s="102"/>
      <c r="G681" s="101"/>
    </row>
    <row r="682" spans="5:7" ht="15.75" customHeight="1">
      <c r="E682" s="102"/>
      <c r="G682" s="101"/>
    </row>
    <row r="683" spans="5:7" ht="15.75" customHeight="1">
      <c r="E683" s="102"/>
      <c r="G683" s="101"/>
    </row>
    <row r="684" spans="5:7" ht="15.75" customHeight="1">
      <c r="E684" s="102"/>
      <c r="G684" s="101"/>
    </row>
    <row r="685" spans="5:7" ht="15.75" customHeight="1">
      <c r="E685" s="102"/>
      <c r="G685" s="101"/>
    </row>
    <row r="686" spans="5:7" ht="15.75" customHeight="1">
      <c r="E686" s="102"/>
      <c r="G686" s="101"/>
    </row>
    <row r="687" spans="5:7" ht="15.75" customHeight="1">
      <c r="E687" s="102"/>
      <c r="G687" s="101"/>
    </row>
    <row r="688" spans="5:7" ht="15.75" customHeight="1">
      <c r="E688" s="102"/>
      <c r="G688" s="101"/>
    </row>
    <row r="689" spans="5:7" ht="15.75" customHeight="1">
      <c r="E689" s="102"/>
      <c r="G689" s="101"/>
    </row>
    <row r="690" spans="5:7" ht="15.75" customHeight="1">
      <c r="E690" s="102"/>
      <c r="G690" s="101"/>
    </row>
    <row r="691" spans="5:7" ht="15.75" customHeight="1">
      <c r="E691" s="102"/>
      <c r="G691" s="101"/>
    </row>
    <row r="692" spans="5:7" ht="15.75" customHeight="1">
      <c r="E692" s="102"/>
      <c r="G692" s="101"/>
    </row>
    <row r="693" spans="5:7" ht="15.75" customHeight="1">
      <c r="E693" s="102"/>
      <c r="G693" s="101"/>
    </row>
    <row r="694" spans="5:7" ht="15.75" customHeight="1">
      <c r="E694" s="102"/>
      <c r="G694" s="101"/>
    </row>
    <row r="695" spans="5:7" ht="15.75" customHeight="1">
      <c r="E695" s="102"/>
      <c r="G695" s="101"/>
    </row>
    <row r="696" spans="5:7" ht="15.75" customHeight="1">
      <c r="E696" s="102"/>
      <c r="G696" s="101"/>
    </row>
    <row r="697" spans="5:7" ht="15.75" customHeight="1">
      <c r="E697" s="102"/>
      <c r="G697" s="101"/>
    </row>
    <row r="698" spans="5:7" ht="15.75" customHeight="1">
      <c r="E698" s="102"/>
      <c r="G698" s="101"/>
    </row>
    <row r="699" spans="5:7" ht="15.75" customHeight="1">
      <c r="E699" s="102"/>
      <c r="G699" s="101"/>
    </row>
    <row r="700" spans="5:7" ht="15.75" customHeight="1">
      <c r="E700" s="102"/>
      <c r="G700" s="101"/>
    </row>
    <row r="701" spans="5:7" ht="15.75" customHeight="1">
      <c r="E701" s="102"/>
      <c r="G701" s="101"/>
    </row>
    <row r="702" spans="5:7" ht="15.75" customHeight="1">
      <c r="E702" s="102"/>
      <c r="G702" s="101"/>
    </row>
    <row r="703" spans="5:7" ht="15.75" customHeight="1">
      <c r="E703" s="102"/>
      <c r="G703" s="101"/>
    </row>
    <row r="704" spans="5:7" ht="15.75" customHeight="1">
      <c r="E704" s="102"/>
      <c r="G704" s="101"/>
    </row>
    <row r="705" spans="5:7" ht="15.75" customHeight="1">
      <c r="E705" s="102"/>
      <c r="G705" s="101"/>
    </row>
    <row r="706" spans="5:7" ht="15.75" customHeight="1">
      <c r="E706" s="102"/>
      <c r="G706" s="101"/>
    </row>
    <row r="707" spans="5:7" ht="15.75" customHeight="1">
      <c r="E707" s="102"/>
      <c r="G707" s="101"/>
    </row>
    <row r="708" spans="5:7" ht="15.75" customHeight="1">
      <c r="E708" s="102"/>
      <c r="G708" s="101"/>
    </row>
    <row r="709" spans="5:7" ht="15.75" customHeight="1">
      <c r="E709" s="102"/>
      <c r="G709" s="101"/>
    </row>
    <row r="710" spans="5:7" ht="15.75" customHeight="1">
      <c r="E710" s="102"/>
      <c r="G710" s="101"/>
    </row>
    <row r="711" spans="5:7" ht="15.75" customHeight="1">
      <c r="E711" s="102"/>
      <c r="G711" s="101"/>
    </row>
    <row r="712" spans="5:7" ht="15.75" customHeight="1">
      <c r="E712" s="102"/>
      <c r="G712" s="101"/>
    </row>
    <row r="713" spans="5:7" ht="15.75" customHeight="1">
      <c r="E713" s="102"/>
      <c r="G713" s="101"/>
    </row>
    <row r="714" spans="5:7" ht="15.75" customHeight="1">
      <c r="E714" s="102"/>
      <c r="G714" s="101"/>
    </row>
    <row r="715" spans="5:7" ht="15.75" customHeight="1">
      <c r="E715" s="102"/>
      <c r="G715" s="101"/>
    </row>
    <row r="716" spans="5:7" ht="15.75" customHeight="1">
      <c r="E716" s="102"/>
      <c r="G716" s="101"/>
    </row>
    <row r="717" spans="5:7" ht="15.75" customHeight="1">
      <c r="E717" s="102"/>
      <c r="G717" s="101"/>
    </row>
    <row r="718" spans="5:7" ht="15.75" customHeight="1">
      <c r="E718" s="102"/>
      <c r="G718" s="101"/>
    </row>
    <row r="719" spans="5:7" ht="15.75" customHeight="1">
      <c r="E719" s="102"/>
      <c r="G719" s="101"/>
    </row>
    <row r="720" spans="5:7" ht="15.75" customHeight="1">
      <c r="E720" s="102"/>
      <c r="G720" s="101"/>
    </row>
    <row r="721" spans="5:7" ht="15.75" customHeight="1">
      <c r="E721" s="102"/>
      <c r="G721" s="101"/>
    </row>
    <row r="722" spans="5:7" ht="15.75" customHeight="1">
      <c r="E722" s="102"/>
      <c r="G722" s="101"/>
    </row>
    <row r="723" spans="5:7" ht="15.75" customHeight="1">
      <c r="E723" s="102"/>
      <c r="G723" s="101"/>
    </row>
    <row r="724" spans="5:7" ht="15.75" customHeight="1">
      <c r="E724" s="102"/>
      <c r="G724" s="101"/>
    </row>
    <row r="725" spans="5:7" ht="15.75" customHeight="1">
      <c r="E725" s="102"/>
      <c r="G725" s="101"/>
    </row>
    <row r="726" spans="5:7" ht="15.75" customHeight="1">
      <c r="E726" s="102"/>
      <c r="G726" s="101"/>
    </row>
    <row r="727" spans="5:7" ht="15.75" customHeight="1">
      <c r="E727" s="102"/>
      <c r="G727" s="101"/>
    </row>
    <row r="728" spans="5:7" ht="15.75" customHeight="1">
      <c r="E728" s="102"/>
      <c r="G728" s="101"/>
    </row>
    <row r="729" spans="5:7" ht="15.75" customHeight="1">
      <c r="E729" s="102"/>
      <c r="G729" s="101"/>
    </row>
    <row r="730" spans="5:7" ht="15.75" customHeight="1">
      <c r="E730" s="102"/>
      <c r="G730" s="101"/>
    </row>
    <row r="731" spans="5:7" ht="15.75" customHeight="1">
      <c r="E731" s="102"/>
      <c r="G731" s="101"/>
    </row>
    <row r="732" spans="5:7" ht="15.75" customHeight="1">
      <c r="E732" s="102"/>
      <c r="G732" s="101"/>
    </row>
    <row r="733" spans="5:7" ht="15.75" customHeight="1">
      <c r="E733" s="102"/>
      <c r="G733" s="101"/>
    </row>
    <row r="734" spans="5:7" ht="15.75" customHeight="1">
      <c r="E734" s="102"/>
      <c r="G734" s="101"/>
    </row>
    <row r="735" spans="5:7" ht="15.75" customHeight="1">
      <c r="E735" s="102"/>
      <c r="G735" s="101"/>
    </row>
    <row r="736" spans="5:7" ht="15.75" customHeight="1">
      <c r="E736" s="102"/>
      <c r="G736" s="101"/>
    </row>
    <row r="737" spans="5:7" ht="15.75" customHeight="1">
      <c r="E737" s="102"/>
      <c r="G737" s="101"/>
    </row>
    <row r="738" spans="5:7" ht="15.75" customHeight="1">
      <c r="E738" s="102"/>
      <c r="G738" s="101"/>
    </row>
    <row r="739" spans="5:7" ht="15.75" customHeight="1">
      <c r="E739" s="102"/>
      <c r="G739" s="101"/>
    </row>
    <row r="740" spans="5:7" ht="15.75" customHeight="1">
      <c r="E740" s="102"/>
      <c r="G740" s="101"/>
    </row>
    <row r="741" spans="5:7" ht="15.75" customHeight="1">
      <c r="E741" s="102"/>
      <c r="G741" s="101"/>
    </row>
    <row r="742" spans="5:7" ht="15.75" customHeight="1">
      <c r="E742" s="102"/>
      <c r="G742" s="101"/>
    </row>
    <row r="743" spans="5:7" ht="15.75" customHeight="1">
      <c r="E743" s="102"/>
      <c r="G743" s="101"/>
    </row>
    <row r="744" spans="5:7" ht="15.75" customHeight="1">
      <c r="E744" s="102"/>
      <c r="G744" s="101"/>
    </row>
    <row r="745" spans="5:7" ht="15.75" customHeight="1">
      <c r="E745" s="102"/>
      <c r="G745" s="101"/>
    </row>
    <row r="746" spans="5:7" ht="15.75" customHeight="1">
      <c r="E746" s="102"/>
      <c r="G746" s="101"/>
    </row>
    <row r="747" spans="5:7" ht="15.75" customHeight="1">
      <c r="E747" s="102"/>
      <c r="G747" s="101"/>
    </row>
    <row r="748" spans="5:7" ht="15.75" customHeight="1">
      <c r="E748" s="102"/>
      <c r="G748" s="101"/>
    </row>
    <row r="749" spans="5:7" ht="15.75" customHeight="1">
      <c r="E749" s="102"/>
      <c r="G749" s="101"/>
    </row>
    <row r="750" spans="5:7" ht="15.75" customHeight="1">
      <c r="E750" s="102"/>
      <c r="G750" s="101"/>
    </row>
    <row r="751" spans="5:7" ht="15.75" customHeight="1">
      <c r="E751" s="102"/>
      <c r="G751" s="101"/>
    </row>
    <row r="752" spans="5:7" ht="15.75" customHeight="1">
      <c r="E752" s="102"/>
      <c r="G752" s="101"/>
    </row>
    <row r="753" spans="5:7" ht="15.75" customHeight="1">
      <c r="E753" s="102"/>
      <c r="G753" s="101"/>
    </row>
    <row r="754" spans="5:7" ht="15.75" customHeight="1">
      <c r="E754" s="102"/>
      <c r="G754" s="101"/>
    </row>
    <row r="755" spans="5:7" ht="15.75" customHeight="1">
      <c r="E755" s="102"/>
      <c r="G755" s="101"/>
    </row>
    <row r="756" spans="5:7" ht="15.75" customHeight="1">
      <c r="E756" s="102"/>
      <c r="G756" s="101"/>
    </row>
    <row r="757" spans="5:7" ht="15.75" customHeight="1">
      <c r="E757" s="102"/>
      <c r="G757" s="101"/>
    </row>
    <row r="758" spans="5:7" ht="15.75" customHeight="1">
      <c r="E758" s="102"/>
      <c r="G758" s="101"/>
    </row>
    <row r="759" spans="5:7" ht="15.75" customHeight="1">
      <c r="E759" s="102"/>
      <c r="G759" s="101"/>
    </row>
    <row r="760" spans="5:7" ht="15.75" customHeight="1">
      <c r="E760" s="102"/>
      <c r="G760" s="101"/>
    </row>
    <row r="761" spans="5:7" ht="15.75" customHeight="1">
      <c r="E761" s="102"/>
      <c r="G761" s="101"/>
    </row>
    <row r="762" spans="5:7" ht="15.75" customHeight="1">
      <c r="E762" s="102"/>
      <c r="G762" s="101"/>
    </row>
    <row r="763" spans="5:7" ht="15.75" customHeight="1">
      <c r="E763" s="102"/>
      <c r="G763" s="101"/>
    </row>
    <row r="764" spans="5:7" ht="15.75" customHeight="1">
      <c r="E764" s="102"/>
      <c r="G764" s="101"/>
    </row>
    <row r="765" spans="5:7" ht="15.75" customHeight="1">
      <c r="E765" s="102"/>
      <c r="G765" s="101"/>
    </row>
    <row r="766" spans="5:7" ht="15.75" customHeight="1">
      <c r="E766" s="102"/>
      <c r="G766" s="101"/>
    </row>
    <row r="767" spans="5:7" ht="15.75" customHeight="1">
      <c r="E767" s="102"/>
      <c r="G767" s="101"/>
    </row>
    <row r="768" spans="5:7" ht="15.75" customHeight="1">
      <c r="E768" s="102"/>
      <c r="G768" s="101"/>
    </row>
    <row r="769" spans="5:7" ht="15.75" customHeight="1">
      <c r="E769" s="102"/>
      <c r="G769" s="101"/>
    </row>
    <row r="770" spans="5:7" ht="15.75" customHeight="1">
      <c r="E770" s="102"/>
      <c r="G770" s="101"/>
    </row>
    <row r="771" spans="5:7" ht="15.75" customHeight="1">
      <c r="E771" s="102"/>
      <c r="G771" s="101"/>
    </row>
    <row r="772" spans="5:7" ht="15.75" customHeight="1">
      <c r="E772" s="102"/>
      <c r="G772" s="101"/>
    </row>
    <row r="773" spans="5:7" ht="15.75" customHeight="1">
      <c r="E773" s="102"/>
      <c r="G773" s="101"/>
    </row>
    <row r="774" spans="5:7" ht="15.75" customHeight="1">
      <c r="E774" s="102"/>
      <c r="G774" s="101"/>
    </row>
    <row r="775" spans="5:7" ht="15.75" customHeight="1">
      <c r="E775" s="102"/>
      <c r="G775" s="101"/>
    </row>
    <row r="776" spans="5:7" ht="15.75" customHeight="1">
      <c r="E776" s="102"/>
      <c r="G776" s="101"/>
    </row>
    <row r="777" spans="5:7" ht="15.75" customHeight="1">
      <c r="E777" s="102"/>
      <c r="G777" s="101"/>
    </row>
    <row r="778" spans="5:7" ht="15.75" customHeight="1">
      <c r="E778" s="102"/>
      <c r="G778" s="101"/>
    </row>
    <row r="779" spans="5:7" ht="15.75" customHeight="1">
      <c r="E779" s="102"/>
      <c r="G779" s="101"/>
    </row>
    <row r="780" spans="5:7" ht="15.75" customHeight="1">
      <c r="E780" s="102"/>
      <c r="G780" s="101"/>
    </row>
    <row r="781" spans="5:7" ht="15.75" customHeight="1">
      <c r="E781" s="102"/>
      <c r="G781" s="101"/>
    </row>
    <row r="782" spans="5:7" ht="15.75" customHeight="1">
      <c r="E782" s="102"/>
      <c r="G782" s="101"/>
    </row>
    <row r="783" spans="5:7" ht="15.75" customHeight="1">
      <c r="E783" s="102"/>
      <c r="G783" s="101"/>
    </row>
    <row r="784" spans="5:7" ht="15.75" customHeight="1">
      <c r="E784" s="102"/>
      <c r="G784" s="101"/>
    </row>
    <row r="785" spans="5:7" ht="15.75" customHeight="1">
      <c r="E785" s="102"/>
      <c r="G785" s="101"/>
    </row>
    <row r="786" spans="5:7" ht="15.75" customHeight="1">
      <c r="E786" s="102"/>
      <c r="G786" s="101"/>
    </row>
    <row r="787" spans="5:7" ht="15.75" customHeight="1">
      <c r="E787" s="102"/>
      <c r="G787" s="101"/>
    </row>
    <row r="788" spans="5:7" ht="15.75" customHeight="1">
      <c r="E788" s="102"/>
      <c r="G788" s="101"/>
    </row>
    <row r="789" spans="5:7" ht="15.75" customHeight="1">
      <c r="E789" s="102"/>
      <c r="G789" s="101"/>
    </row>
    <row r="790" spans="5:7" ht="15.75" customHeight="1">
      <c r="E790" s="102"/>
      <c r="G790" s="101"/>
    </row>
    <row r="791" spans="5:7" ht="15.75" customHeight="1">
      <c r="E791" s="102"/>
      <c r="G791" s="101"/>
    </row>
    <row r="792" spans="5:7" ht="15.75" customHeight="1">
      <c r="E792" s="102"/>
      <c r="G792" s="101"/>
    </row>
    <row r="793" spans="5:7" ht="15.75" customHeight="1">
      <c r="E793" s="102"/>
      <c r="G793" s="101"/>
    </row>
    <row r="794" spans="5:7" ht="15.75" customHeight="1">
      <c r="E794" s="102"/>
      <c r="G794" s="101"/>
    </row>
    <row r="795" spans="5:7" ht="15.75" customHeight="1">
      <c r="E795" s="102"/>
      <c r="G795" s="101"/>
    </row>
    <row r="796" spans="5:7" ht="15.75" customHeight="1">
      <c r="E796" s="102"/>
      <c r="G796" s="101"/>
    </row>
    <row r="797" spans="5:7" ht="15.75" customHeight="1">
      <c r="E797" s="102"/>
      <c r="G797" s="101"/>
    </row>
    <row r="798" spans="5:7" ht="15.75" customHeight="1">
      <c r="E798" s="102"/>
      <c r="G798" s="101"/>
    </row>
    <row r="799" spans="5:7" ht="15.75" customHeight="1">
      <c r="E799" s="102"/>
      <c r="G799" s="101"/>
    </row>
    <row r="800" spans="5:7" ht="15.75" customHeight="1">
      <c r="E800" s="102"/>
      <c r="G800" s="101"/>
    </row>
    <row r="801" spans="5:7" ht="15.75" customHeight="1">
      <c r="E801" s="102"/>
      <c r="G801" s="101"/>
    </row>
    <row r="802" spans="5:7" ht="15.75" customHeight="1">
      <c r="E802" s="102"/>
      <c r="G802" s="101"/>
    </row>
    <row r="803" spans="5:7" ht="15.75" customHeight="1">
      <c r="E803" s="102"/>
      <c r="G803" s="101"/>
    </row>
    <row r="804" spans="5:7" ht="15.75" customHeight="1">
      <c r="E804" s="102"/>
      <c r="G804" s="101"/>
    </row>
    <row r="805" spans="5:7" ht="15.75" customHeight="1">
      <c r="E805" s="102"/>
      <c r="G805" s="101"/>
    </row>
    <row r="806" spans="5:7" ht="15.75" customHeight="1">
      <c r="E806" s="102"/>
      <c r="G806" s="101"/>
    </row>
    <row r="807" spans="5:7" ht="15.75" customHeight="1">
      <c r="E807" s="102"/>
      <c r="G807" s="101"/>
    </row>
    <row r="808" spans="5:7" ht="15.75" customHeight="1">
      <c r="E808" s="102"/>
      <c r="G808" s="101"/>
    </row>
    <row r="809" spans="5:7" ht="15.75" customHeight="1">
      <c r="E809" s="102"/>
      <c r="G809" s="101"/>
    </row>
    <row r="810" spans="5:7" ht="15.75" customHeight="1">
      <c r="E810" s="102"/>
      <c r="G810" s="101"/>
    </row>
    <row r="811" spans="5:7" ht="15.75" customHeight="1">
      <c r="E811" s="102"/>
      <c r="G811" s="101"/>
    </row>
    <row r="812" spans="5:7" ht="15.75" customHeight="1">
      <c r="E812" s="102"/>
      <c r="G812" s="101"/>
    </row>
    <row r="813" spans="5:7" ht="15.75" customHeight="1">
      <c r="E813" s="102"/>
      <c r="G813" s="101"/>
    </row>
    <row r="814" spans="5:7" ht="15.75" customHeight="1">
      <c r="E814" s="102"/>
      <c r="G814" s="101"/>
    </row>
    <row r="815" spans="5:7" ht="15.75" customHeight="1">
      <c r="E815" s="102"/>
      <c r="G815" s="101"/>
    </row>
    <row r="816" spans="5:7" ht="15.75" customHeight="1">
      <c r="E816" s="102"/>
      <c r="G816" s="101"/>
    </row>
    <row r="817" spans="5:7" ht="15.75" customHeight="1">
      <c r="E817" s="102"/>
      <c r="G817" s="101"/>
    </row>
    <row r="818" spans="5:7" ht="15.75" customHeight="1">
      <c r="E818" s="102"/>
      <c r="G818" s="101"/>
    </row>
    <row r="819" spans="5:7" ht="15.75" customHeight="1">
      <c r="E819" s="102"/>
      <c r="G819" s="101"/>
    </row>
    <row r="820" spans="5:7" ht="15.75" customHeight="1">
      <c r="E820" s="102"/>
      <c r="G820" s="101"/>
    </row>
    <row r="821" spans="5:7" ht="15.75" customHeight="1">
      <c r="E821" s="102"/>
      <c r="G821" s="101"/>
    </row>
    <row r="822" spans="5:7" ht="15.75" customHeight="1">
      <c r="E822" s="102"/>
      <c r="G822" s="101"/>
    </row>
    <row r="823" spans="5:7" ht="15.75" customHeight="1">
      <c r="E823" s="102"/>
      <c r="G823" s="101"/>
    </row>
    <row r="824" spans="5:7" ht="15.75" customHeight="1">
      <c r="E824" s="102"/>
      <c r="G824" s="101"/>
    </row>
    <row r="825" spans="5:7" ht="15.75" customHeight="1">
      <c r="E825" s="102"/>
      <c r="G825" s="101"/>
    </row>
    <row r="826" spans="5:7" ht="15.75" customHeight="1">
      <c r="E826" s="102"/>
      <c r="G826" s="101"/>
    </row>
    <row r="827" spans="5:7" ht="15.75" customHeight="1">
      <c r="E827" s="102"/>
      <c r="G827" s="101"/>
    </row>
    <row r="828" spans="5:7" ht="15.75" customHeight="1">
      <c r="E828" s="102"/>
      <c r="G828" s="101"/>
    </row>
    <row r="829" spans="5:7" ht="15.75" customHeight="1">
      <c r="E829" s="102"/>
      <c r="G829" s="101"/>
    </row>
    <row r="830" spans="5:7" ht="15.75" customHeight="1">
      <c r="E830" s="102"/>
      <c r="G830" s="101"/>
    </row>
    <row r="831" spans="5:7" ht="15.75" customHeight="1">
      <c r="E831" s="102"/>
      <c r="G831" s="101"/>
    </row>
    <row r="832" spans="5:7" ht="15.75" customHeight="1">
      <c r="E832" s="102"/>
      <c r="G832" s="101"/>
    </row>
    <row r="833" spans="5:7" ht="15.75" customHeight="1">
      <c r="E833" s="102"/>
      <c r="G833" s="101"/>
    </row>
    <row r="834" spans="5:7" ht="15.75" customHeight="1">
      <c r="E834" s="102"/>
      <c r="G834" s="101"/>
    </row>
    <row r="835" spans="5:7" ht="15.75" customHeight="1">
      <c r="E835" s="102"/>
      <c r="G835" s="101"/>
    </row>
    <row r="836" spans="5:7" ht="15.75" customHeight="1">
      <c r="E836" s="102"/>
      <c r="G836" s="101"/>
    </row>
    <row r="837" spans="5:7" ht="15.75" customHeight="1">
      <c r="E837" s="102"/>
      <c r="G837" s="101"/>
    </row>
    <row r="838" spans="5:7" ht="15.75" customHeight="1">
      <c r="E838" s="102"/>
      <c r="G838" s="101"/>
    </row>
    <row r="839" spans="5:7" ht="15.75" customHeight="1">
      <c r="E839" s="102"/>
      <c r="G839" s="101"/>
    </row>
    <row r="840" spans="5:7" ht="15.75" customHeight="1">
      <c r="E840" s="102"/>
      <c r="G840" s="101"/>
    </row>
    <row r="841" spans="5:7" ht="15.75" customHeight="1">
      <c r="E841" s="102"/>
      <c r="G841" s="101"/>
    </row>
    <row r="842" spans="5:7" ht="15.75" customHeight="1">
      <c r="E842" s="102"/>
      <c r="G842" s="101"/>
    </row>
    <row r="843" spans="5:7" ht="15.75" customHeight="1">
      <c r="E843" s="102"/>
      <c r="G843" s="101"/>
    </row>
    <row r="844" spans="5:7" ht="15.75" customHeight="1">
      <c r="E844" s="102"/>
      <c r="G844" s="101"/>
    </row>
    <row r="845" spans="5:7" ht="15.75" customHeight="1">
      <c r="E845" s="102"/>
      <c r="G845" s="101"/>
    </row>
    <row r="846" spans="5:7" ht="15.75" customHeight="1">
      <c r="E846" s="102"/>
      <c r="G846" s="101"/>
    </row>
    <row r="847" spans="5:7" ht="15.75" customHeight="1">
      <c r="E847" s="102"/>
      <c r="G847" s="101"/>
    </row>
    <row r="848" spans="5:7" ht="15.75" customHeight="1">
      <c r="E848" s="102"/>
      <c r="G848" s="101"/>
    </row>
    <row r="849" spans="5:7" ht="15.75" customHeight="1">
      <c r="E849" s="102"/>
      <c r="G849" s="101"/>
    </row>
    <row r="850" spans="5:7" ht="15.75" customHeight="1">
      <c r="E850" s="102"/>
      <c r="G850" s="101"/>
    </row>
    <row r="851" spans="5:7" ht="15.75" customHeight="1">
      <c r="E851" s="102"/>
      <c r="G851" s="101"/>
    </row>
    <row r="852" spans="5:7" ht="15.75" customHeight="1">
      <c r="E852" s="102"/>
      <c r="G852" s="101"/>
    </row>
    <row r="853" spans="5:7" ht="15.75" customHeight="1">
      <c r="E853" s="102"/>
      <c r="G853" s="101"/>
    </row>
    <row r="854" spans="5:7" ht="15.75" customHeight="1">
      <c r="E854" s="102"/>
      <c r="G854" s="101"/>
    </row>
    <row r="855" spans="5:7" ht="15.75" customHeight="1">
      <c r="E855" s="102"/>
      <c r="G855" s="101"/>
    </row>
    <row r="856" spans="5:7" ht="15.75" customHeight="1">
      <c r="E856" s="102"/>
      <c r="G856" s="101"/>
    </row>
    <row r="857" spans="5:7" ht="15.75" customHeight="1">
      <c r="E857" s="102"/>
      <c r="G857" s="101"/>
    </row>
    <row r="858" spans="5:7" ht="15.75" customHeight="1">
      <c r="E858" s="102"/>
      <c r="G858" s="101"/>
    </row>
    <row r="859" spans="5:7" ht="15.75" customHeight="1">
      <c r="E859" s="102"/>
      <c r="G859" s="101"/>
    </row>
    <row r="860" spans="5:7" ht="15.75" customHeight="1">
      <c r="E860" s="102"/>
      <c r="G860" s="101"/>
    </row>
    <row r="861" spans="5:7" ht="15.75" customHeight="1">
      <c r="E861" s="102"/>
      <c r="G861" s="101"/>
    </row>
    <row r="862" spans="5:7" ht="15.75" customHeight="1">
      <c r="E862" s="102"/>
      <c r="G862" s="101"/>
    </row>
    <row r="863" spans="5:7" ht="15.75" customHeight="1">
      <c r="E863" s="102"/>
      <c r="G863" s="101"/>
    </row>
    <row r="864" spans="5:7" ht="15.75" customHeight="1">
      <c r="E864" s="102"/>
      <c r="G864" s="101"/>
    </row>
    <row r="865" spans="5:7" ht="15.75" customHeight="1">
      <c r="E865" s="102"/>
      <c r="G865" s="101"/>
    </row>
    <row r="866" spans="5:7" ht="15.75" customHeight="1">
      <c r="E866" s="102"/>
      <c r="G866" s="101"/>
    </row>
    <row r="867" spans="5:7" ht="15.75" customHeight="1">
      <c r="E867" s="102"/>
      <c r="G867" s="101"/>
    </row>
    <row r="868" spans="5:7" ht="15.75" customHeight="1">
      <c r="E868" s="102"/>
      <c r="G868" s="101"/>
    </row>
    <row r="869" spans="5:7" ht="15.75" customHeight="1">
      <c r="E869" s="102"/>
      <c r="G869" s="101"/>
    </row>
    <row r="870" spans="5:7" ht="15.75" customHeight="1">
      <c r="E870" s="102"/>
      <c r="G870" s="101"/>
    </row>
    <row r="871" spans="5:7" ht="15.75" customHeight="1">
      <c r="E871" s="102"/>
      <c r="G871" s="101"/>
    </row>
    <row r="872" spans="5:7" ht="15.75" customHeight="1">
      <c r="E872" s="102"/>
      <c r="G872" s="101"/>
    </row>
    <row r="873" spans="5:7" ht="15.75" customHeight="1">
      <c r="E873" s="102"/>
      <c r="G873" s="101"/>
    </row>
    <row r="874" spans="5:7" ht="15.75" customHeight="1">
      <c r="E874" s="102"/>
      <c r="G874" s="101"/>
    </row>
    <row r="875" spans="5:7" ht="15.75" customHeight="1">
      <c r="E875" s="102"/>
      <c r="G875" s="101"/>
    </row>
    <row r="876" spans="5:7" ht="15.75" customHeight="1">
      <c r="E876" s="102"/>
      <c r="G876" s="101"/>
    </row>
    <row r="877" spans="5:7" ht="15.75" customHeight="1">
      <c r="E877" s="102"/>
      <c r="G877" s="101"/>
    </row>
    <row r="878" spans="5:7" ht="15.75" customHeight="1">
      <c r="E878" s="102"/>
      <c r="G878" s="101"/>
    </row>
    <row r="879" spans="5:7" ht="15.75" customHeight="1">
      <c r="E879" s="102"/>
      <c r="G879" s="101"/>
    </row>
    <row r="880" spans="5:7" ht="15.75" customHeight="1">
      <c r="E880" s="102"/>
      <c r="G880" s="101"/>
    </row>
    <row r="881" spans="5:7" ht="15.75" customHeight="1">
      <c r="E881" s="102"/>
      <c r="G881" s="101"/>
    </row>
    <row r="882" spans="5:7" ht="15.75" customHeight="1">
      <c r="E882" s="102"/>
      <c r="G882" s="101"/>
    </row>
    <row r="883" spans="5:7" ht="15.75" customHeight="1">
      <c r="E883" s="102"/>
      <c r="G883" s="101"/>
    </row>
    <row r="884" spans="5:7" ht="15.75" customHeight="1">
      <c r="E884" s="102"/>
      <c r="G884" s="101"/>
    </row>
    <row r="885" spans="5:7" ht="15.75" customHeight="1">
      <c r="E885" s="102"/>
      <c r="G885" s="101"/>
    </row>
    <row r="886" spans="5:7" ht="15.75" customHeight="1">
      <c r="E886" s="102"/>
      <c r="G886" s="101"/>
    </row>
    <row r="887" spans="5:7" ht="15.75" customHeight="1">
      <c r="E887" s="102"/>
      <c r="G887" s="101"/>
    </row>
    <row r="888" spans="5:7" ht="15.75" customHeight="1">
      <c r="E888" s="102"/>
      <c r="G888" s="101"/>
    </row>
    <row r="889" spans="5:7" ht="15.75" customHeight="1">
      <c r="E889" s="102"/>
      <c r="G889" s="101"/>
    </row>
    <row r="890" spans="5:7" ht="15.75" customHeight="1">
      <c r="E890" s="102"/>
      <c r="G890" s="101"/>
    </row>
    <row r="891" spans="5:7" ht="15.75" customHeight="1">
      <c r="E891" s="102"/>
      <c r="G891" s="101"/>
    </row>
    <row r="892" spans="5:7" ht="15.75" customHeight="1">
      <c r="E892" s="102"/>
      <c r="G892" s="101"/>
    </row>
    <row r="893" spans="5:7" ht="15.75" customHeight="1">
      <c r="E893" s="102"/>
      <c r="G893" s="101"/>
    </row>
    <row r="894" spans="5:7" ht="15.75" customHeight="1">
      <c r="E894" s="102"/>
      <c r="G894" s="101"/>
    </row>
    <row r="895" spans="5:7" ht="15.75" customHeight="1">
      <c r="E895" s="102"/>
      <c r="G895" s="101"/>
    </row>
    <row r="896" spans="5:7" ht="15.75" customHeight="1">
      <c r="E896" s="102"/>
      <c r="G896" s="101"/>
    </row>
    <row r="897" spans="5:7" ht="15.75" customHeight="1">
      <c r="E897" s="102"/>
      <c r="G897" s="101"/>
    </row>
    <row r="898" spans="5:7" ht="15.75" customHeight="1">
      <c r="E898" s="102"/>
      <c r="G898" s="101"/>
    </row>
    <row r="899" spans="5:7" ht="15.75" customHeight="1">
      <c r="E899" s="102"/>
      <c r="G899" s="101"/>
    </row>
    <row r="900" spans="5:7" ht="15.75" customHeight="1">
      <c r="E900" s="102"/>
      <c r="G900" s="101"/>
    </row>
    <row r="901" spans="5:7" ht="15.75" customHeight="1">
      <c r="E901" s="102"/>
      <c r="G901" s="101"/>
    </row>
    <row r="902" spans="5:7" ht="15.75" customHeight="1">
      <c r="E902" s="102"/>
      <c r="G902" s="101"/>
    </row>
    <row r="903" spans="5:7" ht="15.75" customHeight="1">
      <c r="E903" s="102"/>
      <c r="G903" s="101"/>
    </row>
    <row r="904" spans="5:7" ht="15.75" customHeight="1">
      <c r="E904" s="102"/>
      <c r="G904" s="101"/>
    </row>
    <row r="905" spans="5:7" ht="15.75" customHeight="1">
      <c r="E905" s="102"/>
      <c r="G905" s="101"/>
    </row>
    <row r="906" spans="5:7" ht="15.75" customHeight="1">
      <c r="E906" s="102"/>
      <c r="G906" s="101"/>
    </row>
    <row r="907" spans="5:7" ht="15.75" customHeight="1">
      <c r="E907" s="102"/>
      <c r="G907" s="101"/>
    </row>
    <row r="908" spans="5:7" ht="15.75" customHeight="1">
      <c r="E908" s="102"/>
      <c r="G908" s="101"/>
    </row>
    <row r="909" spans="5:7" ht="15.75" customHeight="1">
      <c r="E909" s="102"/>
      <c r="G909" s="101"/>
    </row>
    <row r="910" spans="5:7" ht="15.75" customHeight="1">
      <c r="E910" s="102"/>
      <c r="G910" s="101"/>
    </row>
    <row r="911" spans="5:7" ht="15.75" customHeight="1">
      <c r="E911" s="102"/>
      <c r="G911" s="101"/>
    </row>
    <row r="912" spans="5:7" ht="15.75" customHeight="1">
      <c r="E912" s="102"/>
      <c r="G912" s="101"/>
    </row>
    <row r="913" spans="5:7" ht="15.75" customHeight="1">
      <c r="E913" s="102"/>
      <c r="G913" s="101"/>
    </row>
    <row r="914" spans="5:7" ht="15.75" customHeight="1">
      <c r="E914" s="102"/>
      <c r="G914" s="101"/>
    </row>
    <row r="915" spans="5:7" ht="15.75" customHeight="1">
      <c r="E915" s="102"/>
      <c r="G915" s="101"/>
    </row>
    <row r="916" spans="5:7" ht="15.75" customHeight="1">
      <c r="E916" s="102"/>
      <c r="G916" s="101"/>
    </row>
    <row r="917" spans="5:7" ht="15.75" customHeight="1">
      <c r="E917" s="102"/>
      <c r="G917" s="101"/>
    </row>
    <row r="918" spans="5:7" ht="15.75" customHeight="1">
      <c r="E918" s="102"/>
      <c r="G918" s="101"/>
    </row>
    <row r="919" spans="5:7" ht="15.75" customHeight="1">
      <c r="E919" s="102"/>
      <c r="G919" s="101"/>
    </row>
    <row r="920" spans="5:7" ht="15.75" customHeight="1">
      <c r="E920" s="102"/>
      <c r="G920" s="101"/>
    </row>
    <row r="921" spans="5:7" ht="15.75" customHeight="1">
      <c r="E921" s="102"/>
      <c r="G921" s="101"/>
    </row>
    <row r="922" spans="5:7" ht="15.75" customHeight="1">
      <c r="E922" s="102"/>
      <c r="G922" s="101"/>
    </row>
    <row r="923" spans="5:7" ht="15.75" customHeight="1">
      <c r="E923" s="102"/>
      <c r="G923" s="101"/>
    </row>
    <row r="924" spans="5:7" ht="15.75" customHeight="1">
      <c r="E924" s="102"/>
      <c r="G924" s="101"/>
    </row>
    <row r="925" spans="5:7" ht="15.75" customHeight="1">
      <c r="E925" s="102"/>
      <c r="G925" s="101"/>
    </row>
    <row r="926" spans="5:7" ht="15.75" customHeight="1">
      <c r="E926" s="102"/>
      <c r="G926" s="101"/>
    </row>
    <row r="927" spans="5:7" ht="15.75" customHeight="1">
      <c r="E927" s="102"/>
      <c r="G927" s="101"/>
    </row>
    <row r="928" spans="5:7" ht="15.75" customHeight="1">
      <c r="E928" s="102"/>
      <c r="G928" s="101"/>
    </row>
    <row r="929" spans="5:7" ht="15.75" customHeight="1">
      <c r="E929" s="102"/>
      <c r="G929" s="101"/>
    </row>
    <row r="930" spans="5:7" ht="15.75" customHeight="1">
      <c r="E930" s="102"/>
      <c r="G930" s="101"/>
    </row>
    <row r="931" spans="5:7" ht="15.75" customHeight="1">
      <c r="E931" s="102"/>
      <c r="G931" s="101"/>
    </row>
    <row r="932" spans="5:7" ht="15.75" customHeight="1">
      <c r="E932" s="102"/>
      <c r="G932" s="101"/>
    </row>
    <row r="933" spans="5:7" ht="15.75" customHeight="1">
      <c r="E933" s="102"/>
      <c r="G933" s="101"/>
    </row>
    <row r="934" spans="5:7" ht="15.75" customHeight="1">
      <c r="E934" s="102"/>
      <c r="G934" s="101"/>
    </row>
    <row r="935" spans="5:7" ht="15.75" customHeight="1">
      <c r="E935" s="102"/>
      <c r="G935" s="101"/>
    </row>
    <row r="936" spans="5:7" ht="15.75" customHeight="1">
      <c r="E936" s="102"/>
      <c r="G936" s="101"/>
    </row>
    <row r="937" spans="5:7" ht="15.75" customHeight="1">
      <c r="E937" s="102"/>
      <c r="G937" s="101"/>
    </row>
    <row r="938" spans="5:7" ht="15.75" customHeight="1">
      <c r="E938" s="102"/>
      <c r="G938" s="101"/>
    </row>
    <row r="939" spans="5:7" ht="15.75" customHeight="1">
      <c r="E939" s="102"/>
      <c r="G939" s="101"/>
    </row>
    <row r="940" spans="5:7" ht="15.75" customHeight="1">
      <c r="E940" s="102"/>
      <c r="G940" s="101"/>
    </row>
    <row r="941" spans="5:7" ht="15.75" customHeight="1">
      <c r="E941" s="102"/>
      <c r="G941" s="101"/>
    </row>
    <row r="942" spans="5:7" ht="15.75" customHeight="1">
      <c r="E942" s="102"/>
      <c r="G942" s="101"/>
    </row>
    <row r="943" spans="5:7" ht="15.75" customHeight="1">
      <c r="E943" s="102"/>
      <c r="G943" s="101"/>
    </row>
    <row r="944" spans="5:7" ht="15.75" customHeight="1">
      <c r="E944" s="102"/>
      <c r="G944" s="101"/>
    </row>
    <row r="945" spans="5:7" ht="15.75" customHeight="1">
      <c r="E945" s="102"/>
      <c r="G945" s="101"/>
    </row>
    <row r="946" spans="5:7" ht="15.75" customHeight="1">
      <c r="E946" s="102"/>
      <c r="G946" s="101"/>
    </row>
    <row r="947" spans="5:7" ht="15.75" customHeight="1">
      <c r="E947" s="102"/>
      <c r="G947" s="101"/>
    </row>
    <row r="948" spans="5:7" ht="15.75" customHeight="1">
      <c r="E948" s="102"/>
      <c r="G948" s="101"/>
    </row>
    <row r="949" spans="5:7" ht="15.75" customHeight="1">
      <c r="E949" s="102"/>
      <c r="G949" s="101"/>
    </row>
    <row r="950" spans="5:7" ht="15.75" customHeight="1">
      <c r="E950" s="102"/>
      <c r="G950" s="101"/>
    </row>
    <row r="951" spans="5:7" ht="15.75" customHeight="1">
      <c r="E951" s="102"/>
      <c r="G951" s="101"/>
    </row>
    <row r="952" spans="5:7" ht="15.75" customHeight="1">
      <c r="E952" s="102"/>
      <c r="G952" s="101"/>
    </row>
    <row r="953" spans="5:7" ht="15.75" customHeight="1">
      <c r="E953" s="102"/>
      <c r="G953" s="101"/>
    </row>
    <row r="954" spans="5:7" ht="15.75" customHeight="1">
      <c r="E954" s="102"/>
      <c r="G954" s="101"/>
    </row>
    <row r="955" spans="5:7" ht="15.75" customHeight="1">
      <c r="E955" s="102"/>
      <c r="G955" s="101"/>
    </row>
    <row r="956" spans="5:7" ht="15.75" customHeight="1">
      <c r="E956" s="102"/>
      <c r="G956" s="101"/>
    </row>
    <row r="957" spans="5:7" ht="15.75" customHeight="1">
      <c r="E957" s="102"/>
      <c r="G957" s="101"/>
    </row>
    <row r="958" spans="5:7" ht="15.75" customHeight="1">
      <c r="E958" s="102"/>
      <c r="G958" s="101"/>
    </row>
    <row r="959" spans="5:7" ht="15.75" customHeight="1">
      <c r="E959" s="102"/>
      <c r="G959" s="101"/>
    </row>
    <row r="960" spans="5:7" ht="15.75" customHeight="1">
      <c r="E960" s="102"/>
      <c r="G960" s="101"/>
    </row>
    <row r="961" spans="5:7" ht="15.75" customHeight="1">
      <c r="E961" s="102"/>
      <c r="G961" s="101"/>
    </row>
    <row r="962" spans="5:7" ht="15.75" customHeight="1">
      <c r="E962" s="102"/>
      <c r="G962" s="101"/>
    </row>
    <row r="963" spans="5:7" ht="15.75" customHeight="1">
      <c r="E963" s="102"/>
      <c r="G963" s="101"/>
    </row>
    <row r="964" spans="5:7" ht="15.75" customHeight="1">
      <c r="E964" s="102"/>
      <c r="G964" s="101"/>
    </row>
    <row r="965" spans="5:7" ht="15.75" customHeight="1">
      <c r="E965" s="102"/>
      <c r="G965" s="101"/>
    </row>
    <row r="966" spans="5:7" ht="15.75" customHeight="1">
      <c r="E966" s="102"/>
      <c r="G966" s="101"/>
    </row>
    <row r="967" spans="5:7" ht="15.75" customHeight="1">
      <c r="E967" s="102"/>
      <c r="G967" s="101"/>
    </row>
    <row r="968" spans="5:7" ht="15.75" customHeight="1">
      <c r="E968" s="102"/>
      <c r="G968" s="101"/>
    </row>
    <row r="969" spans="5:7" ht="15.75" customHeight="1">
      <c r="E969" s="102"/>
      <c r="G969" s="101"/>
    </row>
    <row r="970" spans="5:7" ht="15.75" customHeight="1">
      <c r="E970" s="102"/>
    </row>
    <row r="971" spans="5:7" ht="15.75" customHeight="1">
      <c r="E971" s="102"/>
    </row>
    <row r="972" spans="5:7" ht="15.75" customHeight="1">
      <c r="E972" s="102"/>
    </row>
    <row r="973" spans="5:7" ht="15.75" customHeight="1">
      <c r="E973" s="102"/>
    </row>
    <row r="974" spans="5:7" ht="15.75" customHeight="1">
      <c r="E974" s="102"/>
    </row>
    <row r="975" spans="5:7" ht="15.75" customHeight="1">
      <c r="E975" s="102"/>
    </row>
    <row r="976" spans="5:7" ht="15.75" customHeight="1">
      <c r="E976" s="102"/>
    </row>
    <row r="977" spans="5:5" ht="15.75" customHeight="1">
      <c r="E977" s="102"/>
    </row>
    <row r="978" spans="5:5" ht="15.75" customHeight="1">
      <c r="E978" s="102"/>
    </row>
    <row r="979" spans="5:5" ht="15.75" customHeight="1">
      <c r="E979" s="102"/>
    </row>
    <row r="980" spans="5:5" ht="15.75" customHeight="1">
      <c r="E980" s="102"/>
    </row>
    <row r="981" spans="5:5" ht="15.75" customHeight="1">
      <c r="E981" s="102"/>
    </row>
    <row r="982" spans="5:5" ht="15.75" customHeight="1">
      <c r="E982" s="102"/>
    </row>
    <row r="983" spans="5:5" ht="15.75" customHeight="1">
      <c r="E983" s="102"/>
    </row>
    <row r="984" spans="5:5" ht="15.75" customHeight="1">
      <c r="E984" s="102"/>
    </row>
    <row r="985" spans="5:5" ht="15.75" customHeight="1">
      <c r="E985" s="102"/>
    </row>
    <row r="986" spans="5:5" ht="15.75" customHeight="1">
      <c r="E986" s="102"/>
    </row>
    <row r="987" spans="5:5" ht="15.75" customHeight="1">
      <c r="E987" s="102"/>
    </row>
    <row r="988" spans="5:5" ht="15.75" customHeight="1">
      <c r="E988" s="102"/>
    </row>
    <row r="989" spans="5:5" ht="15.75" customHeight="1">
      <c r="E989" s="102"/>
    </row>
    <row r="990" spans="5:5" ht="15.75" customHeight="1">
      <c r="E990" s="102"/>
    </row>
    <row r="991" spans="5:5" ht="15.75" customHeight="1">
      <c r="E991" s="102"/>
    </row>
    <row r="992" spans="5:5" ht="15.75" customHeight="1">
      <c r="E992" s="102"/>
    </row>
    <row r="993" spans="5:5" ht="15.75" customHeight="1">
      <c r="E993" s="102"/>
    </row>
  </sheetData>
  <mergeCells count="1">
    <mergeCell ref="A1:B1"/>
  </mergeCells>
  <dataValidations count="2">
    <dataValidation type="decimal" allowBlank="1" showInputMessage="1" showErrorMessage="1" prompt="Marks must be binary: 1 or 0" sqref="K62 G3:G66 G68:G170 G172:G969">
      <formula1>0</formula1>
      <formula2>1</formula2>
    </dataValidation>
    <dataValidation type="list" allowBlank="1" showErrorMessage="1" sqref="H3:H50 H116:H167 H52:H114">
      <formula1>$L$7:$L$12</formula1>
    </dataValidation>
  </dataValidations>
  <pageMargins left="0.7" right="0.7" top="0.75" bottom="0.75" header="0" footer="0"/>
  <pageSetup paperSize="9" orientation="portrait"/>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S1000"/>
  <sheetViews>
    <sheetView zoomScaleNormal="100" workbookViewId="0">
      <pane ySplit="2" topLeftCell="A3" activePane="bottomLeft" state="frozen"/>
      <selection activeCell="F3" sqref="F3"/>
      <selection pane="bottomLeft" activeCell="G13" sqref="G13"/>
    </sheetView>
  </sheetViews>
  <sheetFormatPr defaultColWidth="14.44140625" defaultRowHeight="15" customHeight="1"/>
  <cols>
    <col min="1" max="1" width="11.88671875" style="104" customWidth="1"/>
    <col min="2" max="2" width="12.5546875" style="104" customWidth="1"/>
    <col min="3" max="3" width="13.21875" style="104" bestFit="1" customWidth="1"/>
    <col min="4" max="4" width="22.88671875" style="104" bestFit="1" customWidth="1"/>
    <col min="5" max="5" width="8.88671875" style="104" bestFit="1" customWidth="1"/>
    <col min="6" max="6" width="12.88671875" style="104" bestFit="1" customWidth="1"/>
    <col min="7" max="7" width="7.109375" style="104" customWidth="1"/>
    <col min="8" max="8" width="42.6640625" style="104" customWidth="1"/>
    <col min="9" max="9" width="62.6640625" style="104" customWidth="1"/>
    <col min="10" max="10" width="84.88671875" style="104" customWidth="1"/>
    <col min="11" max="11" width="8.6640625" style="104" customWidth="1"/>
    <col min="12" max="12" width="33.6640625" style="104" customWidth="1"/>
    <col min="13" max="13" width="82.33203125" style="104" customWidth="1"/>
    <col min="14" max="26" width="8.6640625" style="104" customWidth="1"/>
    <col min="27" max="16384" width="14.44140625" style="104"/>
  </cols>
  <sheetData>
    <row r="1" spans="1:19" ht="31.2">
      <c r="A1" s="257" t="s">
        <v>267</v>
      </c>
      <c r="B1" s="258"/>
      <c r="C1" s="258"/>
      <c r="D1" s="258"/>
      <c r="E1" s="102"/>
      <c r="F1" s="102"/>
    </row>
    <row r="2" spans="1:19" ht="14.25" customHeight="1">
      <c r="A2" s="125" t="s">
        <v>616</v>
      </c>
      <c r="B2" s="125" t="s">
        <v>617</v>
      </c>
      <c r="C2" s="125" t="s">
        <v>442</v>
      </c>
      <c r="D2" s="125" t="s">
        <v>618</v>
      </c>
      <c r="E2" s="125" t="s">
        <v>619</v>
      </c>
      <c r="F2" s="126" t="s">
        <v>620</v>
      </c>
      <c r="G2" s="131" t="s">
        <v>443</v>
      </c>
      <c r="H2" s="105" t="s">
        <v>621</v>
      </c>
      <c r="I2" s="105" t="s">
        <v>24</v>
      </c>
      <c r="J2" s="105" t="s">
        <v>907</v>
      </c>
      <c r="K2" s="107"/>
      <c r="L2" s="108" t="s">
        <v>623</v>
      </c>
      <c r="M2" s="109"/>
      <c r="N2" s="101"/>
      <c r="O2" s="101"/>
      <c r="P2" s="101"/>
      <c r="Q2" s="101"/>
    </row>
    <row r="3" spans="1:19" ht="14.25" customHeight="1">
      <c r="A3" s="110">
        <v>39</v>
      </c>
      <c r="B3" s="111" t="s">
        <v>271</v>
      </c>
      <c r="C3" s="111" t="s">
        <v>38</v>
      </c>
      <c r="D3" s="112" t="s">
        <v>791</v>
      </c>
      <c r="E3" s="112" t="s">
        <v>663</v>
      </c>
      <c r="F3" s="129" t="s">
        <v>687</v>
      </c>
      <c r="G3" s="133">
        <v>0</v>
      </c>
      <c r="H3" s="114" t="s">
        <v>634</v>
      </c>
      <c r="I3" s="111"/>
      <c r="J3" s="111"/>
      <c r="K3" s="101"/>
      <c r="L3" s="116" t="s">
        <v>967</v>
      </c>
      <c r="M3" s="117"/>
      <c r="N3" s="117"/>
      <c r="O3" s="117"/>
      <c r="P3" s="117"/>
      <c r="Q3" s="117"/>
      <c r="R3" s="117"/>
    </row>
    <row r="4" spans="1:19" ht="14.25" customHeight="1">
      <c r="A4" s="110">
        <v>28</v>
      </c>
      <c r="B4" s="111" t="s">
        <v>272</v>
      </c>
      <c r="C4" s="111" t="s">
        <v>40</v>
      </c>
      <c r="D4" s="112" t="s">
        <v>767</v>
      </c>
      <c r="E4" s="112" t="s">
        <v>659</v>
      </c>
      <c r="F4" s="111" t="s">
        <v>681</v>
      </c>
      <c r="G4" s="113">
        <v>1</v>
      </c>
      <c r="H4" s="111"/>
      <c r="I4" s="111"/>
      <c r="J4" s="111"/>
      <c r="K4" s="101"/>
      <c r="L4" s="101" t="s">
        <v>632</v>
      </c>
      <c r="M4" s="101"/>
      <c r="N4" s="101"/>
      <c r="O4" s="101"/>
      <c r="P4" s="101"/>
      <c r="Q4" s="101"/>
      <c r="S4" s="117"/>
    </row>
    <row r="5" spans="1:19" ht="14.25" customHeight="1">
      <c r="A5" s="110">
        <v>29</v>
      </c>
      <c r="B5" s="111" t="s">
        <v>273</v>
      </c>
      <c r="C5" s="111" t="s">
        <v>41</v>
      </c>
      <c r="D5" s="112" t="s">
        <v>769</v>
      </c>
      <c r="E5" s="112" t="s">
        <v>659</v>
      </c>
      <c r="F5" s="111" t="s">
        <v>681</v>
      </c>
      <c r="G5" s="113">
        <v>0</v>
      </c>
      <c r="H5" s="114" t="s">
        <v>634</v>
      </c>
      <c r="I5" s="111"/>
      <c r="J5" s="111"/>
      <c r="K5" s="101"/>
      <c r="L5" s="101"/>
      <c r="M5" s="101"/>
      <c r="N5" s="101"/>
      <c r="O5" s="101"/>
      <c r="P5" s="101"/>
      <c r="Q5" s="101"/>
    </row>
    <row r="6" spans="1:19" ht="14.25" customHeight="1">
      <c r="A6" s="110">
        <v>57</v>
      </c>
      <c r="B6" s="111" t="s">
        <v>274</v>
      </c>
      <c r="C6" s="111" t="s">
        <v>43</v>
      </c>
      <c r="D6" s="112" t="s">
        <v>835</v>
      </c>
      <c r="E6" s="112" t="s">
        <v>673</v>
      </c>
      <c r="F6" s="111" t="s">
        <v>651</v>
      </c>
      <c r="G6" s="113">
        <v>0</v>
      </c>
      <c r="H6" s="114" t="s">
        <v>634</v>
      </c>
      <c r="I6" s="111"/>
      <c r="J6" s="111"/>
      <c r="K6" s="101"/>
      <c r="L6" s="118" t="s">
        <v>635</v>
      </c>
      <c r="M6" s="118" t="s">
        <v>24</v>
      </c>
      <c r="N6" s="118"/>
      <c r="O6" s="118"/>
      <c r="P6" s="118"/>
      <c r="Q6" s="118"/>
      <c r="R6" s="118"/>
    </row>
    <row r="7" spans="1:19" ht="14.25" customHeight="1">
      <c r="A7" s="110">
        <v>11</v>
      </c>
      <c r="B7" s="111" t="s">
        <v>275</v>
      </c>
      <c r="C7" s="111" t="s">
        <v>44</v>
      </c>
      <c r="D7" s="112" t="s">
        <v>726</v>
      </c>
      <c r="E7" s="112" t="s">
        <v>624</v>
      </c>
      <c r="F7" s="111" t="s">
        <v>674</v>
      </c>
      <c r="G7" s="113">
        <v>1</v>
      </c>
      <c r="H7" s="111"/>
      <c r="I7" s="111"/>
      <c r="J7" s="111"/>
      <c r="K7" s="101"/>
      <c r="L7" s="101" t="s">
        <v>633</v>
      </c>
      <c r="M7" s="101" t="s">
        <v>636</v>
      </c>
      <c r="N7" s="101"/>
      <c r="O7" s="101"/>
      <c r="P7" s="101"/>
      <c r="Q7" s="101"/>
      <c r="S7" s="127"/>
    </row>
    <row r="8" spans="1:19" ht="14.25" customHeight="1">
      <c r="A8" s="110">
        <v>86</v>
      </c>
      <c r="B8" s="111" t="s">
        <v>276</v>
      </c>
      <c r="C8" s="111" t="s">
        <v>45</v>
      </c>
      <c r="D8" s="112" t="s">
        <v>899</v>
      </c>
      <c r="E8" s="112" t="s">
        <v>686</v>
      </c>
      <c r="F8" s="111" t="s">
        <v>670</v>
      </c>
      <c r="G8" s="113">
        <v>0</v>
      </c>
      <c r="H8" s="114" t="s">
        <v>634</v>
      </c>
      <c r="I8" s="111"/>
      <c r="J8" s="111"/>
      <c r="K8" s="101"/>
      <c r="L8" s="101" t="s">
        <v>639</v>
      </c>
      <c r="M8" s="101" t="s">
        <v>636</v>
      </c>
      <c r="N8" s="101"/>
      <c r="O8" s="101"/>
      <c r="P8" s="101"/>
      <c r="Q8" s="101"/>
    </row>
    <row r="9" spans="1:19" ht="14.25" customHeight="1">
      <c r="A9" s="110">
        <v>50</v>
      </c>
      <c r="B9" s="111" t="s">
        <v>277</v>
      </c>
      <c r="C9" s="111" t="s">
        <v>46</v>
      </c>
      <c r="D9" s="112" t="s">
        <v>815</v>
      </c>
      <c r="E9" s="112" t="s">
        <v>669</v>
      </c>
      <c r="F9" s="111" t="s">
        <v>625</v>
      </c>
      <c r="G9" s="113">
        <v>0</v>
      </c>
      <c r="H9" s="114" t="s">
        <v>626</v>
      </c>
      <c r="I9" s="114" t="s">
        <v>980</v>
      </c>
      <c r="J9" s="111"/>
      <c r="K9" s="101"/>
      <c r="L9" s="101" t="s">
        <v>637</v>
      </c>
      <c r="M9" s="119" t="s">
        <v>640</v>
      </c>
      <c r="N9" s="119"/>
      <c r="O9" s="119"/>
      <c r="P9" s="119"/>
      <c r="Q9" s="119"/>
      <c r="R9" s="119"/>
    </row>
    <row r="10" spans="1:19" ht="14.25" customHeight="1">
      <c r="A10" s="110">
        <v>37</v>
      </c>
      <c r="B10" s="111" t="s">
        <v>278</v>
      </c>
      <c r="C10" s="111" t="s">
        <v>47</v>
      </c>
      <c r="D10" s="112" t="s">
        <v>787</v>
      </c>
      <c r="E10" s="112" t="s">
        <v>663</v>
      </c>
      <c r="F10" s="129" t="s">
        <v>687</v>
      </c>
      <c r="G10" s="133"/>
      <c r="H10" s="111"/>
      <c r="I10" s="111"/>
      <c r="J10" s="111"/>
      <c r="K10" s="101"/>
      <c r="L10" s="101" t="s">
        <v>626</v>
      </c>
      <c r="M10" s="119" t="s">
        <v>641</v>
      </c>
      <c r="N10" s="119"/>
      <c r="O10" s="119"/>
      <c r="P10" s="119"/>
      <c r="Q10" s="101"/>
      <c r="S10" s="128"/>
    </row>
    <row r="11" spans="1:19" ht="14.25" customHeight="1">
      <c r="A11" s="110">
        <v>28</v>
      </c>
      <c r="B11" s="111" t="s">
        <v>279</v>
      </c>
      <c r="C11" s="111" t="s">
        <v>49</v>
      </c>
      <c r="D11" s="112" t="s">
        <v>768</v>
      </c>
      <c r="E11" s="112" t="s">
        <v>659</v>
      </c>
      <c r="F11" s="111" t="s">
        <v>681</v>
      </c>
      <c r="G11" s="113">
        <v>1</v>
      </c>
      <c r="H11" s="111"/>
      <c r="I11" s="111"/>
      <c r="J11" s="111"/>
      <c r="K11" s="101"/>
      <c r="L11" s="101" t="s">
        <v>642</v>
      </c>
      <c r="M11" s="119" t="s">
        <v>641</v>
      </c>
      <c r="N11" s="119"/>
      <c r="O11" s="119"/>
      <c r="P11" s="119"/>
      <c r="Q11" s="101"/>
    </row>
    <row r="12" spans="1:19" ht="14.25" customHeight="1">
      <c r="A12" s="110">
        <v>86</v>
      </c>
      <c r="B12" s="111" t="s">
        <v>280</v>
      </c>
      <c r="C12" s="111" t="s">
        <v>51</v>
      </c>
      <c r="D12" s="112" t="s">
        <v>900</v>
      </c>
      <c r="E12" s="112" t="s">
        <v>686</v>
      </c>
      <c r="F12" s="111" t="s">
        <v>670</v>
      </c>
      <c r="G12" s="113">
        <v>0</v>
      </c>
      <c r="H12" s="114" t="s">
        <v>634</v>
      </c>
      <c r="I12" s="111"/>
      <c r="J12" s="111"/>
      <c r="K12" s="101"/>
      <c r="L12" s="101" t="s">
        <v>634</v>
      </c>
      <c r="M12" s="101" t="s">
        <v>643</v>
      </c>
      <c r="N12" s="101"/>
      <c r="O12" s="101"/>
      <c r="P12" s="101"/>
      <c r="Q12" s="101"/>
    </row>
    <row r="13" spans="1:19" ht="14.25" customHeight="1">
      <c r="A13" s="110">
        <v>34</v>
      </c>
      <c r="B13" s="111" t="s">
        <v>281</v>
      </c>
      <c r="C13" s="111" t="s">
        <v>53</v>
      </c>
      <c r="D13" s="112" t="s">
        <v>781</v>
      </c>
      <c r="E13" s="112" t="s">
        <v>663</v>
      </c>
      <c r="F13" s="129" t="s">
        <v>687</v>
      </c>
      <c r="G13" s="133">
        <v>1</v>
      </c>
      <c r="H13" s="111"/>
      <c r="I13" s="111"/>
      <c r="J13" s="111"/>
      <c r="K13" s="101"/>
      <c r="M13" s="120" t="s">
        <v>644</v>
      </c>
      <c r="N13" s="101"/>
      <c r="O13" s="101"/>
      <c r="P13" s="101"/>
      <c r="Q13" s="101"/>
    </row>
    <row r="14" spans="1:19" ht="14.25" customHeight="1">
      <c r="A14" s="110">
        <v>11</v>
      </c>
      <c r="B14" s="111" t="s">
        <v>282</v>
      </c>
      <c r="C14" s="111" t="s">
        <v>54</v>
      </c>
      <c r="D14" s="112" t="s">
        <v>727</v>
      </c>
      <c r="E14" s="112" t="s">
        <v>624</v>
      </c>
      <c r="F14" s="111" t="s">
        <v>674</v>
      </c>
      <c r="G14" s="113"/>
      <c r="H14" s="111"/>
      <c r="I14" s="111"/>
      <c r="J14" s="111"/>
      <c r="K14" s="101"/>
      <c r="L14" s="101"/>
      <c r="N14" s="101"/>
      <c r="O14" s="101"/>
      <c r="P14" s="101"/>
      <c r="Q14" s="101"/>
    </row>
    <row r="15" spans="1:19" ht="14.25" customHeight="1">
      <c r="A15" s="110">
        <v>44</v>
      </c>
      <c r="B15" s="111" t="s">
        <v>283</v>
      </c>
      <c r="C15" s="111" t="s">
        <v>55</v>
      </c>
      <c r="D15" s="112" t="s">
        <v>802</v>
      </c>
      <c r="E15" s="112" t="s">
        <v>663</v>
      </c>
      <c r="F15" s="129" t="s">
        <v>687</v>
      </c>
      <c r="G15" s="133"/>
      <c r="H15" s="114" t="s">
        <v>634</v>
      </c>
      <c r="I15" s="111"/>
      <c r="J15" s="111"/>
      <c r="K15" s="101"/>
    </row>
    <row r="16" spans="1:19" ht="14.25" customHeight="1">
      <c r="A16" s="110">
        <v>50</v>
      </c>
      <c r="B16" s="111" t="s">
        <v>284</v>
      </c>
      <c r="C16" s="111" t="s">
        <v>56</v>
      </c>
      <c r="D16" s="112" t="s">
        <v>817</v>
      </c>
      <c r="E16" s="112" t="s">
        <v>669</v>
      </c>
      <c r="F16" s="111" t="s">
        <v>625</v>
      </c>
      <c r="G16" s="113"/>
      <c r="H16" s="111"/>
      <c r="I16" s="114" t="s">
        <v>981</v>
      </c>
      <c r="J16" s="111"/>
      <c r="K16" s="101"/>
    </row>
    <row r="17" spans="1:17" ht="14.25" customHeight="1">
      <c r="A17" s="110">
        <v>74</v>
      </c>
      <c r="B17" s="111" t="s">
        <v>285</v>
      </c>
      <c r="C17" s="111" t="s">
        <v>57</v>
      </c>
      <c r="D17" s="112" t="s">
        <v>875</v>
      </c>
      <c r="E17" s="112" t="s">
        <v>680</v>
      </c>
      <c r="F17" s="111" t="s">
        <v>660</v>
      </c>
      <c r="G17" s="113"/>
      <c r="H17" s="114" t="s">
        <v>634</v>
      </c>
      <c r="I17" s="114"/>
      <c r="J17" s="111"/>
      <c r="K17" s="101"/>
      <c r="L17" s="101"/>
      <c r="M17" s="101"/>
      <c r="N17" s="101"/>
      <c r="O17" s="101"/>
      <c r="P17" s="101"/>
      <c r="Q17" s="101"/>
    </row>
    <row r="18" spans="1:17" ht="14.25" customHeight="1">
      <c r="A18" s="110">
        <v>16</v>
      </c>
      <c r="B18" s="111" t="s">
        <v>286</v>
      </c>
      <c r="C18" s="111" t="s">
        <v>59</v>
      </c>
      <c r="D18" s="112" t="s">
        <v>739</v>
      </c>
      <c r="E18" s="112" t="s">
        <v>650</v>
      </c>
      <c r="F18" s="111" t="s">
        <v>664</v>
      </c>
      <c r="G18" s="113"/>
      <c r="H18" s="114" t="s">
        <v>626</v>
      </c>
      <c r="I18" s="114" t="s">
        <v>969</v>
      </c>
      <c r="J18" s="111"/>
      <c r="K18" s="101"/>
      <c r="L18" s="101"/>
      <c r="M18" s="101"/>
      <c r="N18" s="101"/>
      <c r="O18" s="101"/>
      <c r="P18" s="101"/>
      <c r="Q18" s="101"/>
    </row>
    <row r="19" spans="1:17" ht="14.25" customHeight="1">
      <c r="A19" s="110">
        <v>21</v>
      </c>
      <c r="B19" s="111" t="s">
        <v>287</v>
      </c>
      <c r="C19" s="111" t="s">
        <v>60</v>
      </c>
      <c r="D19" s="112" t="s">
        <v>750</v>
      </c>
      <c r="E19" s="112" t="s">
        <v>650</v>
      </c>
      <c r="F19" s="111" t="s">
        <v>664</v>
      </c>
      <c r="G19" s="113"/>
      <c r="H19" s="114" t="s">
        <v>634</v>
      </c>
      <c r="I19" s="111"/>
      <c r="J19" s="111"/>
    </row>
    <row r="20" spans="1:17" ht="14.25" customHeight="1">
      <c r="A20" s="110">
        <v>56</v>
      </c>
      <c r="B20" s="111" t="s">
        <v>288</v>
      </c>
      <c r="C20" s="111" t="s">
        <v>61</v>
      </c>
      <c r="D20" s="112" t="s">
        <v>833</v>
      </c>
      <c r="E20" s="112" t="s">
        <v>673</v>
      </c>
      <c r="F20" s="111" t="s">
        <v>651</v>
      </c>
      <c r="G20" s="113">
        <v>1</v>
      </c>
      <c r="H20" s="111"/>
      <c r="I20" s="111"/>
      <c r="J20" s="111"/>
    </row>
    <row r="21" spans="1:17" ht="14.25" customHeight="1">
      <c r="A21" s="110">
        <v>31</v>
      </c>
      <c r="B21" s="111" t="s">
        <v>289</v>
      </c>
      <c r="C21" s="111" t="s">
        <v>62</v>
      </c>
      <c r="D21" s="112" t="s">
        <v>775</v>
      </c>
      <c r="E21" s="112" t="s">
        <v>659</v>
      </c>
      <c r="F21" s="111" t="s">
        <v>681</v>
      </c>
      <c r="G21" s="113">
        <v>1</v>
      </c>
      <c r="H21" s="111"/>
      <c r="I21" s="111"/>
      <c r="J21" s="111"/>
    </row>
    <row r="22" spans="1:17" ht="14.25" customHeight="1">
      <c r="A22" s="110">
        <v>4</v>
      </c>
      <c r="B22" s="111" t="s">
        <v>290</v>
      </c>
      <c r="C22" s="111" t="s">
        <v>63</v>
      </c>
      <c r="D22" s="112" t="s">
        <v>710</v>
      </c>
      <c r="E22" s="112" t="s">
        <v>624</v>
      </c>
      <c r="F22" s="111" t="s">
        <v>674</v>
      </c>
      <c r="G22" s="113">
        <v>1</v>
      </c>
      <c r="H22" s="111"/>
      <c r="I22" s="111"/>
      <c r="J22" s="111"/>
    </row>
    <row r="23" spans="1:17" ht="14.25" customHeight="1">
      <c r="A23" s="110">
        <v>43</v>
      </c>
      <c r="B23" s="111" t="s">
        <v>291</v>
      </c>
      <c r="C23" s="111" t="s">
        <v>65</v>
      </c>
      <c r="D23" s="112" t="s">
        <v>800</v>
      </c>
      <c r="E23" s="112" t="s">
        <v>663</v>
      </c>
      <c r="F23" s="129" t="s">
        <v>687</v>
      </c>
      <c r="G23" s="133">
        <v>0</v>
      </c>
      <c r="H23" s="114" t="s">
        <v>626</v>
      </c>
      <c r="I23" s="114" t="s">
        <v>976</v>
      </c>
      <c r="J23" s="111"/>
    </row>
    <row r="24" spans="1:17" ht="14.25" customHeight="1">
      <c r="A24" s="110">
        <v>89</v>
      </c>
      <c r="B24" s="111" t="s">
        <v>292</v>
      </c>
      <c r="C24" s="111" t="s">
        <v>65</v>
      </c>
      <c r="D24" s="112" t="s">
        <v>877</v>
      </c>
      <c r="E24" s="112" t="s">
        <v>686</v>
      </c>
      <c r="F24" s="111" t="s">
        <v>670</v>
      </c>
      <c r="G24" s="113">
        <v>0</v>
      </c>
      <c r="H24" s="114" t="s">
        <v>634</v>
      </c>
      <c r="I24" s="111"/>
      <c r="J24" s="111"/>
    </row>
    <row r="25" spans="1:17" ht="14.25" customHeight="1">
      <c r="A25" s="110">
        <v>91</v>
      </c>
      <c r="B25" s="111" t="s">
        <v>293</v>
      </c>
      <c r="C25" s="111" t="s">
        <v>66</v>
      </c>
      <c r="D25" s="112" t="s">
        <v>793</v>
      </c>
      <c r="E25" s="112" t="s">
        <v>663</v>
      </c>
      <c r="F25" s="129" t="s">
        <v>687</v>
      </c>
      <c r="G25" s="133">
        <v>0</v>
      </c>
      <c r="H25" s="114" t="s">
        <v>634</v>
      </c>
      <c r="I25" s="111"/>
      <c r="J25" s="111"/>
    </row>
    <row r="26" spans="1:17" ht="14.25" customHeight="1">
      <c r="A26" s="110">
        <v>19</v>
      </c>
      <c r="B26" s="111" t="s">
        <v>294</v>
      </c>
      <c r="C26" s="111" t="s">
        <v>67</v>
      </c>
      <c r="D26" s="112" t="s">
        <v>745</v>
      </c>
      <c r="E26" s="112" t="s">
        <v>650</v>
      </c>
      <c r="F26" s="111" t="s">
        <v>664</v>
      </c>
      <c r="G26" s="113">
        <v>0</v>
      </c>
      <c r="H26" s="114" t="s">
        <v>626</v>
      </c>
      <c r="I26" s="114" t="s">
        <v>970</v>
      </c>
      <c r="J26" s="111"/>
    </row>
    <row r="27" spans="1:17" ht="14.25" customHeight="1">
      <c r="A27" s="110">
        <v>71</v>
      </c>
      <c r="B27" s="111" t="s">
        <v>295</v>
      </c>
      <c r="C27" s="111" t="s">
        <v>68</v>
      </c>
      <c r="D27" s="112" t="s">
        <v>869</v>
      </c>
      <c r="E27" s="112" t="s">
        <v>680</v>
      </c>
      <c r="F27" s="111" t="s">
        <v>660</v>
      </c>
      <c r="G27" s="113">
        <v>0</v>
      </c>
      <c r="H27" s="114" t="s">
        <v>634</v>
      </c>
      <c r="I27" s="114"/>
      <c r="J27" s="111"/>
    </row>
    <row r="28" spans="1:17" ht="14.25" customHeight="1">
      <c r="A28" s="110">
        <v>24</v>
      </c>
      <c r="B28" s="111" t="s">
        <v>296</v>
      </c>
      <c r="C28" s="111" t="s">
        <v>69</v>
      </c>
      <c r="D28" s="112" t="s">
        <v>757</v>
      </c>
      <c r="E28" s="112" t="s">
        <v>659</v>
      </c>
      <c r="F28" s="111" t="s">
        <v>681</v>
      </c>
      <c r="G28" s="113">
        <v>1</v>
      </c>
      <c r="H28" s="111"/>
      <c r="I28" s="111"/>
      <c r="J28" s="111"/>
    </row>
    <row r="29" spans="1:17" ht="14.25" customHeight="1">
      <c r="A29" s="110">
        <v>21</v>
      </c>
      <c r="B29" s="111" t="s">
        <v>297</v>
      </c>
      <c r="C29" s="111" t="s">
        <v>70</v>
      </c>
      <c r="D29" s="112" t="s">
        <v>751</v>
      </c>
      <c r="E29" s="112" t="s">
        <v>650</v>
      </c>
      <c r="F29" s="111" t="s">
        <v>664</v>
      </c>
      <c r="G29" s="113">
        <v>0</v>
      </c>
      <c r="H29" s="114" t="s">
        <v>634</v>
      </c>
      <c r="I29" s="111"/>
      <c r="J29" s="111"/>
    </row>
    <row r="30" spans="1:17" ht="14.25" customHeight="1">
      <c r="A30" s="110">
        <v>14</v>
      </c>
      <c r="B30" s="111" t="s">
        <v>298</v>
      </c>
      <c r="C30" s="111" t="s">
        <v>71</v>
      </c>
      <c r="D30" s="112" t="s">
        <v>732</v>
      </c>
      <c r="E30" s="112" t="s">
        <v>650</v>
      </c>
      <c r="F30" s="111" t="s">
        <v>664</v>
      </c>
      <c r="G30" s="113">
        <v>1</v>
      </c>
      <c r="H30" s="114"/>
      <c r="I30" s="114"/>
      <c r="J30" s="111"/>
    </row>
    <row r="31" spans="1:17" ht="14.25" customHeight="1">
      <c r="A31" s="110">
        <v>39</v>
      </c>
      <c r="B31" s="111" t="s">
        <v>299</v>
      </c>
      <c r="C31" s="111" t="s">
        <v>72</v>
      </c>
      <c r="D31" s="112" t="s">
        <v>792</v>
      </c>
      <c r="E31" s="112" t="s">
        <v>663</v>
      </c>
      <c r="F31" s="129" t="s">
        <v>687</v>
      </c>
      <c r="G31" s="133">
        <v>0</v>
      </c>
      <c r="H31" s="114" t="s">
        <v>634</v>
      </c>
      <c r="I31" s="111"/>
      <c r="J31" s="111"/>
    </row>
    <row r="32" spans="1:17" ht="14.25" customHeight="1">
      <c r="A32" s="110">
        <v>29</v>
      </c>
      <c r="B32" s="111" t="s">
        <v>300</v>
      </c>
      <c r="C32" s="111" t="s">
        <v>74</v>
      </c>
      <c r="D32" s="112" t="s">
        <v>770</v>
      </c>
      <c r="E32" s="112" t="s">
        <v>659</v>
      </c>
      <c r="F32" s="111" t="s">
        <v>681</v>
      </c>
      <c r="G32" s="113">
        <v>0</v>
      </c>
      <c r="H32" s="114" t="s">
        <v>634</v>
      </c>
      <c r="I32" s="111"/>
      <c r="J32" s="111"/>
    </row>
    <row r="33" spans="1:10" ht="14.25" customHeight="1">
      <c r="A33" s="110">
        <v>79</v>
      </c>
      <c r="B33" s="111" t="s">
        <v>301</v>
      </c>
      <c r="C33" s="111" t="s">
        <v>75</v>
      </c>
      <c r="D33" s="112" t="s">
        <v>884</v>
      </c>
      <c r="E33" s="112" t="s">
        <v>686</v>
      </c>
      <c r="F33" s="111" t="s">
        <v>670</v>
      </c>
      <c r="G33" s="113">
        <v>1</v>
      </c>
      <c r="H33" s="111"/>
      <c r="I33" s="114"/>
      <c r="J33" s="111"/>
    </row>
    <row r="34" spans="1:10" ht="14.25" customHeight="1">
      <c r="A34" s="110">
        <v>57</v>
      </c>
      <c r="B34" s="111" t="s">
        <v>302</v>
      </c>
      <c r="C34" s="111" t="s">
        <v>76</v>
      </c>
      <c r="D34" s="112" t="s">
        <v>836</v>
      </c>
      <c r="E34" s="112" t="s">
        <v>673</v>
      </c>
      <c r="F34" s="111" t="s">
        <v>651</v>
      </c>
      <c r="G34" s="113">
        <v>0</v>
      </c>
      <c r="H34" s="114" t="s">
        <v>634</v>
      </c>
      <c r="I34" s="111"/>
      <c r="J34" s="111"/>
    </row>
    <row r="35" spans="1:10" ht="14.25" customHeight="1">
      <c r="A35" s="110">
        <v>5</v>
      </c>
      <c r="B35" s="111" t="s">
        <v>303</v>
      </c>
      <c r="C35" s="111" t="s">
        <v>78</v>
      </c>
      <c r="D35" s="112" t="s">
        <v>712</v>
      </c>
      <c r="E35" s="112" t="s">
        <v>624</v>
      </c>
      <c r="F35" s="111" t="s">
        <v>674</v>
      </c>
      <c r="G35" s="113">
        <v>1</v>
      </c>
      <c r="H35" s="111"/>
      <c r="I35" s="111"/>
      <c r="J35" s="111"/>
    </row>
    <row r="36" spans="1:10" ht="14.25" customHeight="1">
      <c r="A36" s="110">
        <v>64</v>
      </c>
      <c r="B36" s="111" t="s">
        <v>304</v>
      </c>
      <c r="C36" s="111" t="s">
        <v>80</v>
      </c>
      <c r="D36" s="112" t="s">
        <v>853</v>
      </c>
      <c r="E36" s="112" t="s">
        <v>673</v>
      </c>
      <c r="F36" s="111" t="s">
        <v>651</v>
      </c>
      <c r="G36" s="113">
        <v>0</v>
      </c>
      <c r="H36" s="114" t="s">
        <v>626</v>
      </c>
      <c r="I36" s="114" t="s">
        <v>992</v>
      </c>
      <c r="J36" s="111"/>
    </row>
    <row r="37" spans="1:10" ht="14.25" customHeight="1">
      <c r="A37" s="110">
        <v>14</v>
      </c>
      <c r="B37" s="111" t="s">
        <v>305</v>
      </c>
      <c r="C37" s="111" t="s">
        <v>81</v>
      </c>
      <c r="D37" s="112" t="s">
        <v>734</v>
      </c>
      <c r="E37" s="112" t="s">
        <v>650</v>
      </c>
      <c r="F37" s="111" t="s">
        <v>664</v>
      </c>
      <c r="G37" s="113">
        <v>1</v>
      </c>
      <c r="H37" s="111"/>
      <c r="I37" s="111"/>
      <c r="J37" s="111"/>
    </row>
    <row r="38" spans="1:10" ht="14.25" customHeight="1">
      <c r="A38" s="110">
        <v>32</v>
      </c>
      <c r="B38" s="111" t="s">
        <v>306</v>
      </c>
      <c r="C38" s="111" t="s">
        <v>82</v>
      </c>
      <c r="D38" s="112" t="s">
        <v>778</v>
      </c>
      <c r="E38" s="112" t="s">
        <v>659</v>
      </c>
      <c r="F38" s="111" t="s">
        <v>681</v>
      </c>
      <c r="G38" s="113">
        <v>1</v>
      </c>
      <c r="H38" s="111"/>
      <c r="I38" s="111"/>
      <c r="J38" s="111"/>
    </row>
    <row r="39" spans="1:10" ht="14.25" customHeight="1">
      <c r="A39" s="110">
        <v>32</v>
      </c>
      <c r="B39" s="111" t="s">
        <v>307</v>
      </c>
      <c r="C39" s="111" t="s">
        <v>84</v>
      </c>
      <c r="D39" s="112" t="s">
        <v>779</v>
      </c>
      <c r="E39" s="112" t="s">
        <v>659</v>
      </c>
      <c r="F39" s="132" t="s">
        <v>681</v>
      </c>
      <c r="G39" s="133">
        <v>1</v>
      </c>
      <c r="H39" s="111"/>
      <c r="I39" s="111"/>
      <c r="J39" s="111"/>
    </row>
    <row r="40" spans="1:10" ht="14.25" customHeight="1">
      <c r="A40" s="110">
        <v>66</v>
      </c>
      <c r="B40" s="111" t="s">
        <v>308</v>
      </c>
      <c r="C40" s="111" t="s">
        <v>85</v>
      </c>
      <c r="D40" s="112" t="s">
        <v>857</v>
      </c>
      <c r="E40" s="112" t="s">
        <v>680</v>
      </c>
      <c r="F40" s="111" t="s">
        <v>660</v>
      </c>
      <c r="G40" s="113">
        <v>0</v>
      </c>
      <c r="H40" s="114" t="s">
        <v>634</v>
      </c>
      <c r="I40" s="111"/>
      <c r="J40" s="111"/>
    </row>
    <row r="41" spans="1:10" ht="14.25" customHeight="1">
      <c r="A41" s="110">
        <v>8</v>
      </c>
      <c r="B41" s="111" t="s">
        <v>309</v>
      </c>
      <c r="C41" s="111" t="s">
        <v>86</v>
      </c>
      <c r="D41" s="112" t="s">
        <v>719</v>
      </c>
      <c r="E41" s="112" t="s">
        <v>624</v>
      </c>
      <c r="F41" s="111" t="s">
        <v>674</v>
      </c>
      <c r="G41" s="113">
        <v>1</v>
      </c>
      <c r="H41" s="111"/>
      <c r="I41" s="111"/>
      <c r="J41" s="111"/>
    </row>
    <row r="42" spans="1:10" ht="14.25" customHeight="1">
      <c r="A42" s="110">
        <v>10</v>
      </c>
      <c r="B42" s="111" t="s">
        <v>310</v>
      </c>
      <c r="C42" s="111" t="s">
        <v>88</v>
      </c>
      <c r="D42" s="112" t="s">
        <v>724</v>
      </c>
      <c r="E42" s="112" t="s">
        <v>624</v>
      </c>
      <c r="F42" s="111" t="s">
        <v>674</v>
      </c>
      <c r="G42" s="113">
        <v>1</v>
      </c>
      <c r="H42" s="111"/>
      <c r="I42" s="111"/>
      <c r="J42" s="111"/>
    </row>
    <row r="43" spans="1:10" ht="14.25" customHeight="1">
      <c r="A43" s="110">
        <v>6</v>
      </c>
      <c r="B43" s="111" t="s">
        <v>311</v>
      </c>
      <c r="C43" s="111" t="s">
        <v>89</v>
      </c>
      <c r="D43" s="112" t="s">
        <v>715</v>
      </c>
      <c r="E43" s="112" t="s">
        <v>624</v>
      </c>
      <c r="F43" s="111" t="s">
        <v>674</v>
      </c>
      <c r="G43" s="113">
        <v>1</v>
      </c>
      <c r="H43" s="111"/>
      <c r="I43" s="111"/>
      <c r="J43" s="111"/>
    </row>
    <row r="44" spans="1:10" ht="14.25" customHeight="1">
      <c r="A44" s="110">
        <v>48</v>
      </c>
      <c r="B44" s="111" t="s">
        <v>312</v>
      </c>
      <c r="C44" s="111" t="s">
        <v>90</v>
      </c>
      <c r="D44" s="112" t="s">
        <v>811</v>
      </c>
      <c r="E44" s="112" t="s">
        <v>669</v>
      </c>
      <c r="F44" s="111" t="s">
        <v>625</v>
      </c>
      <c r="G44" s="113">
        <v>1</v>
      </c>
      <c r="H44" s="111"/>
      <c r="I44" s="114" t="s">
        <v>978</v>
      </c>
      <c r="J44" s="111"/>
    </row>
    <row r="45" spans="1:10" ht="14.25" customHeight="1">
      <c r="A45" s="110">
        <v>18</v>
      </c>
      <c r="B45" s="111" t="s">
        <v>313</v>
      </c>
      <c r="C45" s="111" t="s">
        <v>91</v>
      </c>
      <c r="D45" s="112" t="s">
        <v>743</v>
      </c>
      <c r="E45" s="112" t="s">
        <v>650</v>
      </c>
      <c r="F45" s="111" t="s">
        <v>664</v>
      </c>
      <c r="G45" s="113">
        <v>1</v>
      </c>
      <c r="H45" s="111"/>
      <c r="I45" s="136" t="s">
        <v>1008</v>
      </c>
      <c r="J45" s="111"/>
    </row>
    <row r="46" spans="1:10" ht="14.25" customHeight="1">
      <c r="A46" s="110">
        <v>15</v>
      </c>
      <c r="B46" s="111" t="s">
        <v>314</v>
      </c>
      <c r="C46" s="111" t="s">
        <v>92</v>
      </c>
      <c r="D46" s="112" t="s">
        <v>736</v>
      </c>
      <c r="E46" s="112" t="s">
        <v>650</v>
      </c>
      <c r="F46" s="111" t="s">
        <v>664</v>
      </c>
      <c r="G46" s="113">
        <v>1</v>
      </c>
      <c r="H46" s="114"/>
      <c r="I46" s="114"/>
      <c r="J46" s="111"/>
    </row>
    <row r="47" spans="1:10" ht="14.25" customHeight="1">
      <c r="A47" s="110">
        <v>34</v>
      </c>
      <c r="B47" s="111" t="s">
        <v>315</v>
      </c>
      <c r="C47" s="111" t="s">
        <v>93</v>
      </c>
      <c r="D47" s="112" t="s">
        <v>782</v>
      </c>
      <c r="E47" s="112" t="s">
        <v>663</v>
      </c>
      <c r="F47" s="129" t="s">
        <v>687</v>
      </c>
      <c r="G47" s="133">
        <v>1</v>
      </c>
      <c r="H47" s="111"/>
      <c r="I47" s="111"/>
      <c r="J47" s="111"/>
    </row>
    <row r="48" spans="1:10" ht="14.25" customHeight="1">
      <c r="A48" s="110">
        <v>48</v>
      </c>
      <c r="B48" s="111" t="s">
        <v>316</v>
      </c>
      <c r="C48" s="111" t="s">
        <v>95</v>
      </c>
      <c r="D48" s="112" t="s">
        <v>812</v>
      </c>
      <c r="E48" s="112" t="s">
        <v>669</v>
      </c>
      <c r="F48" s="111" t="s">
        <v>625</v>
      </c>
      <c r="G48" s="113">
        <v>0</v>
      </c>
      <c r="H48" s="114" t="s">
        <v>626</v>
      </c>
      <c r="I48" s="114" t="s">
        <v>979</v>
      </c>
      <c r="J48" s="111"/>
    </row>
    <row r="49" spans="1:10" ht="14.25" customHeight="1">
      <c r="A49" s="110">
        <v>16</v>
      </c>
      <c r="B49" s="111" t="s">
        <v>317</v>
      </c>
      <c r="C49" s="111" t="s">
        <v>97</v>
      </c>
      <c r="D49" s="112" t="s">
        <v>740</v>
      </c>
      <c r="E49" s="112" t="s">
        <v>650</v>
      </c>
      <c r="F49" s="111" t="s">
        <v>664</v>
      </c>
      <c r="G49" s="113">
        <v>1</v>
      </c>
      <c r="H49" s="114"/>
      <c r="I49" s="114"/>
      <c r="J49" s="111"/>
    </row>
    <row r="50" spans="1:10" ht="14.25" customHeight="1">
      <c r="A50" s="110">
        <v>33</v>
      </c>
      <c r="B50" s="111" t="s">
        <v>318</v>
      </c>
      <c r="C50" s="111" t="s">
        <v>98</v>
      </c>
      <c r="D50" s="112" t="s">
        <v>99</v>
      </c>
      <c r="E50" s="112" t="s">
        <v>659</v>
      </c>
      <c r="F50" s="132" t="s">
        <v>681</v>
      </c>
      <c r="G50" s="133">
        <v>1</v>
      </c>
      <c r="H50" s="111"/>
      <c r="I50" s="111"/>
      <c r="J50" s="111"/>
    </row>
    <row r="51" spans="1:10" ht="14.25" customHeight="1">
      <c r="A51" s="110">
        <v>10</v>
      </c>
      <c r="B51" s="111" t="s">
        <v>319</v>
      </c>
      <c r="C51" s="111" t="s">
        <v>100</v>
      </c>
      <c r="D51" s="112" t="s">
        <v>725</v>
      </c>
      <c r="E51" s="112" t="s">
        <v>624</v>
      </c>
      <c r="F51" s="111" t="s">
        <v>674</v>
      </c>
      <c r="G51" s="113">
        <v>0</v>
      </c>
      <c r="H51" s="114" t="s">
        <v>633</v>
      </c>
      <c r="I51" s="111"/>
      <c r="J51" s="111"/>
    </row>
    <row r="52" spans="1:10" ht="14.25" customHeight="1">
      <c r="A52" s="110">
        <v>13</v>
      </c>
      <c r="B52" s="111" t="s">
        <v>320</v>
      </c>
      <c r="C52" s="111" t="s">
        <v>101</v>
      </c>
      <c r="D52" s="112" t="s">
        <v>730</v>
      </c>
      <c r="E52" s="112" t="s">
        <v>650</v>
      </c>
      <c r="F52" s="111" t="s">
        <v>664</v>
      </c>
      <c r="G52" s="113">
        <v>1</v>
      </c>
      <c r="H52" s="111"/>
      <c r="I52" s="111"/>
      <c r="J52" s="111"/>
    </row>
    <row r="53" spans="1:10" ht="14.25" customHeight="1">
      <c r="A53" s="110">
        <v>66</v>
      </c>
      <c r="B53" s="111" t="s">
        <v>321</v>
      </c>
      <c r="C53" s="111" t="s">
        <v>102</v>
      </c>
      <c r="D53" s="112" t="s">
        <v>858</v>
      </c>
      <c r="E53" s="112" t="s">
        <v>680</v>
      </c>
      <c r="F53" s="111" t="s">
        <v>660</v>
      </c>
      <c r="G53" s="113">
        <v>0</v>
      </c>
      <c r="H53" s="114" t="s">
        <v>634</v>
      </c>
      <c r="I53" s="111"/>
      <c r="J53" s="111"/>
    </row>
    <row r="54" spans="1:10" ht="14.25" customHeight="1">
      <c r="A54" s="110">
        <v>56</v>
      </c>
      <c r="B54" s="111" t="s">
        <v>322</v>
      </c>
      <c r="C54" s="111" t="s">
        <v>103</v>
      </c>
      <c r="D54" s="112" t="s">
        <v>834</v>
      </c>
      <c r="E54" s="112" t="s">
        <v>673</v>
      </c>
      <c r="F54" s="111" t="s">
        <v>651</v>
      </c>
      <c r="G54" s="113">
        <v>1</v>
      </c>
      <c r="H54" s="111"/>
      <c r="I54" s="111"/>
      <c r="J54" s="111"/>
    </row>
    <row r="55" spans="1:10" ht="14.25" customHeight="1">
      <c r="A55" s="110">
        <v>62</v>
      </c>
      <c r="B55" s="111" t="s">
        <v>323</v>
      </c>
      <c r="C55" s="111" t="s">
        <v>103</v>
      </c>
      <c r="D55" s="112" t="s">
        <v>848</v>
      </c>
      <c r="E55" s="112" t="s">
        <v>673</v>
      </c>
      <c r="F55" s="111" t="s">
        <v>651</v>
      </c>
      <c r="G55" s="113">
        <v>0</v>
      </c>
      <c r="H55" s="114" t="s">
        <v>626</v>
      </c>
      <c r="I55" s="114" t="s">
        <v>991</v>
      </c>
      <c r="J55" s="111"/>
    </row>
    <row r="56" spans="1:10" ht="14.25" customHeight="1">
      <c r="A56" s="110">
        <v>13</v>
      </c>
      <c r="B56" s="111" t="s">
        <v>324</v>
      </c>
      <c r="C56" s="111" t="s">
        <v>104</v>
      </c>
      <c r="D56" s="112" t="s">
        <v>731</v>
      </c>
      <c r="E56" s="112" t="s">
        <v>650</v>
      </c>
      <c r="F56" s="111" t="s">
        <v>664</v>
      </c>
      <c r="G56" s="113">
        <v>1</v>
      </c>
      <c r="H56" s="114"/>
      <c r="I56" s="114"/>
      <c r="J56" s="111"/>
    </row>
    <row r="57" spans="1:10" ht="14.25" customHeight="1">
      <c r="A57" s="110">
        <v>70</v>
      </c>
      <c r="B57" s="111" t="s">
        <v>325</v>
      </c>
      <c r="C57" s="111" t="s">
        <v>106</v>
      </c>
      <c r="D57" s="112" t="s">
        <v>866</v>
      </c>
      <c r="E57" s="112" t="s">
        <v>680</v>
      </c>
      <c r="F57" s="111" t="s">
        <v>660</v>
      </c>
      <c r="G57" s="113">
        <v>1</v>
      </c>
      <c r="H57" s="111"/>
      <c r="I57" s="114"/>
      <c r="J57" s="111"/>
    </row>
    <row r="58" spans="1:10" ht="14.25" customHeight="1">
      <c r="A58" s="110">
        <v>9</v>
      </c>
      <c r="B58" s="111" t="s">
        <v>326</v>
      </c>
      <c r="C58" s="111" t="s">
        <v>18</v>
      </c>
      <c r="D58" s="112" t="s">
        <v>722</v>
      </c>
      <c r="E58" s="112" t="s">
        <v>624</v>
      </c>
      <c r="F58" s="111" t="s">
        <v>674</v>
      </c>
      <c r="G58" s="113">
        <v>1</v>
      </c>
      <c r="H58" s="111"/>
      <c r="I58" s="111"/>
      <c r="J58" s="111"/>
    </row>
    <row r="59" spans="1:10" ht="14.25" customHeight="1">
      <c r="A59" s="110">
        <v>85</v>
      </c>
      <c r="B59" s="111" t="s">
        <v>327</v>
      </c>
      <c r="C59" s="111" t="s">
        <v>107</v>
      </c>
      <c r="D59" s="112" t="s">
        <v>896</v>
      </c>
      <c r="E59" s="112" t="s">
        <v>686</v>
      </c>
      <c r="F59" s="111" t="s">
        <v>670</v>
      </c>
      <c r="G59" s="113">
        <v>1</v>
      </c>
      <c r="H59" s="111"/>
      <c r="I59" s="111"/>
      <c r="J59" s="111"/>
    </row>
    <row r="60" spans="1:10" ht="14.25" customHeight="1">
      <c r="A60" s="110">
        <v>53</v>
      </c>
      <c r="B60" s="111" t="s">
        <v>328</v>
      </c>
      <c r="C60" s="111" t="s">
        <v>109</v>
      </c>
      <c r="D60" s="112" t="s">
        <v>825</v>
      </c>
      <c r="E60" s="112" t="s">
        <v>669</v>
      </c>
      <c r="F60" s="111" t="s">
        <v>625</v>
      </c>
      <c r="G60" s="113">
        <v>0</v>
      </c>
      <c r="H60" s="114" t="s">
        <v>626</v>
      </c>
      <c r="I60" s="114" t="s">
        <v>986</v>
      </c>
      <c r="J60" s="111"/>
    </row>
    <row r="61" spans="1:10" ht="14.25" customHeight="1">
      <c r="A61" s="110">
        <v>22</v>
      </c>
      <c r="B61" s="111" t="s">
        <v>330</v>
      </c>
      <c r="C61" s="111" t="s">
        <v>110</v>
      </c>
      <c r="D61" s="112" t="s">
        <v>752</v>
      </c>
      <c r="E61" s="112" t="s">
        <v>650</v>
      </c>
      <c r="F61" s="111" t="s">
        <v>664</v>
      </c>
      <c r="G61" s="113">
        <v>1</v>
      </c>
      <c r="H61" s="114"/>
      <c r="I61" s="114"/>
      <c r="J61" s="111"/>
    </row>
    <row r="62" spans="1:10" ht="14.25" customHeight="1">
      <c r="A62" s="110">
        <v>87</v>
      </c>
      <c r="B62" s="111" t="s">
        <v>331</v>
      </c>
      <c r="C62" s="111" t="s">
        <v>112</v>
      </c>
      <c r="D62" s="112">
        <v>2341547</v>
      </c>
      <c r="E62" s="112" t="s">
        <v>680</v>
      </c>
      <c r="F62" s="111" t="s">
        <v>660</v>
      </c>
      <c r="G62" s="113">
        <v>1</v>
      </c>
      <c r="H62" s="111"/>
      <c r="I62" s="114"/>
      <c r="J62" s="111"/>
    </row>
    <row r="63" spans="1:10" ht="14.25" customHeight="1">
      <c r="A63" s="110">
        <v>25</v>
      </c>
      <c r="B63" s="111" t="s">
        <v>332</v>
      </c>
      <c r="C63" s="111" t="s">
        <v>113</v>
      </c>
      <c r="D63" s="112" t="s">
        <v>759</v>
      </c>
      <c r="E63" s="112" t="s">
        <v>659</v>
      </c>
      <c r="F63" s="111" t="s">
        <v>681</v>
      </c>
      <c r="G63" s="113">
        <v>1</v>
      </c>
      <c r="H63" s="111"/>
      <c r="I63" s="111"/>
      <c r="J63" s="111"/>
    </row>
    <row r="64" spans="1:10" ht="14.25" customHeight="1">
      <c r="A64" s="110">
        <v>77</v>
      </c>
      <c r="B64" s="111" t="s">
        <v>333</v>
      </c>
      <c r="C64" s="111" t="s">
        <v>115</v>
      </c>
      <c r="D64" s="112" t="s">
        <v>878</v>
      </c>
      <c r="E64" s="112" t="s">
        <v>686</v>
      </c>
      <c r="F64" s="111" t="s">
        <v>670</v>
      </c>
      <c r="G64" s="113">
        <v>1</v>
      </c>
      <c r="H64" s="111"/>
      <c r="I64" s="114"/>
      <c r="J64" s="111"/>
    </row>
    <row r="65" spans="1:10" ht="14.25" customHeight="1">
      <c r="A65" s="110">
        <v>15</v>
      </c>
      <c r="B65" s="111" t="s">
        <v>334</v>
      </c>
      <c r="C65" s="111" t="s">
        <v>19</v>
      </c>
      <c r="D65" s="112" t="s">
        <v>738</v>
      </c>
      <c r="E65" s="112" t="s">
        <v>650</v>
      </c>
      <c r="F65" s="111" t="s">
        <v>664</v>
      </c>
      <c r="G65" s="113">
        <v>1</v>
      </c>
      <c r="H65" s="111"/>
      <c r="I65" s="111"/>
      <c r="J65" s="111"/>
    </row>
    <row r="66" spans="1:10" ht="14.25" customHeight="1">
      <c r="A66" s="110">
        <v>38</v>
      </c>
      <c r="B66" s="111" t="s">
        <v>335</v>
      </c>
      <c r="C66" s="111" t="s">
        <v>118</v>
      </c>
      <c r="D66" s="112" t="s">
        <v>789</v>
      </c>
      <c r="E66" s="112" t="s">
        <v>663</v>
      </c>
      <c r="F66" s="129" t="s">
        <v>687</v>
      </c>
      <c r="G66" s="133">
        <v>1</v>
      </c>
      <c r="H66" s="111"/>
      <c r="I66" s="111"/>
      <c r="J66" s="111"/>
    </row>
    <row r="67" spans="1:10" ht="14.25" customHeight="1">
      <c r="A67" s="110">
        <v>35</v>
      </c>
      <c r="B67" s="111" t="s">
        <v>336</v>
      </c>
      <c r="C67" s="111" t="s">
        <v>119</v>
      </c>
      <c r="D67" s="112" t="s">
        <v>783</v>
      </c>
      <c r="E67" s="112" t="s">
        <v>663</v>
      </c>
      <c r="F67" s="129" t="s">
        <v>687</v>
      </c>
      <c r="G67" s="133">
        <v>1</v>
      </c>
      <c r="H67" s="111"/>
      <c r="I67" s="111"/>
      <c r="J67" s="111"/>
    </row>
    <row r="68" spans="1:10" ht="14.25" customHeight="1">
      <c r="A68" s="110">
        <v>47</v>
      </c>
      <c r="B68" s="111" t="s">
        <v>337</v>
      </c>
      <c r="C68" s="111" t="s">
        <v>121</v>
      </c>
      <c r="D68" s="112" t="s">
        <v>809</v>
      </c>
      <c r="E68" s="112" t="s">
        <v>669</v>
      </c>
      <c r="F68" s="111" t="s">
        <v>625</v>
      </c>
      <c r="G68" s="113">
        <v>0</v>
      </c>
      <c r="H68" s="114" t="s">
        <v>633</v>
      </c>
      <c r="I68" s="111"/>
      <c r="J68" s="111"/>
    </row>
    <row r="69" spans="1:10" ht="14.25" customHeight="1">
      <c r="A69" s="110">
        <v>53</v>
      </c>
      <c r="B69" s="111" t="s">
        <v>338</v>
      </c>
      <c r="C69" s="111" t="s">
        <v>122</v>
      </c>
      <c r="D69" s="112" t="s">
        <v>827</v>
      </c>
      <c r="E69" s="112" t="s">
        <v>669</v>
      </c>
      <c r="F69" s="111" t="s">
        <v>625</v>
      </c>
      <c r="G69" s="113">
        <v>1</v>
      </c>
      <c r="H69" s="111"/>
      <c r="I69" s="114" t="s">
        <v>987</v>
      </c>
      <c r="J69" s="111"/>
    </row>
    <row r="70" spans="1:10" ht="14.25" customHeight="1">
      <c r="A70" s="110">
        <v>54</v>
      </c>
      <c r="B70" s="111" t="s">
        <v>339</v>
      </c>
      <c r="C70" s="111" t="s">
        <v>123</v>
      </c>
      <c r="D70" s="112" t="s">
        <v>828</v>
      </c>
      <c r="E70" s="112" t="s">
        <v>669</v>
      </c>
      <c r="F70" s="111" t="s">
        <v>625</v>
      </c>
      <c r="G70" s="113">
        <v>1</v>
      </c>
      <c r="H70" s="111"/>
      <c r="I70" s="114" t="s">
        <v>978</v>
      </c>
      <c r="J70" s="111"/>
    </row>
    <row r="71" spans="1:10" ht="14.25" customHeight="1">
      <c r="A71" s="110">
        <v>12</v>
      </c>
      <c r="B71" s="111" t="s">
        <v>340</v>
      </c>
      <c r="C71" s="111" t="s">
        <v>125</v>
      </c>
      <c r="D71" s="112" t="s">
        <v>728</v>
      </c>
      <c r="E71" s="112" t="s">
        <v>650</v>
      </c>
      <c r="F71" s="111" t="s">
        <v>664</v>
      </c>
      <c r="G71" s="113">
        <v>0</v>
      </c>
      <c r="H71" s="114" t="s">
        <v>626</v>
      </c>
      <c r="I71" s="114" t="s">
        <v>968</v>
      </c>
      <c r="J71" s="111"/>
    </row>
    <row r="72" spans="1:10" ht="14.25" customHeight="1">
      <c r="A72" s="110">
        <v>77</v>
      </c>
      <c r="B72" s="111" t="s">
        <v>341</v>
      </c>
      <c r="C72" s="111" t="s">
        <v>127</v>
      </c>
      <c r="D72" s="112" t="s">
        <v>880</v>
      </c>
      <c r="E72" s="112" t="s">
        <v>686</v>
      </c>
      <c r="F72" s="111" t="s">
        <v>670</v>
      </c>
      <c r="G72" s="113">
        <v>1</v>
      </c>
      <c r="H72" s="111"/>
      <c r="I72" s="114"/>
      <c r="J72" s="111"/>
    </row>
    <row r="73" spans="1:10" ht="14.25" customHeight="1">
      <c r="A73" s="110">
        <v>58</v>
      </c>
      <c r="B73" s="111" t="s">
        <v>342</v>
      </c>
      <c r="C73" s="111" t="s">
        <v>128</v>
      </c>
      <c r="D73" s="112" t="s">
        <v>838</v>
      </c>
      <c r="E73" s="112" t="s">
        <v>673</v>
      </c>
      <c r="F73" s="111" t="s">
        <v>651</v>
      </c>
      <c r="G73" s="113">
        <v>0</v>
      </c>
      <c r="H73" s="114" t="s">
        <v>626</v>
      </c>
      <c r="I73" s="114" t="s">
        <v>989</v>
      </c>
      <c r="J73" s="111"/>
    </row>
    <row r="74" spans="1:10" ht="14.25" customHeight="1">
      <c r="A74" s="110">
        <v>72</v>
      </c>
      <c r="B74" s="111" t="s">
        <v>343</v>
      </c>
      <c r="C74" s="111" t="s">
        <v>130</v>
      </c>
      <c r="D74" s="112" t="s">
        <v>871</v>
      </c>
      <c r="E74" s="112" t="s">
        <v>680</v>
      </c>
      <c r="F74" s="111" t="s">
        <v>660</v>
      </c>
      <c r="G74" s="113">
        <v>0</v>
      </c>
      <c r="H74" s="114" t="s">
        <v>634</v>
      </c>
      <c r="I74" s="114"/>
      <c r="J74" s="111"/>
    </row>
    <row r="75" spans="1:10" ht="14.25" customHeight="1">
      <c r="A75" s="110">
        <v>72</v>
      </c>
      <c r="B75" s="111" t="s">
        <v>344</v>
      </c>
      <c r="C75" s="111" t="s">
        <v>131</v>
      </c>
      <c r="D75" s="112" t="s">
        <v>872</v>
      </c>
      <c r="E75" s="112" t="s">
        <v>680</v>
      </c>
      <c r="F75" s="111" t="s">
        <v>660</v>
      </c>
      <c r="G75" s="113">
        <v>0</v>
      </c>
      <c r="H75" s="114" t="s">
        <v>634</v>
      </c>
      <c r="I75" s="114"/>
      <c r="J75" s="111"/>
    </row>
    <row r="76" spans="1:10" ht="14.25" customHeight="1">
      <c r="A76" s="110">
        <v>41</v>
      </c>
      <c r="B76" s="111" t="s">
        <v>345</v>
      </c>
      <c r="C76" s="111" t="s">
        <v>133</v>
      </c>
      <c r="D76" s="112" t="s">
        <v>795</v>
      </c>
      <c r="E76" s="112" t="s">
        <v>663</v>
      </c>
      <c r="F76" s="129" t="s">
        <v>687</v>
      </c>
      <c r="G76" s="133">
        <v>1</v>
      </c>
      <c r="H76" s="111"/>
      <c r="I76" s="111"/>
      <c r="J76" s="111"/>
    </row>
    <row r="77" spans="1:10" ht="14.25" customHeight="1">
      <c r="A77" s="110">
        <v>51</v>
      </c>
      <c r="B77" s="111" t="s">
        <v>346</v>
      </c>
      <c r="C77" s="111" t="s">
        <v>134</v>
      </c>
      <c r="D77" s="112" t="s">
        <v>818</v>
      </c>
      <c r="E77" s="112" t="s">
        <v>669</v>
      </c>
      <c r="F77" s="111" t="s">
        <v>625</v>
      </c>
      <c r="G77" s="113">
        <v>0</v>
      </c>
      <c r="H77" s="114" t="s">
        <v>642</v>
      </c>
      <c r="I77" s="114" t="s">
        <v>982</v>
      </c>
      <c r="J77" s="111"/>
    </row>
    <row r="78" spans="1:10" ht="14.25" customHeight="1">
      <c r="A78" s="110">
        <v>30</v>
      </c>
      <c r="B78" s="111" t="s">
        <v>347</v>
      </c>
      <c r="C78" s="111" t="s">
        <v>136</v>
      </c>
      <c r="D78" s="112" t="s">
        <v>773</v>
      </c>
      <c r="E78" s="112" t="s">
        <v>659</v>
      </c>
      <c r="F78" s="111" t="s">
        <v>681</v>
      </c>
      <c r="G78" s="113">
        <v>0</v>
      </c>
      <c r="H78" s="114" t="s">
        <v>626</v>
      </c>
      <c r="I78" s="114" t="s">
        <v>971</v>
      </c>
      <c r="J78" s="111"/>
    </row>
    <row r="79" spans="1:10" ht="14.25" customHeight="1">
      <c r="A79" s="110">
        <v>78</v>
      </c>
      <c r="B79" s="111" t="s">
        <v>348</v>
      </c>
      <c r="C79" s="111" t="s">
        <v>137</v>
      </c>
      <c r="D79" s="112" t="s">
        <v>881</v>
      </c>
      <c r="E79" s="112" t="s">
        <v>686</v>
      </c>
      <c r="F79" s="111" t="s">
        <v>670</v>
      </c>
      <c r="G79" s="113">
        <v>0</v>
      </c>
      <c r="H79" s="114" t="s">
        <v>637</v>
      </c>
      <c r="I79" s="114" t="s">
        <v>1000</v>
      </c>
      <c r="J79" s="111"/>
    </row>
    <row r="80" spans="1:10" ht="14.25" customHeight="1">
      <c r="A80" s="110">
        <v>24</v>
      </c>
      <c r="B80" s="111" t="s">
        <v>349</v>
      </c>
      <c r="C80" s="111" t="s">
        <v>138</v>
      </c>
      <c r="D80" s="112" t="s">
        <v>758</v>
      </c>
      <c r="E80" s="112" t="s">
        <v>659</v>
      </c>
      <c r="F80" s="111" t="s">
        <v>681</v>
      </c>
      <c r="G80" s="113">
        <v>1</v>
      </c>
      <c r="H80" s="111"/>
      <c r="I80" s="111"/>
      <c r="J80" s="111"/>
    </row>
    <row r="81" spans="1:10" ht="14.25" customHeight="1">
      <c r="A81" s="110">
        <v>41</v>
      </c>
      <c r="B81" s="111" t="s">
        <v>351</v>
      </c>
      <c r="C81" s="111" t="s">
        <v>140</v>
      </c>
      <c r="D81" s="112" t="s">
        <v>796</v>
      </c>
      <c r="E81" s="112" t="s">
        <v>663</v>
      </c>
      <c r="F81" s="129" t="s">
        <v>687</v>
      </c>
      <c r="G81" s="133">
        <v>0</v>
      </c>
      <c r="H81" s="114" t="s">
        <v>642</v>
      </c>
      <c r="I81" s="114" t="s">
        <v>1004</v>
      </c>
      <c r="J81" s="111"/>
    </row>
    <row r="82" spans="1:10" ht="14.25" customHeight="1">
      <c r="A82" s="110">
        <v>90</v>
      </c>
      <c r="B82" s="111" t="s">
        <v>352</v>
      </c>
      <c r="C82" s="111" t="s">
        <v>142</v>
      </c>
      <c r="D82" s="112" t="s">
        <v>705</v>
      </c>
      <c r="E82" s="112" t="s">
        <v>624</v>
      </c>
      <c r="F82" s="111" t="s">
        <v>674</v>
      </c>
      <c r="G82" s="113">
        <v>0</v>
      </c>
      <c r="H82" s="114" t="s">
        <v>634</v>
      </c>
      <c r="I82" s="111"/>
      <c r="J82" s="111"/>
    </row>
    <row r="83" spans="1:10" ht="14.25" customHeight="1">
      <c r="A83" s="110">
        <v>80</v>
      </c>
      <c r="B83" s="111" t="s">
        <v>353</v>
      </c>
      <c r="C83" s="111" t="s">
        <v>20</v>
      </c>
      <c r="D83" s="112" t="s">
        <v>887</v>
      </c>
      <c r="E83" s="112" t="s">
        <v>686</v>
      </c>
      <c r="F83" s="111" t="s">
        <v>670</v>
      </c>
      <c r="G83" s="113">
        <v>0</v>
      </c>
      <c r="H83" s="114" t="s">
        <v>634</v>
      </c>
      <c r="I83" s="114"/>
      <c r="J83" s="111"/>
    </row>
    <row r="84" spans="1:10" ht="14.25" customHeight="1">
      <c r="A84" s="110">
        <v>80</v>
      </c>
      <c r="B84" s="111" t="s">
        <v>354</v>
      </c>
      <c r="C84" s="111" t="s">
        <v>143</v>
      </c>
      <c r="D84" s="112" t="s">
        <v>888</v>
      </c>
      <c r="E84" s="112" t="s">
        <v>686</v>
      </c>
      <c r="F84" s="111" t="s">
        <v>670</v>
      </c>
      <c r="G84" s="113">
        <v>0</v>
      </c>
      <c r="H84" s="114" t="s">
        <v>634</v>
      </c>
      <c r="I84" s="114"/>
      <c r="J84" s="111"/>
    </row>
    <row r="85" spans="1:10" ht="14.25" customHeight="1">
      <c r="A85" s="110">
        <v>20</v>
      </c>
      <c r="B85" s="111" t="s">
        <v>355</v>
      </c>
      <c r="C85" s="111" t="s">
        <v>144</v>
      </c>
      <c r="D85" s="112" t="s">
        <v>747</v>
      </c>
      <c r="E85" s="112" t="s">
        <v>650</v>
      </c>
      <c r="F85" s="111" t="s">
        <v>664</v>
      </c>
      <c r="G85" s="113">
        <v>0</v>
      </c>
      <c r="H85" s="114" t="s">
        <v>626</v>
      </c>
      <c r="I85" s="114" t="s">
        <v>1007</v>
      </c>
      <c r="J85" s="111"/>
    </row>
    <row r="86" spans="1:10" ht="14.25" customHeight="1">
      <c r="A86" s="110">
        <v>68</v>
      </c>
      <c r="B86" s="111" t="s">
        <v>356</v>
      </c>
      <c r="C86" s="111" t="s">
        <v>145</v>
      </c>
      <c r="D86" s="112" t="s">
        <v>861</v>
      </c>
      <c r="E86" s="112" t="s">
        <v>680</v>
      </c>
      <c r="F86" s="111" t="s">
        <v>660</v>
      </c>
      <c r="G86" s="113">
        <v>1</v>
      </c>
      <c r="H86" s="111"/>
      <c r="I86" s="111"/>
      <c r="J86" s="111"/>
    </row>
    <row r="87" spans="1:10" ht="14.25" customHeight="1">
      <c r="A87" s="110">
        <v>9</v>
      </c>
      <c r="B87" s="111" t="s">
        <v>357</v>
      </c>
      <c r="C87" s="111" t="s">
        <v>146</v>
      </c>
      <c r="D87" s="112" t="s">
        <v>723</v>
      </c>
      <c r="E87" s="112" t="s">
        <v>624</v>
      </c>
      <c r="F87" s="111" t="s">
        <v>674</v>
      </c>
      <c r="G87" s="113">
        <v>1</v>
      </c>
      <c r="H87" s="111"/>
      <c r="I87" s="111"/>
      <c r="J87" s="111"/>
    </row>
    <row r="88" spans="1:10" ht="14.25" customHeight="1">
      <c r="A88" s="110">
        <v>79</v>
      </c>
      <c r="B88" s="111" t="s">
        <v>359</v>
      </c>
      <c r="C88" s="111" t="s">
        <v>147</v>
      </c>
      <c r="D88" s="112" t="s">
        <v>886</v>
      </c>
      <c r="E88" s="112" t="s">
        <v>686</v>
      </c>
      <c r="F88" s="111" t="s">
        <v>670</v>
      </c>
      <c r="G88" s="113">
        <v>1</v>
      </c>
      <c r="H88" s="111"/>
      <c r="I88" s="114"/>
      <c r="J88" s="111"/>
    </row>
    <row r="89" spans="1:10" ht="14.25" customHeight="1">
      <c r="A89" s="110">
        <v>85</v>
      </c>
      <c r="B89" s="111" t="s">
        <v>358</v>
      </c>
      <c r="C89" s="111" t="s">
        <v>147</v>
      </c>
      <c r="D89" s="112" t="s">
        <v>898</v>
      </c>
      <c r="E89" s="112" t="s">
        <v>686</v>
      </c>
      <c r="F89" s="111" t="s">
        <v>670</v>
      </c>
      <c r="G89" s="113">
        <v>1</v>
      </c>
      <c r="H89" s="111"/>
      <c r="I89" s="111"/>
      <c r="J89" s="111"/>
    </row>
    <row r="90" spans="1:10" ht="14.25" customHeight="1">
      <c r="A90" s="110">
        <v>87</v>
      </c>
      <c r="B90" s="111" t="s">
        <v>360</v>
      </c>
      <c r="C90" s="111" t="s">
        <v>149</v>
      </c>
      <c r="D90" s="112" t="s">
        <v>902</v>
      </c>
      <c r="E90" s="112" t="s">
        <v>680</v>
      </c>
      <c r="F90" s="111" t="s">
        <v>660</v>
      </c>
      <c r="G90" s="113">
        <v>1</v>
      </c>
      <c r="H90" s="111"/>
      <c r="I90" s="114"/>
      <c r="J90" s="111"/>
    </row>
    <row r="91" spans="1:10" ht="14.25" customHeight="1">
      <c r="A91" s="110">
        <v>30</v>
      </c>
      <c r="B91" s="111" t="s">
        <v>362</v>
      </c>
      <c r="C91" s="111" t="s">
        <v>151</v>
      </c>
      <c r="D91" s="112" t="s">
        <v>774</v>
      </c>
      <c r="E91" s="112" t="s">
        <v>659</v>
      </c>
      <c r="F91" s="111" t="s">
        <v>681</v>
      </c>
      <c r="G91" s="113">
        <v>0</v>
      </c>
      <c r="H91" s="114" t="s">
        <v>626</v>
      </c>
      <c r="I91" s="114" t="s">
        <v>974</v>
      </c>
      <c r="J91" s="111"/>
    </row>
    <row r="92" spans="1:10" ht="14.25" customHeight="1">
      <c r="A92" s="110">
        <v>54</v>
      </c>
      <c r="B92" s="111" t="s">
        <v>363</v>
      </c>
      <c r="C92" s="111" t="s">
        <v>152</v>
      </c>
      <c r="D92" s="112" t="s">
        <v>829</v>
      </c>
      <c r="E92" s="112" t="s">
        <v>669</v>
      </c>
      <c r="F92" s="111" t="s">
        <v>625</v>
      </c>
      <c r="G92" s="113">
        <v>0</v>
      </c>
      <c r="H92" s="114" t="s">
        <v>626</v>
      </c>
      <c r="I92" s="114" t="s">
        <v>988</v>
      </c>
      <c r="J92" s="111"/>
    </row>
    <row r="93" spans="1:10" ht="14.25" customHeight="1">
      <c r="A93" s="110">
        <v>71</v>
      </c>
      <c r="B93" s="111" t="s">
        <v>364</v>
      </c>
      <c r="C93" s="111" t="s">
        <v>154</v>
      </c>
      <c r="D93" s="112" t="s">
        <v>870</v>
      </c>
      <c r="E93" s="112" t="s">
        <v>680</v>
      </c>
      <c r="F93" s="111" t="s">
        <v>660</v>
      </c>
      <c r="G93" s="113">
        <v>0</v>
      </c>
      <c r="H93" s="114" t="s">
        <v>634</v>
      </c>
      <c r="I93" s="114"/>
      <c r="J93" s="111"/>
    </row>
    <row r="94" spans="1:10" ht="14.25" customHeight="1">
      <c r="A94" s="110">
        <v>45</v>
      </c>
      <c r="B94" s="111" t="s">
        <v>365</v>
      </c>
      <c r="C94" s="111" t="s">
        <v>155</v>
      </c>
      <c r="D94" s="112" t="s">
        <v>804</v>
      </c>
      <c r="E94" s="112" t="s">
        <v>669</v>
      </c>
      <c r="F94" s="132" t="s">
        <v>625</v>
      </c>
      <c r="G94" s="133">
        <v>0</v>
      </c>
      <c r="H94" s="114" t="s">
        <v>634</v>
      </c>
      <c r="I94" s="111"/>
      <c r="J94" s="114" t="s">
        <v>977</v>
      </c>
    </row>
    <row r="95" spans="1:10" ht="14.25" customHeight="1">
      <c r="A95" s="110">
        <v>43</v>
      </c>
      <c r="B95" s="111" t="s">
        <v>366</v>
      </c>
      <c r="C95" s="111" t="s">
        <v>157</v>
      </c>
      <c r="D95" s="112" t="s">
        <v>801</v>
      </c>
      <c r="E95" s="112" t="s">
        <v>663</v>
      </c>
      <c r="F95" s="129" t="s">
        <v>687</v>
      </c>
      <c r="G95" s="133">
        <v>1</v>
      </c>
      <c r="H95" s="111"/>
      <c r="I95" s="111"/>
      <c r="J95" s="111"/>
    </row>
    <row r="96" spans="1:10" ht="14.25" customHeight="1">
      <c r="A96" s="110">
        <v>2</v>
      </c>
      <c r="B96" s="111" t="s">
        <v>367</v>
      </c>
      <c r="C96" s="111" t="s">
        <v>159</v>
      </c>
      <c r="D96" s="112" t="s">
        <v>707</v>
      </c>
      <c r="E96" s="112" t="s">
        <v>624</v>
      </c>
      <c r="F96" s="111" t="s">
        <v>674</v>
      </c>
      <c r="G96" s="113">
        <v>1</v>
      </c>
      <c r="H96" s="111"/>
      <c r="I96" s="101"/>
      <c r="J96" s="111"/>
    </row>
    <row r="97" spans="1:10" ht="14.25" customHeight="1">
      <c r="A97" s="110">
        <v>7</v>
      </c>
      <c r="B97" s="111" t="s">
        <v>368</v>
      </c>
      <c r="C97" s="111" t="s">
        <v>161</v>
      </c>
      <c r="D97" s="112" t="s">
        <v>717</v>
      </c>
      <c r="E97" s="112" t="s">
        <v>624</v>
      </c>
      <c r="F97" s="111" t="s">
        <v>674</v>
      </c>
      <c r="G97" s="113">
        <v>1</v>
      </c>
      <c r="H97" s="111"/>
      <c r="I97" s="111"/>
      <c r="J97" s="111"/>
    </row>
    <row r="98" spans="1:10" ht="14.25" customHeight="1">
      <c r="A98" s="110">
        <v>23</v>
      </c>
      <c r="B98" s="111" t="s">
        <v>369</v>
      </c>
      <c r="C98" s="111" t="s">
        <v>163</v>
      </c>
      <c r="D98" s="112" t="s">
        <v>754</v>
      </c>
      <c r="E98" s="112" t="s">
        <v>659</v>
      </c>
      <c r="F98" s="111" t="s">
        <v>681</v>
      </c>
      <c r="G98" s="113">
        <v>1</v>
      </c>
      <c r="H98" s="111"/>
      <c r="I98" s="111"/>
      <c r="J98" s="111"/>
    </row>
    <row r="99" spans="1:10" ht="14.25" customHeight="1">
      <c r="A99" s="110">
        <v>4</v>
      </c>
      <c r="B99" s="111" t="s">
        <v>370</v>
      </c>
      <c r="C99" s="111" t="s">
        <v>164</v>
      </c>
      <c r="D99" s="112" t="s">
        <v>711</v>
      </c>
      <c r="E99" s="112" t="s">
        <v>624</v>
      </c>
      <c r="F99" s="111" t="s">
        <v>674</v>
      </c>
      <c r="G99" s="113">
        <v>1</v>
      </c>
      <c r="H99" s="111"/>
      <c r="I99" s="111"/>
      <c r="J99" s="111"/>
    </row>
    <row r="100" spans="1:10" ht="14.25" customHeight="1">
      <c r="A100" s="110">
        <v>27</v>
      </c>
      <c r="B100" s="111" t="s">
        <v>371</v>
      </c>
      <c r="C100" s="111" t="s">
        <v>166</v>
      </c>
      <c r="D100" s="112" t="s">
        <v>765</v>
      </c>
      <c r="E100" s="112" t="s">
        <v>659</v>
      </c>
      <c r="F100" s="111" t="s">
        <v>681</v>
      </c>
      <c r="G100" s="113">
        <v>1</v>
      </c>
      <c r="H100" s="111"/>
      <c r="I100" s="111"/>
      <c r="J100" s="111"/>
    </row>
    <row r="101" spans="1:10" ht="14.25" customHeight="1">
      <c r="A101" s="110">
        <v>69</v>
      </c>
      <c r="B101" s="111" t="s">
        <v>372</v>
      </c>
      <c r="C101" s="111" t="s">
        <v>168</v>
      </c>
      <c r="D101" s="112" t="s">
        <v>863</v>
      </c>
      <c r="E101" s="112" t="s">
        <v>680</v>
      </c>
      <c r="F101" s="111" t="s">
        <v>660</v>
      </c>
      <c r="G101" s="113">
        <v>1</v>
      </c>
      <c r="H101" s="111"/>
      <c r="I101" s="114"/>
      <c r="J101" s="111"/>
    </row>
    <row r="102" spans="1:10" ht="14.25" customHeight="1">
      <c r="A102" s="110">
        <v>19</v>
      </c>
      <c r="B102" s="111" t="s">
        <v>373</v>
      </c>
      <c r="C102" s="111" t="s">
        <v>169</v>
      </c>
      <c r="D102" s="112" t="s">
        <v>746</v>
      </c>
      <c r="E102" s="112" t="s">
        <v>650</v>
      </c>
      <c r="F102" s="111" t="s">
        <v>664</v>
      </c>
      <c r="G102" s="113">
        <v>1</v>
      </c>
      <c r="H102" s="111"/>
      <c r="I102" s="111"/>
      <c r="J102" s="111"/>
    </row>
    <row r="103" spans="1:10" ht="14.25" customHeight="1">
      <c r="A103" s="110">
        <v>44</v>
      </c>
      <c r="B103" s="111" t="s">
        <v>374</v>
      </c>
      <c r="C103" s="111" t="s">
        <v>170</v>
      </c>
      <c r="D103" s="112" t="s">
        <v>803</v>
      </c>
      <c r="E103" s="112" t="s">
        <v>663</v>
      </c>
      <c r="F103" s="129" t="s">
        <v>687</v>
      </c>
      <c r="G103" s="133">
        <v>0</v>
      </c>
      <c r="H103" s="114" t="s">
        <v>634</v>
      </c>
      <c r="I103" s="111"/>
      <c r="J103" s="111"/>
    </row>
    <row r="104" spans="1:10" ht="14.25" customHeight="1">
      <c r="A104" s="110">
        <v>7</v>
      </c>
      <c r="B104" s="111" t="s">
        <v>375</v>
      </c>
      <c r="C104" s="111" t="s">
        <v>171</v>
      </c>
      <c r="D104" s="112" t="s">
        <v>718</v>
      </c>
      <c r="E104" s="112" t="s">
        <v>624</v>
      </c>
      <c r="F104" s="111" t="s">
        <v>674</v>
      </c>
      <c r="G104" s="113">
        <v>1</v>
      </c>
      <c r="H104" s="111"/>
      <c r="I104" s="111"/>
      <c r="J104" s="111"/>
    </row>
    <row r="105" spans="1:10" ht="14.25" customHeight="1">
      <c r="A105" s="110">
        <v>46</v>
      </c>
      <c r="B105" s="111" t="s">
        <v>376</v>
      </c>
      <c r="C105" s="111" t="s">
        <v>173</v>
      </c>
      <c r="D105" s="112" t="s">
        <v>807</v>
      </c>
      <c r="E105" s="112" t="s">
        <v>669</v>
      </c>
      <c r="F105" s="111" t="s">
        <v>625</v>
      </c>
      <c r="G105" s="113">
        <v>0</v>
      </c>
      <c r="H105" s="114" t="s">
        <v>634</v>
      </c>
      <c r="I105" s="111"/>
      <c r="J105" s="111"/>
    </row>
    <row r="106" spans="1:10" ht="14.25" customHeight="1">
      <c r="A106" s="110">
        <v>73</v>
      </c>
      <c r="B106" s="111" t="s">
        <v>377</v>
      </c>
      <c r="C106" s="111" t="s">
        <v>175</v>
      </c>
      <c r="D106" s="112" t="s">
        <v>873</v>
      </c>
      <c r="E106" s="112" t="s">
        <v>680</v>
      </c>
      <c r="F106" s="111" t="s">
        <v>660</v>
      </c>
      <c r="G106" s="113">
        <v>0</v>
      </c>
      <c r="H106" s="114" t="s">
        <v>626</v>
      </c>
      <c r="I106" s="114" t="s">
        <v>999</v>
      </c>
      <c r="J106" s="111"/>
    </row>
    <row r="107" spans="1:10" ht="14.25" customHeight="1">
      <c r="A107" s="110">
        <v>59</v>
      </c>
      <c r="B107" s="111" t="s">
        <v>378</v>
      </c>
      <c r="C107" s="111" t="s">
        <v>177</v>
      </c>
      <c r="D107" s="112" t="s">
        <v>840</v>
      </c>
      <c r="E107" s="112" t="s">
        <v>673</v>
      </c>
      <c r="F107" s="111" t="s">
        <v>651</v>
      </c>
      <c r="G107" s="113">
        <v>1</v>
      </c>
      <c r="H107" s="114"/>
      <c r="I107" s="114"/>
      <c r="J107" s="111"/>
    </row>
    <row r="108" spans="1:10" ht="14.25" customHeight="1">
      <c r="A108" s="110">
        <v>42</v>
      </c>
      <c r="B108" s="111" t="s">
        <v>379</v>
      </c>
      <c r="C108" s="111" t="s">
        <v>179</v>
      </c>
      <c r="D108" s="112" t="s">
        <v>797</v>
      </c>
      <c r="E108" s="112" t="s">
        <v>663</v>
      </c>
      <c r="F108" s="129" t="s">
        <v>687</v>
      </c>
      <c r="G108" s="133">
        <v>0</v>
      </c>
      <c r="H108" s="114" t="s">
        <v>634</v>
      </c>
      <c r="I108" s="111"/>
      <c r="J108" s="111"/>
    </row>
    <row r="109" spans="1:10" ht="14.25" customHeight="1">
      <c r="A109" s="110">
        <v>61</v>
      </c>
      <c r="B109" s="111" t="s">
        <v>380</v>
      </c>
      <c r="C109" s="111" t="s">
        <v>180</v>
      </c>
      <c r="D109" s="112" t="s">
        <v>846</v>
      </c>
      <c r="E109" s="112" t="s">
        <v>673</v>
      </c>
      <c r="F109" s="111" t="s">
        <v>651</v>
      </c>
      <c r="G109" s="113">
        <v>0</v>
      </c>
      <c r="H109" s="114" t="s">
        <v>637</v>
      </c>
      <c r="I109" s="114" t="s">
        <v>1006</v>
      </c>
      <c r="J109" s="111"/>
    </row>
    <row r="110" spans="1:10" ht="14.25" customHeight="1">
      <c r="A110" s="110">
        <v>26</v>
      </c>
      <c r="B110" s="111" t="s">
        <v>381</v>
      </c>
      <c r="C110" s="111" t="s">
        <v>181</v>
      </c>
      <c r="D110" s="112" t="s">
        <v>761</v>
      </c>
      <c r="E110" s="112" t="s">
        <v>659</v>
      </c>
      <c r="F110" s="111" t="s">
        <v>681</v>
      </c>
      <c r="G110" s="113">
        <v>1</v>
      </c>
      <c r="H110" s="111"/>
      <c r="I110" s="111"/>
      <c r="J110" s="111"/>
    </row>
    <row r="111" spans="1:10" ht="14.25" customHeight="1">
      <c r="A111" s="110">
        <v>27</v>
      </c>
      <c r="B111" s="111" t="s">
        <v>382</v>
      </c>
      <c r="C111" s="111" t="s">
        <v>183</v>
      </c>
      <c r="D111" s="112" t="s">
        <v>766</v>
      </c>
      <c r="E111" s="112" t="s">
        <v>659</v>
      </c>
      <c r="F111" s="111" t="s">
        <v>681</v>
      </c>
      <c r="G111" s="113">
        <v>1</v>
      </c>
      <c r="H111" s="111"/>
      <c r="I111" s="111"/>
      <c r="J111" s="111"/>
    </row>
    <row r="112" spans="1:10" ht="14.25" customHeight="1">
      <c r="A112" s="110">
        <v>45</v>
      </c>
      <c r="B112" s="111" t="s">
        <v>383</v>
      </c>
      <c r="C112" s="111" t="s">
        <v>184</v>
      </c>
      <c r="D112" s="112" t="s">
        <v>806</v>
      </c>
      <c r="E112" s="112" t="s">
        <v>669</v>
      </c>
      <c r="F112" s="111" t="s">
        <v>625</v>
      </c>
      <c r="G112" s="113">
        <v>0</v>
      </c>
      <c r="H112" s="114" t="s">
        <v>634</v>
      </c>
      <c r="I112" s="111"/>
      <c r="J112" s="114" t="s">
        <v>977</v>
      </c>
    </row>
    <row r="113" spans="1:10" ht="14.25" customHeight="1">
      <c r="A113" s="110">
        <v>52</v>
      </c>
      <c r="B113" s="111" t="s">
        <v>385</v>
      </c>
      <c r="C113" s="111" t="s">
        <v>187</v>
      </c>
      <c r="D113" s="112" t="s">
        <v>821</v>
      </c>
      <c r="E113" s="112" t="s">
        <v>669</v>
      </c>
      <c r="F113" s="111" t="s">
        <v>625</v>
      </c>
      <c r="G113" s="113">
        <v>0</v>
      </c>
      <c r="H113" s="114" t="s">
        <v>626</v>
      </c>
      <c r="I113" s="114" t="s">
        <v>983</v>
      </c>
      <c r="J113" s="111"/>
    </row>
    <row r="114" spans="1:10" ht="14.25" customHeight="1">
      <c r="A114" s="110">
        <v>38</v>
      </c>
      <c r="B114" s="111" t="s">
        <v>386</v>
      </c>
      <c r="C114" s="111" t="s">
        <v>188</v>
      </c>
      <c r="D114" s="112" t="s">
        <v>790</v>
      </c>
      <c r="E114" s="112" t="s">
        <v>663</v>
      </c>
      <c r="F114" s="129" t="s">
        <v>687</v>
      </c>
      <c r="G114" s="133">
        <v>1</v>
      </c>
      <c r="H114" s="111"/>
      <c r="I114" s="111"/>
      <c r="J114" s="111"/>
    </row>
    <row r="115" spans="1:10" ht="14.25" customHeight="1">
      <c r="A115" s="110">
        <v>63</v>
      </c>
      <c r="B115" s="111" t="s">
        <v>387</v>
      </c>
      <c r="C115" s="111" t="s">
        <v>190</v>
      </c>
      <c r="D115" s="112" t="s">
        <v>851</v>
      </c>
      <c r="E115" s="112" t="s">
        <v>673</v>
      </c>
      <c r="F115" s="111" t="s">
        <v>651</v>
      </c>
      <c r="G115" s="113">
        <v>1</v>
      </c>
      <c r="H115" s="111"/>
      <c r="I115" s="111"/>
      <c r="J115" s="111"/>
    </row>
    <row r="116" spans="1:10" ht="14.25" customHeight="1">
      <c r="A116" s="110">
        <v>88</v>
      </c>
      <c r="B116" s="111" t="s">
        <v>388</v>
      </c>
      <c r="C116" s="111" t="s">
        <v>269</v>
      </c>
      <c r="D116" s="112" t="s">
        <v>903</v>
      </c>
      <c r="E116" s="112" t="s">
        <v>673</v>
      </c>
      <c r="F116" s="111" t="s">
        <v>651</v>
      </c>
      <c r="G116" s="113">
        <v>0</v>
      </c>
      <c r="H116" s="114" t="s">
        <v>637</v>
      </c>
      <c r="I116" s="114" t="s">
        <v>996</v>
      </c>
      <c r="J116" s="111"/>
    </row>
    <row r="117" spans="1:10" ht="14.25" customHeight="1">
      <c r="A117" s="110">
        <v>67</v>
      </c>
      <c r="B117" s="111" t="s">
        <v>389</v>
      </c>
      <c r="C117" s="111" t="s">
        <v>21</v>
      </c>
      <c r="D117" s="112" t="s">
        <v>859</v>
      </c>
      <c r="E117" s="112" t="s">
        <v>680</v>
      </c>
      <c r="F117" s="111" t="s">
        <v>660</v>
      </c>
      <c r="G117" s="113">
        <v>0</v>
      </c>
      <c r="H117" s="114" t="s">
        <v>634</v>
      </c>
      <c r="I117" s="111"/>
      <c r="J117" s="111"/>
    </row>
    <row r="118" spans="1:10" ht="14.25" customHeight="1">
      <c r="A118" s="110">
        <v>82</v>
      </c>
      <c r="B118" s="111" t="s">
        <v>391</v>
      </c>
      <c r="C118" s="111" t="s">
        <v>193</v>
      </c>
      <c r="D118" s="112" t="s">
        <v>889</v>
      </c>
      <c r="E118" s="112" t="s">
        <v>686</v>
      </c>
      <c r="F118" s="111" t="s">
        <v>670</v>
      </c>
      <c r="G118" s="113">
        <v>0</v>
      </c>
      <c r="H118" s="114" t="s">
        <v>637</v>
      </c>
      <c r="I118" s="114" t="s">
        <v>1001</v>
      </c>
      <c r="J118" s="111"/>
    </row>
    <row r="119" spans="1:10" ht="14.25" customHeight="1">
      <c r="A119" s="110">
        <v>52</v>
      </c>
      <c r="B119" s="111" t="s">
        <v>392</v>
      </c>
      <c r="C119" s="111" t="s">
        <v>22</v>
      </c>
      <c r="D119" s="112" t="s">
        <v>823</v>
      </c>
      <c r="E119" s="112" t="s">
        <v>669</v>
      </c>
      <c r="F119" s="111" t="s">
        <v>625</v>
      </c>
      <c r="G119" s="113">
        <v>0</v>
      </c>
      <c r="H119" s="114" t="s">
        <v>637</v>
      </c>
      <c r="I119" s="114" t="s">
        <v>984</v>
      </c>
      <c r="J119" s="114" t="s">
        <v>985</v>
      </c>
    </row>
    <row r="120" spans="1:10" ht="14.25" customHeight="1">
      <c r="A120" s="110">
        <v>47</v>
      </c>
      <c r="B120" s="111" t="s">
        <v>393</v>
      </c>
      <c r="C120" s="111" t="s">
        <v>194</v>
      </c>
      <c r="D120" s="112" t="s">
        <v>195</v>
      </c>
      <c r="E120" s="112" t="s">
        <v>669</v>
      </c>
      <c r="F120" s="111" t="s">
        <v>625</v>
      </c>
      <c r="G120" s="113">
        <v>1</v>
      </c>
      <c r="H120" s="111"/>
      <c r="I120" s="114" t="s">
        <v>978</v>
      </c>
      <c r="J120" s="111"/>
    </row>
    <row r="121" spans="1:10" ht="14.25" customHeight="1">
      <c r="A121" s="110">
        <v>63</v>
      </c>
      <c r="B121" s="111" t="s">
        <v>394</v>
      </c>
      <c r="C121" s="111" t="s">
        <v>197</v>
      </c>
      <c r="D121" s="112" t="s">
        <v>852</v>
      </c>
      <c r="E121" s="112" t="s">
        <v>673</v>
      </c>
      <c r="F121" s="111" t="s">
        <v>651</v>
      </c>
      <c r="G121" s="113">
        <v>1</v>
      </c>
      <c r="H121" s="111"/>
      <c r="I121" s="111"/>
      <c r="J121" s="111"/>
    </row>
    <row r="122" spans="1:10" ht="14.25" customHeight="1">
      <c r="A122" s="110">
        <v>51</v>
      </c>
      <c r="B122" s="111" t="s">
        <v>395</v>
      </c>
      <c r="C122" s="111" t="s">
        <v>198</v>
      </c>
      <c r="D122" s="112" t="s">
        <v>820</v>
      </c>
      <c r="E122" s="112" t="s">
        <v>669</v>
      </c>
      <c r="F122" s="111" t="s">
        <v>625</v>
      </c>
      <c r="G122" s="113">
        <v>0</v>
      </c>
      <c r="H122" s="114" t="s">
        <v>633</v>
      </c>
      <c r="I122" s="111"/>
      <c r="J122" s="111"/>
    </row>
    <row r="123" spans="1:10" ht="14.25" customHeight="1">
      <c r="A123" s="110">
        <v>92</v>
      </c>
      <c r="B123" s="111" t="s">
        <v>396</v>
      </c>
      <c r="C123" s="111" t="s">
        <v>200</v>
      </c>
      <c r="D123" s="112" t="s">
        <v>794</v>
      </c>
      <c r="E123" s="112" t="s">
        <v>663</v>
      </c>
      <c r="F123" s="129" t="s">
        <v>687</v>
      </c>
      <c r="G123" s="133">
        <v>0</v>
      </c>
      <c r="H123" s="114" t="s">
        <v>642</v>
      </c>
      <c r="I123" s="114" t="s">
        <v>975</v>
      </c>
      <c r="J123" s="111"/>
    </row>
    <row r="124" spans="1:10" ht="14.25" customHeight="1">
      <c r="A124" s="110">
        <v>37</v>
      </c>
      <c r="B124" s="111" t="s">
        <v>397</v>
      </c>
      <c r="C124" s="111" t="s">
        <v>202</v>
      </c>
      <c r="D124" s="112" t="s">
        <v>788</v>
      </c>
      <c r="E124" s="112" t="s">
        <v>663</v>
      </c>
      <c r="F124" s="129" t="s">
        <v>687</v>
      </c>
      <c r="G124" s="133">
        <v>1</v>
      </c>
      <c r="H124" s="111"/>
      <c r="I124" s="111"/>
      <c r="J124" s="111"/>
    </row>
    <row r="125" spans="1:10" ht="14.25" customHeight="1">
      <c r="A125" s="110">
        <v>55</v>
      </c>
      <c r="B125" s="111" t="s">
        <v>398</v>
      </c>
      <c r="C125" s="111" t="s">
        <v>204</v>
      </c>
      <c r="D125" s="112" t="s">
        <v>830</v>
      </c>
      <c r="E125" s="112" t="s">
        <v>669</v>
      </c>
      <c r="F125" s="111" t="s">
        <v>625</v>
      </c>
      <c r="G125" s="113">
        <v>0</v>
      </c>
      <c r="H125" s="114" t="s">
        <v>634</v>
      </c>
      <c r="I125" s="111"/>
      <c r="J125" s="111"/>
    </row>
    <row r="126" spans="1:10" ht="14.25" customHeight="1">
      <c r="A126" s="110">
        <v>25</v>
      </c>
      <c r="B126" s="111" t="s">
        <v>399</v>
      </c>
      <c r="C126" s="111" t="s">
        <v>206</v>
      </c>
      <c r="D126" s="112" t="s">
        <v>760</v>
      </c>
      <c r="E126" s="112" t="s">
        <v>659</v>
      </c>
      <c r="F126" s="111" t="s">
        <v>681</v>
      </c>
      <c r="G126" s="113">
        <v>0</v>
      </c>
      <c r="H126" s="114" t="s">
        <v>626</v>
      </c>
      <c r="I126" s="114" t="s">
        <v>972</v>
      </c>
      <c r="J126" s="111"/>
    </row>
    <row r="127" spans="1:10" ht="14.25" customHeight="1">
      <c r="A127" s="110">
        <v>58</v>
      </c>
      <c r="B127" s="111" t="s">
        <v>400</v>
      </c>
      <c r="C127" s="111" t="s">
        <v>208</v>
      </c>
      <c r="D127" s="112" t="s">
        <v>839</v>
      </c>
      <c r="E127" s="112" t="s">
        <v>673</v>
      </c>
      <c r="F127" s="111" t="s">
        <v>651</v>
      </c>
      <c r="G127" s="113">
        <v>0</v>
      </c>
      <c r="H127" s="114" t="s">
        <v>626</v>
      </c>
      <c r="I127" s="114" t="s">
        <v>990</v>
      </c>
      <c r="J127" s="111"/>
    </row>
    <row r="128" spans="1:10" ht="14.25" customHeight="1">
      <c r="A128" s="110">
        <v>90</v>
      </c>
      <c r="B128" s="111" t="s">
        <v>401</v>
      </c>
      <c r="C128" s="111" t="s">
        <v>209</v>
      </c>
      <c r="D128" s="112" t="s">
        <v>814</v>
      </c>
      <c r="E128" s="112" t="s">
        <v>624</v>
      </c>
      <c r="F128" s="111" t="s">
        <v>674</v>
      </c>
      <c r="G128" s="113">
        <v>0</v>
      </c>
      <c r="H128" s="114" t="s">
        <v>634</v>
      </c>
      <c r="I128" s="111"/>
      <c r="J128" s="111"/>
    </row>
    <row r="129" spans="1:10" ht="14.25" customHeight="1">
      <c r="A129" s="110">
        <v>23</v>
      </c>
      <c r="B129" s="111" t="s">
        <v>402</v>
      </c>
      <c r="C129" s="111" t="s">
        <v>210</v>
      </c>
      <c r="D129" s="112" t="s">
        <v>756</v>
      </c>
      <c r="E129" s="112" t="s">
        <v>659</v>
      </c>
      <c r="F129" s="111" t="s">
        <v>681</v>
      </c>
      <c r="G129" s="113">
        <v>0</v>
      </c>
      <c r="H129" s="114" t="s">
        <v>626</v>
      </c>
      <c r="I129" s="114" t="s">
        <v>971</v>
      </c>
      <c r="J129" s="111"/>
    </row>
    <row r="130" spans="1:10" ht="14.25" customHeight="1">
      <c r="A130" s="110">
        <v>70</v>
      </c>
      <c r="B130" s="111" t="s">
        <v>403</v>
      </c>
      <c r="C130" s="111" t="s">
        <v>212</v>
      </c>
      <c r="D130" s="112" t="s">
        <v>868</v>
      </c>
      <c r="E130" s="112" t="s">
        <v>680</v>
      </c>
      <c r="F130" s="111" t="s">
        <v>660</v>
      </c>
      <c r="G130" s="113">
        <v>0</v>
      </c>
      <c r="H130" s="114" t="s">
        <v>626</v>
      </c>
      <c r="I130" s="114" t="s">
        <v>998</v>
      </c>
      <c r="J130" s="111"/>
    </row>
    <row r="131" spans="1:10" ht="14.25" customHeight="1">
      <c r="A131" s="110">
        <v>60</v>
      </c>
      <c r="B131" s="111" t="s">
        <v>404</v>
      </c>
      <c r="C131" s="111" t="s">
        <v>214</v>
      </c>
      <c r="D131" s="112" t="s">
        <v>843</v>
      </c>
      <c r="E131" s="112" t="s">
        <v>673</v>
      </c>
      <c r="F131" s="111" t="s">
        <v>651</v>
      </c>
      <c r="G131" s="113">
        <v>0</v>
      </c>
      <c r="H131" s="114" t="s">
        <v>634</v>
      </c>
      <c r="I131" s="111"/>
      <c r="J131" s="111"/>
    </row>
    <row r="132" spans="1:10" ht="14.25" customHeight="1">
      <c r="A132" s="110">
        <v>2</v>
      </c>
      <c r="B132" s="111" t="s">
        <v>405</v>
      </c>
      <c r="C132" s="111" t="s">
        <v>215</v>
      </c>
      <c r="D132" s="112" t="s">
        <v>708</v>
      </c>
      <c r="E132" s="112" t="s">
        <v>624</v>
      </c>
      <c r="F132" s="111" t="s">
        <v>674</v>
      </c>
      <c r="G132" s="113">
        <v>1</v>
      </c>
      <c r="H132" s="111"/>
      <c r="I132" s="111"/>
      <c r="J132" s="111"/>
    </row>
    <row r="133" spans="1:10" ht="14.25" customHeight="1">
      <c r="A133" s="110">
        <v>64</v>
      </c>
      <c r="B133" s="111" t="s">
        <v>406</v>
      </c>
      <c r="C133" s="111" t="s">
        <v>217</v>
      </c>
      <c r="D133" s="112" t="s">
        <v>854</v>
      </c>
      <c r="E133" s="112" t="s">
        <v>673</v>
      </c>
      <c r="F133" s="111" t="s">
        <v>651</v>
      </c>
      <c r="G133" s="113">
        <v>1</v>
      </c>
      <c r="H133" s="111"/>
      <c r="I133" s="111"/>
      <c r="J133" s="111"/>
    </row>
    <row r="134" spans="1:10" ht="14.25" customHeight="1">
      <c r="A134" s="110">
        <v>67</v>
      </c>
      <c r="B134" s="111" t="s">
        <v>407</v>
      </c>
      <c r="C134" s="111" t="s">
        <v>218</v>
      </c>
      <c r="D134" s="112" t="s">
        <v>860</v>
      </c>
      <c r="E134" s="112" t="s">
        <v>680</v>
      </c>
      <c r="F134" s="111" t="s">
        <v>660</v>
      </c>
      <c r="G134" s="113">
        <v>0</v>
      </c>
      <c r="H134" s="114" t="s">
        <v>634</v>
      </c>
      <c r="I134" s="111"/>
      <c r="J134" s="111"/>
    </row>
    <row r="135" spans="1:10" ht="14.25" customHeight="1">
      <c r="A135" s="110">
        <v>5</v>
      </c>
      <c r="B135" s="111" t="s">
        <v>408</v>
      </c>
      <c r="C135" s="111" t="s">
        <v>220</v>
      </c>
      <c r="D135" s="112" t="s">
        <v>714</v>
      </c>
      <c r="E135" s="112" t="s">
        <v>624</v>
      </c>
      <c r="F135" s="111" t="s">
        <v>674</v>
      </c>
      <c r="G135" s="113">
        <v>1</v>
      </c>
      <c r="H135" s="111"/>
      <c r="I135" s="111"/>
      <c r="J135" s="111"/>
    </row>
    <row r="136" spans="1:10" ht="14.25" customHeight="1">
      <c r="A136" s="110">
        <v>89</v>
      </c>
      <c r="B136" s="111" t="s">
        <v>409</v>
      </c>
      <c r="C136" s="111" t="s">
        <v>221</v>
      </c>
      <c r="D136" s="112" t="s">
        <v>895</v>
      </c>
      <c r="E136" s="112" t="s">
        <v>686</v>
      </c>
      <c r="F136" s="111" t="s">
        <v>670</v>
      </c>
      <c r="G136" s="113">
        <v>0</v>
      </c>
      <c r="H136" s="114" t="s">
        <v>634</v>
      </c>
      <c r="I136" s="111"/>
      <c r="J136" s="111"/>
    </row>
    <row r="137" spans="1:10" ht="14.25" customHeight="1">
      <c r="A137" s="110">
        <v>42</v>
      </c>
      <c r="B137" s="111" t="s">
        <v>410</v>
      </c>
      <c r="C137" s="111" t="s">
        <v>223</v>
      </c>
      <c r="D137" s="112" t="s">
        <v>799</v>
      </c>
      <c r="E137" s="112" t="s">
        <v>663</v>
      </c>
      <c r="F137" s="129" t="s">
        <v>687</v>
      </c>
      <c r="G137" s="133">
        <v>0</v>
      </c>
      <c r="H137" s="114" t="s">
        <v>634</v>
      </c>
      <c r="I137" s="111"/>
      <c r="J137" s="111"/>
    </row>
    <row r="138" spans="1:10" ht="14.25" customHeight="1">
      <c r="A138" s="110">
        <v>60</v>
      </c>
      <c r="B138" s="111" t="s">
        <v>411</v>
      </c>
      <c r="C138" s="111" t="s">
        <v>224</v>
      </c>
      <c r="D138" s="112" t="s">
        <v>844</v>
      </c>
      <c r="E138" s="112" t="s">
        <v>673</v>
      </c>
      <c r="F138" s="111" t="s">
        <v>651</v>
      </c>
      <c r="G138" s="113">
        <v>0</v>
      </c>
      <c r="H138" s="114" t="s">
        <v>634</v>
      </c>
      <c r="I138" s="111"/>
      <c r="J138" s="111"/>
    </row>
    <row r="139" spans="1:10" ht="14.25" customHeight="1">
      <c r="A139" s="110">
        <v>12</v>
      </c>
      <c r="B139" s="111" t="s">
        <v>412</v>
      </c>
      <c r="C139" s="111" t="s">
        <v>226</v>
      </c>
      <c r="D139" s="112" t="s">
        <v>729</v>
      </c>
      <c r="E139" s="112" t="s">
        <v>650</v>
      </c>
      <c r="F139" s="111" t="s">
        <v>664</v>
      </c>
      <c r="G139" s="113">
        <v>1</v>
      </c>
      <c r="H139" s="111"/>
      <c r="I139" s="111"/>
      <c r="J139" s="111"/>
    </row>
    <row r="140" spans="1:10" ht="14.25" customHeight="1">
      <c r="A140" s="110">
        <v>69</v>
      </c>
      <c r="B140" s="111" t="s">
        <v>413</v>
      </c>
      <c r="C140" s="111" t="s">
        <v>227</v>
      </c>
      <c r="D140" s="112" t="s">
        <v>865</v>
      </c>
      <c r="E140" s="112" t="s">
        <v>680</v>
      </c>
      <c r="F140" s="111" t="s">
        <v>660</v>
      </c>
      <c r="G140" s="113">
        <v>1</v>
      </c>
      <c r="H140" s="111"/>
      <c r="I140" s="114"/>
      <c r="J140" s="111"/>
    </row>
    <row r="141" spans="1:10" ht="14.25" customHeight="1">
      <c r="A141" s="110">
        <v>82</v>
      </c>
      <c r="B141" s="111" t="s">
        <v>414</v>
      </c>
      <c r="C141" s="111" t="s">
        <v>228</v>
      </c>
      <c r="D141" s="112" t="s">
        <v>891</v>
      </c>
      <c r="E141" s="112" t="s">
        <v>686</v>
      </c>
      <c r="F141" s="111" t="s">
        <v>670</v>
      </c>
      <c r="G141" s="113">
        <v>1</v>
      </c>
      <c r="H141" s="111"/>
      <c r="I141" s="114"/>
      <c r="J141" s="111"/>
    </row>
    <row r="142" spans="1:10" ht="14.25" customHeight="1">
      <c r="A142" s="110">
        <v>6</v>
      </c>
      <c r="B142" s="111" t="s">
        <v>415</v>
      </c>
      <c r="C142" s="111" t="s">
        <v>229</v>
      </c>
      <c r="D142" s="112" t="s">
        <v>716</v>
      </c>
      <c r="E142" s="112" t="s">
        <v>624</v>
      </c>
      <c r="F142" s="111" t="s">
        <v>674</v>
      </c>
      <c r="G142" s="113">
        <v>1</v>
      </c>
      <c r="H142" s="111"/>
      <c r="I142" s="111"/>
      <c r="J142" s="111"/>
    </row>
    <row r="143" spans="1:10" ht="14.25" customHeight="1">
      <c r="A143" s="110">
        <v>68</v>
      </c>
      <c r="B143" s="111" t="s">
        <v>416</v>
      </c>
      <c r="C143" s="111" t="s">
        <v>230</v>
      </c>
      <c r="D143" s="112" t="s">
        <v>862</v>
      </c>
      <c r="E143" s="112" t="s">
        <v>680</v>
      </c>
      <c r="F143" s="111" t="s">
        <v>660</v>
      </c>
      <c r="G143" s="113">
        <v>1</v>
      </c>
      <c r="H143" s="111"/>
      <c r="I143" s="114"/>
      <c r="J143" s="111"/>
    </row>
    <row r="144" spans="1:10" ht="14.25" customHeight="1">
      <c r="A144" s="110">
        <v>36</v>
      </c>
      <c r="B144" s="111" t="s">
        <v>417</v>
      </c>
      <c r="C144" s="111" t="s">
        <v>23</v>
      </c>
      <c r="D144" s="112" t="s">
        <v>785</v>
      </c>
      <c r="E144" s="112" t="s">
        <v>663</v>
      </c>
      <c r="F144" s="129" t="s">
        <v>687</v>
      </c>
      <c r="G144" s="133">
        <v>1</v>
      </c>
      <c r="H144" s="111"/>
      <c r="I144" s="111"/>
      <c r="J144" s="111"/>
    </row>
    <row r="145" spans="1:10" ht="14.25" customHeight="1">
      <c r="A145" s="110">
        <v>88</v>
      </c>
      <c r="B145" s="111" t="s">
        <v>418</v>
      </c>
      <c r="C145" s="111" t="s">
        <v>232</v>
      </c>
      <c r="D145" s="112" t="s">
        <v>905</v>
      </c>
      <c r="E145" s="112" t="s">
        <v>673</v>
      </c>
      <c r="F145" s="111" t="s">
        <v>651</v>
      </c>
      <c r="G145" s="113">
        <v>0</v>
      </c>
      <c r="H145" s="114" t="s">
        <v>639</v>
      </c>
      <c r="I145" s="114" t="s">
        <v>997</v>
      </c>
      <c r="J145" s="111"/>
    </row>
    <row r="146" spans="1:10" ht="14.25" customHeight="1">
      <c r="A146" s="110">
        <v>31</v>
      </c>
      <c r="B146" s="111" t="s">
        <v>419</v>
      </c>
      <c r="C146" s="111" t="s">
        <v>233</v>
      </c>
      <c r="D146" s="112" t="s">
        <v>234</v>
      </c>
      <c r="E146" s="112" t="s">
        <v>659</v>
      </c>
      <c r="F146" s="111" t="s">
        <v>681</v>
      </c>
      <c r="G146" s="113">
        <v>1</v>
      </c>
      <c r="H146" s="111"/>
      <c r="I146" s="111"/>
      <c r="J146" s="111"/>
    </row>
    <row r="147" spans="1:10" ht="14.25" customHeight="1">
      <c r="A147" s="110">
        <v>17</v>
      </c>
      <c r="B147" s="111" t="s">
        <v>420</v>
      </c>
      <c r="C147" s="111" t="s">
        <v>236</v>
      </c>
      <c r="D147" s="112" t="s">
        <v>741</v>
      </c>
      <c r="E147" s="112" t="s">
        <v>650</v>
      </c>
      <c r="F147" s="111" t="s">
        <v>664</v>
      </c>
      <c r="G147" s="113">
        <v>1</v>
      </c>
      <c r="H147" s="111"/>
      <c r="I147" s="111"/>
      <c r="J147" s="111"/>
    </row>
    <row r="148" spans="1:10" ht="14.25" customHeight="1">
      <c r="A148" s="110">
        <v>22</v>
      </c>
      <c r="B148" s="111" t="s">
        <v>421</v>
      </c>
      <c r="C148" s="111" t="s">
        <v>237</v>
      </c>
      <c r="D148" s="112" t="s">
        <v>753</v>
      </c>
      <c r="E148" s="112" t="s">
        <v>650</v>
      </c>
      <c r="F148" s="111" t="s">
        <v>664</v>
      </c>
      <c r="G148" s="113">
        <v>1</v>
      </c>
      <c r="H148" s="111"/>
      <c r="I148" s="111"/>
      <c r="J148" s="111"/>
    </row>
    <row r="149" spans="1:10" ht="14.25" customHeight="1">
      <c r="A149" s="110">
        <v>36</v>
      </c>
      <c r="B149" s="111" t="s">
        <v>422</v>
      </c>
      <c r="C149" s="111" t="s">
        <v>239</v>
      </c>
      <c r="D149" s="112" t="s">
        <v>786</v>
      </c>
      <c r="E149" s="112" t="s">
        <v>663</v>
      </c>
      <c r="F149" s="129" t="s">
        <v>687</v>
      </c>
      <c r="G149" s="133">
        <v>1</v>
      </c>
      <c r="H149" s="111"/>
      <c r="I149" s="111"/>
      <c r="J149" s="111"/>
    </row>
    <row r="150" spans="1:10" ht="14.25" customHeight="1">
      <c r="A150" s="110">
        <v>62</v>
      </c>
      <c r="B150" s="111" t="s">
        <v>423</v>
      </c>
      <c r="C150" s="111" t="s">
        <v>240</v>
      </c>
      <c r="D150" s="112" t="s">
        <v>850</v>
      </c>
      <c r="E150" s="112" t="s">
        <v>673</v>
      </c>
      <c r="F150" s="111" t="s">
        <v>651</v>
      </c>
      <c r="G150" s="113">
        <v>1</v>
      </c>
      <c r="H150" s="111"/>
      <c r="I150" s="111"/>
      <c r="J150" s="111"/>
    </row>
    <row r="151" spans="1:10" ht="14.25" customHeight="1">
      <c r="A151" s="110">
        <v>78</v>
      </c>
      <c r="B151" s="111" t="s">
        <v>424</v>
      </c>
      <c r="C151" s="111" t="s">
        <v>241</v>
      </c>
      <c r="D151" s="112" t="s">
        <v>883</v>
      </c>
      <c r="E151" s="112" t="s">
        <v>686</v>
      </c>
      <c r="F151" s="111" t="s">
        <v>670</v>
      </c>
      <c r="G151" s="113">
        <v>0</v>
      </c>
      <c r="H151" s="114" t="s">
        <v>633</v>
      </c>
      <c r="I151" s="114"/>
      <c r="J151" s="111"/>
    </row>
    <row r="152" spans="1:10" ht="14.25" customHeight="1">
      <c r="A152" s="110">
        <v>20</v>
      </c>
      <c r="B152" s="111" t="s">
        <v>425</v>
      </c>
      <c r="C152" s="111" t="s">
        <v>242</v>
      </c>
      <c r="D152" s="112" t="s">
        <v>749</v>
      </c>
      <c r="E152" s="112" t="s">
        <v>650</v>
      </c>
      <c r="F152" s="111" t="s">
        <v>664</v>
      </c>
      <c r="G152" s="113">
        <v>1</v>
      </c>
      <c r="H152" s="111"/>
      <c r="I152" s="111"/>
      <c r="J152" s="111"/>
    </row>
    <row r="153" spans="1:10" ht="14.25" customHeight="1">
      <c r="A153" s="110">
        <v>55</v>
      </c>
      <c r="B153" s="111" t="s">
        <v>426</v>
      </c>
      <c r="C153" s="111" t="s">
        <v>242</v>
      </c>
      <c r="D153" s="112" t="s">
        <v>832</v>
      </c>
      <c r="E153" s="112" t="s">
        <v>669</v>
      </c>
      <c r="F153" s="111" t="s">
        <v>625</v>
      </c>
      <c r="G153" s="113">
        <v>0</v>
      </c>
      <c r="H153" s="114" t="s">
        <v>634</v>
      </c>
      <c r="I153" s="111"/>
      <c r="J153" s="111"/>
    </row>
    <row r="154" spans="1:10" ht="14.25" customHeight="1">
      <c r="A154" s="110">
        <v>65</v>
      </c>
      <c r="B154" s="111" t="s">
        <v>427</v>
      </c>
      <c r="C154" s="111" t="s">
        <v>244</v>
      </c>
      <c r="D154" s="112" t="s">
        <v>855</v>
      </c>
      <c r="E154" s="112" t="s">
        <v>673</v>
      </c>
      <c r="F154" s="111" t="s">
        <v>651</v>
      </c>
      <c r="G154" s="113">
        <v>0</v>
      </c>
      <c r="H154" s="114" t="s">
        <v>626</v>
      </c>
      <c r="I154" s="114" t="s">
        <v>993</v>
      </c>
      <c r="J154" s="114" t="s">
        <v>994</v>
      </c>
    </row>
    <row r="155" spans="1:10" ht="14.25" customHeight="1">
      <c r="A155" s="110">
        <v>59</v>
      </c>
      <c r="B155" s="111" t="s">
        <v>428</v>
      </c>
      <c r="C155" s="111" t="s">
        <v>246</v>
      </c>
      <c r="D155" s="112" t="s">
        <v>842</v>
      </c>
      <c r="E155" s="112" t="s">
        <v>673</v>
      </c>
      <c r="F155" s="111" t="s">
        <v>651</v>
      </c>
      <c r="G155" s="113">
        <v>0</v>
      </c>
      <c r="H155" s="114" t="s">
        <v>637</v>
      </c>
      <c r="I155" s="114" t="s">
        <v>1005</v>
      </c>
      <c r="J155" s="111"/>
    </row>
    <row r="156" spans="1:10" ht="14.25" customHeight="1">
      <c r="A156" s="110">
        <v>18</v>
      </c>
      <c r="B156" s="111" t="s">
        <v>429</v>
      </c>
      <c r="C156" s="111" t="s">
        <v>247</v>
      </c>
      <c r="D156" s="112" t="s">
        <v>744</v>
      </c>
      <c r="E156" s="112" t="s">
        <v>650</v>
      </c>
      <c r="F156" s="111" t="s">
        <v>664</v>
      </c>
      <c r="G156" s="113">
        <v>1</v>
      </c>
      <c r="H156" s="111"/>
      <c r="I156" s="111"/>
      <c r="J156" s="111"/>
    </row>
    <row r="157" spans="1:10" ht="14.25" customHeight="1">
      <c r="A157" s="110">
        <v>33</v>
      </c>
      <c r="B157" s="111" t="s">
        <v>430</v>
      </c>
      <c r="C157" s="111" t="s">
        <v>248</v>
      </c>
      <c r="D157" s="112" t="s">
        <v>780</v>
      </c>
      <c r="E157" s="112" t="s">
        <v>659</v>
      </c>
      <c r="F157" s="132" t="s">
        <v>681</v>
      </c>
      <c r="G157" s="133">
        <v>1</v>
      </c>
      <c r="H157" s="111"/>
      <c r="I157" s="111"/>
      <c r="J157" s="111"/>
    </row>
    <row r="158" spans="1:10" ht="14.25" customHeight="1">
      <c r="A158" s="110">
        <v>73</v>
      </c>
      <c r="B158" s="111" t="s">
        <v>431</v>
      </c>
      <c r="C158" s="111" t="s">
        <v>249</v>
      </c>
      <c r="D158" s="112" t="s">
        <v>909</v>
      </c>
      <c r="E158" s="112" t="s">
        <v>680</v>
      </c>
      <c r="F158" s="111" t="s">
        <v>660</v>
      </c>
      <c r="G158" s="113">
        <v>0</v>
      </c>
      <c r="H158" s="114" t="s">
        <v>633</v>
      </c>
      <c r="I158" s="114"/>
      <c r="J158" s="111"/>
    </row>
    <row r="159" spans="1:10" ht="14.25" customHeight="1">
      <c r="A159" s="110">
        <v>83</v>
      </c>
      <c r="B159" s="111" t="s">
        <v>433</v>
      </c>
      <c r="C159" s="111" t="s">
        <v>251</v>
      </c>
      <c r="D159" s="112" t="s">
        <v>893</v>
      </c>
      <c r="E159" s="112" t="s">
        <v>686</v>
      </c>
      <c r="F159" s="111" t="s">
        <v>670</v>
      </c>
      <c r="G159" s="113">
        <v>0</v>
      </c>
      <c r="H159" s="114" t="s">
        <v>634</v>
      </c>
      <c r="I159" s="114"/>
      <c r="J159" s="111"/>
    </row>
    <row r="160" spans="1:10" ht="14.25" customHeight="1">
      <c r="A160" s="110">
        <v>35</v>
      </c>
      <c r="B160" s="111" t="s">
        <v>434</v>
      </c>
      <c r="C160" s="111" t="s">
        <v>252</v>
      </c>
      <c r="D160" s="112" t="s">
        <v>784</v>
      </c>
      <c r="E160" s="112" t="s">
        <v>663</v>
      </c>
      <c r="F160" s="129" t="s">
        <v>687</v>
      </c>
      <c r="G160" s="133">
        <v>1</v>
      </c>
      <c r="H160" s="111"/>
      <c r="I160" s="111"/>
      <c r="J160" s="111"/>
    </row>
    <row r="161" spans="1:10" ht="14.25" customHeight="1">
      <c r="A161" s="110">
        <v>65</v>
      </c>
      <c r="B161" s="111" t="s">
        <v>435</v>
      </c>
      <c r="C161" s="111" t="s">
        <v>253</v>
      </c>
      <c r="D161" s="112" t="s">
        <v>856</v>
      </c>
      <c r="E161" s="112" t="s">
        <v>673</v>
      </c>
      <c r="F161" s="111" t="s">
        <v>651</v>
      </c>
      <c r="G161" s="113">
        <v>0</v>
      </c>
      <c r="H161" s="114" t="s">
        <v>642</v>
      </c>
      <c r="I161" s="114" t="s">
        <v>995</v>
      </c>
      <c r="J161" s="114" t="s">
        <v>994</v>
      </c>
    </row>
    <row r="162" spans="1:10" ht="14.25" customHeight="1">
      <c r="A162" s="110">
        <v>74</v>
      </c>
      <c r="B162" s="111" t="s">
        <v>436</v>
      </c>
      <c r="C162" s="111" t="s">
        <v>255</v>
      </c>
      <c r="D162" s="112" t="s">
        <v>876</v>
      </c>
      <c r="E162" s="112" t="s">
        <v>680</v>
      </c>
      <c r="F162" s="111" t="s">
        <v>660</v>
      </c>
      <c r="G162" s="113">
        <v>0</v>
      </c>
      <c r="H162" s="114" t="s">
        <v>634</v>
      </c>
      <c r="I162" s="114"/>
      <c r="J162" s="111"/>
    </row>
    <row r="163" spans="1:10" ht="14.25" customHeight="1">
      <c r="A163" s="110">
        <v>8</v>
      </c>
      <c r="B163" s="111" t="s">
        <v>437</v>
      </c>
      <c r="C163" s="111" t="s">
        <v>257</v>
      </c>
      <c r="D163" s="112" t="s">
        <v>721</v>
      </c>
      <c r="E163" s="112" t="s">
        <v>624</v>
      </c>
      <c r="F163" s="111" t="s">
        <v>674</v>
      </c>
      <c r="G163" s="113">
        <v>1</v>
      </c>
      <c r="H163" s="111"/>
      <c r="I163" s="111"/>
      <c r="J163" s="111"/>
    </row>
    <row r="164" spans="1:10" ht="14.25" customHeight="1">
      <c r="A164" s="110">
        <v>83</v>
      </c>
      <c r="B164" s="111" t="s">
        <v>438</v>
      </c>
      <c r="C164" s="111" t="s">
        <v>258</v>
      </c>
      <c r="D164" s="112" t="s">
        <v>894</v>
      </c>
      <c r="E164" s="112" t="s">
        <v>686</v>
      </c>
      <c r="F164" s="111" t="s">
        <v>670</v>
      </c>
      <c r="G164" s="113">
        <v>0</v>
      </c>
      <c r="H164" s="114" t="s">
        <v>634</v>
      </c>
      <c r="I164" s="114"/>
      <c r="J164" s="111"/>
    </row>
    <row r="165" spans="1:10" ht="14.25" customHeight="1">
      <c r="A165" s="110">
        <v>17</v>
      </c>
      <c r="B165" s="111" t="s">
        <v>439</v>
      </c>
      <c r="C165" s="111" t="s">
        <v>259</v>
      </c>
      <c r="D165" s="112" t="s">
        <v>742</v>
      </c>
      <c r="E165" s="112" t="s">
        <v>650</v>
      </c>
      <c r="F165" s="111" t="s">
        <v>664</v>
      </c>
      <c r="G165" s="113">
        <v>1</v>
      </c>
      <c r="H165" s="114"/>
      <c r="I165" s="114"/>
      <c r="J165" s="111"/>
    </row>
    <row r="166" spans="1:10" ht="14.25" customHeight="1">
      <c r="A166" s="110">
        <v>46</v>
      </c>
      <c r="B166" s="111" t="s">
        <v>440</v>
      </c>
      <c r="C166" s="111" t="s">
        <v>260</v>
      </c>
      <c r="D166" s="112" t="s">
        <v>808</v>
      </c>
      <c r="E166" s="112" t="s">
        <v>669</v>
      </c>
      <c r="F166" s="111" t="s">
        <v>625</v>
      </c>
      <c r="G166" s="113">
        <v>0</v>
      </c>
      <c r="H166" s="114" t="s">
        <v>634</v>
      </c>
      <c r="I166" s="111"/>
      <c r="J166" s="111"/>
    </row>
    <row r="167" spans="1:10" ht="14.25" customHeight="1">
      <c r="A167" s="110">
        <v>61</v>
      </c>
      <c r="B167" s="111" t="s">
        <v>441</v>
      </c>
      <c r="C167" s="111" t="s">
        <v>261</v>
      </c>
      <c r="D167" s="112" t="s">
        <v>847</v>
      </c>
      <c r="E167" s="112" t="s">
        <v>673</v>
      </c>
      <c r="F167" s="111" t="s">
        <v>651</v>
      </c>
      <c r="G167" s="113">
        <v>0</v>
      </c>
      <c r="H167" s="114" t="s">
        <v>637</v>
      </c>
      <c r="I167" s="114" t="s">
        <v>1006</v>
      </c>
      <c r="J167" s="111"/>
    </row>
    <row r="168" spans="1:10" ht="14.25" customHeight="1">
      <c r="A168" s="110">
        <v>26</v>
      </c>
      <c r="B168" s="111" t="s">
        <v>447</v>
      </c>
      <c r="C168" s="111" t="s">
        <v>262</v>
      </c>
      <c r="D168" s="112" t="s">
        <v>763</v>
      </c>
      <c r="E168" s="112" t="s">
        <v>659</v>
      </c>
      <c r="F168" s="111" t="s">
        <v>681</v>
      </c>
      <c r="G168" s="113">
        <v>0</v>
      </c>
      <c r="H168" s="114" t="s">
        <v>626</v>
      </c>
      <c r="I168" s="114" t="s">
        <v>973</v>
      </c>
      <c r="J168" s="111"/>
    </row>
    <row r="169" spans="1:10" ht="14.25" customHeight="1">
      <c r="G169" s="113"/>
    </row>
    <row r="170" spans="1:10" ht="14.25" customHeight="1"/>
    <row r="171" spans="1:10" ht="14.25" customHeight="1"/>
    <row r="172" spans="1:10" ht="14.25" customHeight="1"/>
    <row r="173" spans="1:10" ht="14.25" customHeight="1"/>
    <row r="174" spans="1:10" ht="14.25" customHeight="1"/>
    <row r="175" spans="1:10" ht="14.25" customHeight="1"/>
    <row r="176" spans="1:10"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D1"/>
  </mergeCells>
  <dataValidations count="2">
    <dataValidation type="decimal" allowBlank="1" showInputMessage="1" showErrorMessage="1" prompt="Marks must be binary: 1 or 0" sqref="G3:G150 G152:G169">
      <formula1>0</formula1>
      <formula2>1</formula2>
    </dataValidation>
    <dataValidation type="list" allowBlank="1" showErrorMessage="1" sqref="H3:H168">
      <formula1>$L$7:$L$12</formula1>
    </dataValidation>
  </dataValidations>
  <pageMargins left="0.7" right="0.7" top="0.75" bottom="0.75" header="0" footer="0"/>
  <pageSetup orientation="landscape"/>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E172"/>
  <sheetViews>
    <sheetView workbookViewId="0"/>
  </sheetViews>
  <sheetFormatPr defaultRowHeight="14.4"/>
  <cols>
    <col min="1" max="1" width="12.6640625" customWidth="1"/>
    <col min="2" max="2" width="27.21875" bestFit="1" customWidth="1"/>
    <col min="3" max="3" width="14.21875" customWidth="1"/>
    <col min="4" max="4" width="23.21875" customWidth="1"/>
  </cols>
  <sheetData>
    <row r="1" spans="1:5" ht="31.2">
      <c r="A1" s="153" t="s">
        <v>1011</v>
      </c>
      <c r="B1" s="20"/>
    </row>
    <row r="2" spans="1:5">
      <c r="A2" s="3"/>
      <c r="E2" t="s">
        <v>1012</v>
      </c>
    </row>
    <row r="3" spans="1:5">
      <c r="A3" s="3"/>
      <c r="D3" s="7"/>
      <c r="E3" t="s">
        <v>1222</v>
      </c>
    </row>
    <row r="4" spans="1:5">
      <c r="A4" t="s">
        <v>25</v>
      </c>
      <c r="C4" s="6">
        <v>100</v>
      </c>
      <c r="D4" s="7"/>
    </row>
    <row r="5" spans="1:5">
      <c r="A5" s="155" t="s">
        <v>617</v>
      </c>
      <c r="B5" s="156" t="s">
        <v>1010</v>
      </c>
      <c r="C5" s="154" t="s">
        <v>29</v>
      </c>
      <c r="D5" s="157" t="s">
        <v>24</v>
      </c>
    </row>
    <row r="6" spans="1:5">
      <c r="A6" s="147" t="str">
        <f>IFERROR(TRIM(LEFT(UlwaziExport[SIS User ID],FIND("@",UlwaziExport[SIS User ID])-1)),"")</f>
        <v>1906349</v>
      </c>
      <c r="B6" s="147" t="str">
        <f>IFERROR(UlwaziExport[Student],"")&amp;""</f>
        <v>Abrahams, Shuraygh-suwayd</v>
      </c>
      <c r="C6" s="141"/>
      <c r="D6" s="148"/>
    </row>
    <row r="7" spans="1:5">
      <c r="A7" s="147" t="str">
        <f>IFERROR(TRIM(LEFT(UlwaziExport[SIS User ID],FIND("@",UlwaziExport[SIS User ID])-1)),"")</f>
        <v>1845217</v>
      </c>
      <c r="B7" s="147" t="str">
        <f>IFERROR(UlwaziExport[Student],"")&amp;""</f>
        <v>Akhalwaya, Ateka</v>
      </c>
      <c r="C7" s="141"/>
      <c r="D7" s="148"/>
    </row>
    <row r="8" spans="1:5">
      <c r="A8" s="147" t="str">
        <f>IFERROR(TRIM(LEFT(UlwaziExport[SIS User ID],FIND("@",UlwaziExport[SIS User ID])-1)),"")</f>
        <v>2166010</v>
      </c>
      <c r="B8" s="147" t="str">
        <f>IFERROR(UlwaziExport[Student],"")&amp;""</f>
        <v>Anas, Syed Mohammad Khizar</v>
      </c>
      <c r="C8" s="141"/>
      <c r="D8" s="148"/>
    </row>
    <row r="9" spans="1:5">
      <c r="A9" s="147" t="str">
        <f>IFERROR(TRIM(LEFT(UlwaziExport[SIS User ID],FIND("@",UlwaziExport[SIS User ID])-1)),"")</f>
        <v>2377042</v>
      </c>
      <c r="B9" s="147" t="str">
        <f>IFERROR(UlwaziExport[Student],"")&amp;""</f>
        <v>Antunes, Michael</v>
      </c>
      <c r="C9" s="141"/>
      <c r="D9" s="143"/>
    </row>
    <row r="10" spans="1:5">
      <c r="A10" s="147" t="str">
        <f>IFERROR(TRIM(LEFT(UlwaziExport[SIS User ID],FIND("@",UlwaziExport[SIS User ID])-1)),"")</f>
        <v>2136605</v>
      </c>
      <c r="B10" s="147" t="str">
        <f>IFERROR(UlwaziExport[Student],"")&amp;""</f>
        <v>Areff, Nur'ain</v>
      </c>
      <c r="C10" s="141"/>
      <c r="D10" s="143"/>
    </row>
    <row r="11" spans="1:5">
      <c r="A11" s="147" t="str">
        <f>IFERROR(TRIM(LEFT(UlwaziExport[SIS User ID],FIND("@",UlwaziExport[SIS User ID])-1)),"")</f>
        <v>2304150</v>
      </c>
      <c r="B11" s="147" t="str">
        <f>IFERROR(UlwaziExport[Student],"")&amp;""</f>
        <v>Badat, Uwais</v>
      </c>
      <c r="C11" s="141"/>
      <c r="D11" s="143"/>
    </row>
    <row r="12" spans="1:5">
      <c r="A12" s="147" t="str">
        <f>IFERROR(TRIM(LEFT(UlwaziExport[SIS User ID],FIND("@",UlwaziExport[SIS User ID])-1)),"")</f>
        <v>1849732</v>
      </c>
      <c r="B12" s="147" t="str">
        <f>IFERROR(UlwaziExport[Student],"")&amp;""</f>
        <v>Bagapi, Gosego</v>
      </c>
      <c r="C12" s="141"/>
      <c r="D12" s="143"/>
    </row>
    <row r="13" spans="1:5">
      <c r="A13" s="147" t="str">
        <f>IFERROR(TRIM(LEFT(UlwaziExport[SIS User ID],FIND("@",UlwaziExport[SIS User ID])-1)),"")</f>
        <v>1826929</v>
      </c>
      <c r="B13" s="147" t="str">
        <f>IFERROR(UlwaziExport[Student],"")&amp;""</f>
        <v>Baloyi, Tebogo</v>
      </c>
      <c r="C13" s="141"/>
      <c r="D13" s="143"/>
    </row>
    <row r="14" spans="1:5">
      <c r="A14" s="147" t="str">
        <f>IFERROR(TRIM(LEFT(UlwaziExport[SIS User ID],FIND("@",UlwaziExport[SIS User ID])-1)),"")</f>
        <v>2327745</v>
      </c>
      <c r="B14" s="147" t="str">
        <f>IFERROR(UlwaziExport[Student],"")&amp;""</f>
        <v>Bekezulu, Tshegofatso</v>
      </c>
      <c r="C14" s="141"/>
      <c r="D14" s="143"/>
    </row>
    <row r="15" spans="1:5">
      <c r="A15" s="147" t="str">
        <f>IFERROR(TRIM(LEFT(UlwaziExport[SIS User ID],FIND("@",UlwaziExport[SIS User ID])-1)),"")</f>
        <v>2324917</v>
      </c>
      <c r="B15" s="147" t="str">
        <f>IFERROR(UlwaziExport[Student],"")&amp;""</f>
        <v>Bepat, Kiyash</v>
      </c>
      <c r="C15" s="141"/>
      <c r="D15" s="143"/>
    </row>
    <row r="16" spans="1:5">
      <c r="A16" s="147" t="str">
        <f>IFERROR(TRIM(LEFT(UlwaziExport[SIS User ID],FIND("@",UlwaziExport[SIS User ID])-1)),"")</f>
        <v>2303789</v>
      </c>
      <c r="B16" s="147" t="str">
        <f>IFERROR(UlwaziExport[Student],"")&amp;""</f>
        <v>Bera, Oussama</v>
      </c>
      <c r="C16" s="141"/>
      <c r="D16" s="143"/>
    </row>
    <row r="17" spans="1:4">
      <c r="A17" s="147" t="str">
        <f>IFERROR(TRIM(LEFT(UlwaziExport[SIS User ID],FIND("@",UlwaziExport[SIS User ID])-1)),"")</f>
        <v>2094752</v>
      </c>
      <c r="B17" s="147" t="str">
        <f>IFERROR(UlwaziExport[Student],"")&amp;""</f>
        <v>Bhaga, Veeral</v>
      </c>
      <c r="C17" s="141"/>
      <c r="D17" s="143"/>
    </row>
    <row r="18" spans="1:4">
      <c r="A18" s="147" t="str">
        <f>IFERROR(TRIM(LEFT(UlwaziExport[SIS User ID],FIND("@",UlwaziExport[SIS User ID])-1)),"")</f>
        <v>2130436</v>
      </c>
      <c r="B18" s="147" t="str">
        <f>IFERROR(UlwaziExport[Student],"")&amp;""</f>
        <v>Bux, Muhammad</v>
      </c>
      <c r="C18" s="141"/>
      <c r="D18" s="143"/>
    </row>
    <row r="19" spans="1:4">
      <c r="A19" s="147" t="str">
        <f>IFERROR(TRIM(LEFT(UlwaziExport[SIS User ID],FIND("@",UlwaziExport[SIS User ID])-1)),"")</f>
        <v>1701547</v>
      </c>
      <c r="B19" s="147" t="str">
        <f>IFERROR(UlwaziExport[Student],"")&amp;""</f>
        <v>Chauke, Erick</v>
      </c>
      <c r="C19" s="141"/>
      <c r="D19" s="143"/>
    </row>
    <row r="20" spans="1:4">
      <c r="A20" s="147" t="str">
        <f>IFERROR(TRIM(LEFT(UlwaziExport[SIS User ID],FIND("@",UlwaziExport[SIS User ID])-1)),"")</f>
        <v>2303450</v>
      </c>
      <c r="B20" s="147" t="str">
        <f>IFERROR(UlwaziExport[Student],"")&amp;""</f>
        <v>Chiloane, Israel</v>
      </c>
      <c r="C20" s="141"/>
      <c r="D20" s="143"/>
    </row>
    <row r="21" spans="1:4">
      <c r="A21" s="147" t="str">
        <f>IFERROR(TRIM(LEFT(UlwaziExport[SIS User ID],FIND("@",UlwaziExport[SIS User ID])-1)),"")</f>
        <v>2306815</v>
      </c>
      <c r="B21" s="147" t="str">
        <f>IFERROR(UlwaziExport[Student],"")&amp;""</f>
        <v>Chipkin, Eitan</v>
      </c>
      <c r="C21" s="141"/>
      <c r="D21" s="143"/>
    </row>
    <row r="22" spans="1:4">
      <c r="A22" s="147" t="str">
        <f>IFERROR(TRIM(LEFT(UlwaziExport[SIS User ID],FIND("@",UlwaziExport[SIS User ID])-1)),"")</f>
        <v>2168179</v>
      </c>
      <c r="B22" s="147" t="str">
        <f>IFERROR(UlwaziExport[Student],"")&amp;""</f>
        <v>Cohen, Sam</v>
      </c>
      <c r="C22" s="141"/>
      <c r="D22" s="143"/>
    </row>
    <row r="23" spans="1:4">
      <c r="A23" s="147" t="str">
        <f>IFERROR(TRIM(LEFT(UlwaziExport[SIS User ID],FIND("@",UlwaziExport[SIS User ID])-1)),"")</f>
        <v>2118894</v>
      </c>
      <c r="B23" s="147" t="str">
        <f>IFERROR(UlwaziExport[Student],"")&amp;""</f>
        <v>Daras, Maria</v>
      </c>
      <c r="C23" s="141"/>
      <c r="D23" s="143"/>
    </row>
    <row r="24" spans="1:4">
      <c r="A24" s="147" t="str">
        <f>IFERROR(TRIM(LEFT(UlwaziExport[SIS User ID],FIND("@",UlwaziExport[SIS User ID])-1)),"")</f>
        <v>2199951</v>
      </c>
      <c r="B24" s="147" t="str">
        <f>IFERROR(UlwaziExport[Student],"")&amp;""</f>
        <v>Dibakoane, Tebogo</v>
      </c>
      <c r="C24" s="141"/>
      <c r="D24" s="143"/>
    </row>
    <row r="25" spans="1:4">
      <c r="A25" s="147" t="str">
        <f>IFERROR(TRIM(LEFT(UlwaziExport[SIS User ID],FIND("@",UlwaziExport[SIS User ID])-1)),"")</f>
        <v>1278510</v>
      </c>
      <c r="B25" s="147" t="str">
        <f>IFERROR(UlwaziExport[Student],"")&amp;""</f>
        <v>Dladla, Fanelesibonge</v>
      </c>
      <c r="C25" s="141"/>
      <c r="D25" s="143"/>
    </row>
    <row r="26" spans="1:4">
      <c r="A26" s="147" t="str">
        <f>IFERROR(TRIM(LEFT(UlwaziExport[SIS User ID],FIND("@",UlwaziExport[SIS User ID])-1)),"")</f>
        <v>1610736</v>
      </c>
      <c r="B26" s="147" t="str">
        <f>IFERROR(UlwaziExport[Student],"")&amp;""</f>
        <v>Dlamini, Njabulo</v>
      </c>
      <c r="C26" s="141"/>
      <c r="D26" s="143"/>
    </row>
    <row r="27" spans="1:4">
      <c r="A27" s="147" t="str">
        <f>IFERROR(TRIM(LEFT(UlwaziExport[SIS User ID],FIND("@",UlwaziExport[SIS User ID])-1)),"")</f>
        <v>2090845</v>
      </c>
      <c r="B27" s="147" t="str">
        <f>IFERROR(UlwaziExport[Student],"")&amp;""</f>
        <v>Dlamini, Nolwazi</v>
      </c>
      <c r="C27" s="141"/>
      <c r="D27" s="143"/>
    </row>
    <row r="28" spans="1:4">
      <c r="A28" s="147" t="str">
        <f>IFERROR(TRIM(LEFT(UlwaziExport[SIS User ID],FIND("@",UlwaziExport[SIS User ID])-1)),"")</f>
        <v>1660819</v>
      </c>
      <c r="B28" s="147" t="str">
        <f>IFERROR(UlwaziExport[Student],"")&amp;""</f>
        <v>Dlezi, Thuthukani</v>
      </c>
      <c r="C28" s="141"/>
      <c r="D28" s="143"/>
    </row>
    <row r="29" spans="1:4">
      <c r="A29" s="147" t="str">
        <f>IFERROR(TRIM(LEFT(UlwaziExport[SIS User ID],FIND("@",UlwaziExport[SIS User ID])-1)),"")</f>
        <v>2366542</v>
      </c>
      <c r="B29" s="147" t="str">
        <f>IFERROR(UlwaziExport[Student],"")&amp;""</f>
        <v>Docrat, Hamzah</v>
      </c>
      <c r="C29" s="141"/>
      <c r="D29" s="143"/>
    </row>
    <row r="30" spans="1:4">
      <c r="A30" s="147" t="str">
        <f>IFERROR(TRIM(LEFT(UlwaziExport[SIS User ID],FIND("@",UlwaziExport[SIS User ID])-1)),"")</f>
        <v>1924564</v>
      </c>
      <c r="B30" s="147" t="str">
        <f>IFERROR(UlwaziExport[Student],"")&amp;""</f>
        <v>Dworcan, Jess</v>
      </c>
      <c r="C30" s="141"/>
      <c r="D30" s="143"/>
    </row>
    <row r="31" spans="1:4">
      <c r="A31" s="147" t="str">
        <f>IFERROR(TRIM(LEFT(UlwaziExport[SIS User ID],FIND("@",UlwaziExport[SIS User ID])-1)),"")</f>
        <v>2129200</v>
      </c>
      <c r="B31" s="147" t="str">
        <f>IFERROR(UlwaziExport[Student],"")&amp;""</f>
        <v>Elliott, Taine</v>
      </c>
      <c r="C31" s="141"/>
      <c r="D31" s="143"/>
    </row>
    <row r="32" spans="1:4">
      <c r="A32" s="147" t="str">
        <f>IFERROR(TRIM(LEFT(UlwaziExport[SIS User ID],FIND("@",UlwaziExport[SIS User ID])-1)),"")</f>
        <v>2173105</v>
      </c>
      <c r="B32" s="147" t="str">
        <f>IFERROR(UlwaziExport[Student],"")&amp;""</f>
        <v>Ellis, Reuben</v>
      </c>
      <c r="C32" s="141"/>
      <c r="D32" s="143"/>
    </row>
    <row r="33" spans="1:4">
      <c r="A33" s="147" t="str">
        <f>IFERROR(TRIM(LEFT(UlwaziExport[SIS User ID],FIND("@",UlwaziExport[SIS User ID])-1)),"")</f>
        <v>2231460</v>
      </c>
      <c r="B33" s="147" t="str">
        <f>IFERROR(UlwaziExport[Student],"")&amp;""</f>
        <v>Feldman, Tyrique</v>
      </c>
      <c r="C33" s="141"/>
      <c r="D33" s="143"/>
    </row>
    <row r="34" spans="1:4">
      <c r="A34" s="147" t="str">
        <f>IFERROR(TRIM(LEFT(UlwaziExport[SIS User ID],FIND("@",UlwaziExport[SIS User ID])-1)),"")</f>
        <v>1830380</v>
      </c>
      <c r="B34" s="147" t="str">
        <f>IFERROR(UlwaziExport[Student],"")&amp;""</f>
        <v>Finger, Shehwar</v>
      </c>
      <c r="C34" s="141"/>
      <c r="D34" s="143"/>
    </row>
    <row r="35" spans="1:4">
      <c r="A35" s="147" t="str">
        <f>IFERROR(TRIM(LEFT(UlwaziExport[SIS User ID],FIND("@",UlwaziExport[SIS User ID])-1)),"")</f>
        <v>1877695</v>
      </c>
      <c r="B35" s="147" t="str">
        <f>IFERROR(UlwaziExport[Student],"")&amp;""</f>
        <v>Fipaza, Olwethu</v>
      </c>
      <c r="C35" s="141"/>
      <c r="D35" s="143"/>
    </row>
    <row r="36" spans="1:4">
      <c r="A36" s="147" t="str">
        <f>IFERROR(TRIM(LEFT(UlwaziExport[SIS User ID],FIND("@",UlwaziExport[SIS User ID])-1)),"")</f>
        <v>2323162</v>
      </c>
      <c r="B36" s="147" t="str">
        <f>IFERROR(UlwaziExport[Student],"")&amp;""</f>
        <v>Fisher, Clint</v>
      </c>
      <c r="C36" s="141"/>
      <c r="D36" s="143"/>
    </row>
    <row r="37" spans="1:4">
      <c r="A37" s="147" t="str">
        <f>IFERROR(TRIM(LEFT(UlwaziExport[SIS User ID],FIND("@",UlwaziExport[SIS User ID])-1)),"")</f>
        <v>2104199</v>
      </c>
      <c r="B37" s="147" t="str">
        <f>IFERROR(UlwaziExport[Student],"")&amp;""</f>
        <v>Gcanga, Tsietsi</v>
      </c>
      <c r="C37" s="141"/>
      <c r="D37" s="143"/>
    </row>
    <row r="38" spans="1:4">
      <c r="A38" s="147" t="str">
        <f>IFERROR(TRIM(LEFT(UlwaziExport[SIS User ID],FIND("@",UlwaziExport[SIS User ID])-1)),"")</f>
        <v>2335476</v>
      </c>
      <c r="B38" s="147" t="str">
        <f>IFERROR(UlwaziExport[Student],"")&amp;""</f>
        <v>Ginster, Philip</v>
      </c>
      <c r="C38" s="141"/>
      <c r="D38" s="143"/>
    </row>
    <row r="39" spans="1:4">
      <c r="A39" s="147" t="str">
        <f>IFERROR(TRIM(LEFT(UlwaziExport[SIS User ID],FIND("@",UlwaziExport[SIS User ID])-1)),"")</f>
        <v>2095374</v>
      </c>
      <c r="B39" s="147" t="str">
        <f>IFERROR(UlwaziExport[Student],"")&amp;""</f>
        <v>Goldblatt, Hannah</v>
      </c>
      <c r="C39" s="141"/>
      <c r="D39" s="143"/>
    </row>
    <row r="40" spans="1:4">
      <c r="A40" s="147" t="str">
        <f>IFERROR(TRIM(LEFT(UlwaziExport[SIS User ID],FIND("@",UlwaziExport[SIS User ID])-1)),"")</f>
        <v>2050175</v>
      </c>
      <c r="B40" s="147" t="str">
        <f>IFERROR(UlwaziExport[Student],"")&amp;""</f>
        <v>Gowan, Sudheer</v>
      </c>
      <c r="C40" s="141"/>
      <c r="D40" s="143"/>
    </row>
    <row r="41" spans="1:4">
      <c r="A41" s="147" t="str">
        <f>IFERROR(TRIM(LEFT(UlwaziExport[SIS User ID],FIND("@",UlwaziExport[SIS User ID])-1)),"")</f>
        <v>2138347</v>
      </c>
      <c r="B41" s="147" t="str">
        <f>IFERROR(UlwaziExport[Student],"")&amp;""</f>
        <v>Grahn, Bryce</v>
      </c>
      <c r="C41" s="141"/>
      <c r="D41" s="143"/>
    </row>
    <row r="42" spans="1:4">
      <c r="A42" s="147" t="str">
        <f>IFERROR(TRIM(LEFT(UlwaziExport[SIS User ID],FIND("@",UlwaziExport[SIS User ID])-1)),"")</f>
        <v>2344104</v>
      </c>
      <c r="B42" s="147" t="str">
        <f>IFERROR(UlwaziExport[Student],"")&amp;""</f>
        <v>Grayman, Natan</v>
      </c>
      <c r="C42" s="141"/>
      <c r="D42" s="143"/>
    </row>
    <row r="43" spans="1:4">
      <c r="A43" s="147" t="str">
        <f>IFERROR(TRIM(LEFT(UlwaziExport[SIS User ID],FIND("@",UlwaziExport[SIS User ID])-1)),"")</f>
        <v>2309262</v>
      </c>
      <c r="B43" s="147" t="str">
        <f>IFERROR(UlwaziExport[Student],"")&amp;""</f>
        <v>Gurahoo, Jashna</v>
      </c>
      <c r="C43" s="141"/>
      <c r="D43" s="143"/>
    </row>
    <row r="44" spans="1:4">
      <c r="A44" s="147" t="str">
        <f>IFERROR(TRIM(LEFT(UlwaziExport[SIS User ID],FIND("@",UlwaziExport[SIS User ID])-1)),"")</f>
        <v>1876127</v>
      </c>
      <c r="B44" s="147" t="str">
        <f>IFERROR(UlwaziExport[Student],"")&amp;""</f>
        <v>Hammond, Meg</v>
      </c>
      <c r="C44" s="141"/>
      <c r="D44" s="143"/>
    </row>
    <row r="45" spans="1:4">
      <c r="A45" s="147" t="str">
        <f>IFERROR(TRIM(LEFT(UlwaziExport[SIS User ID],FIND("@",UlwaziExport[SIS User ID])-1)),"")</f>
        <v>2194051</v>
      </c>
      <c r="B45" s="147" t="str">
        <f>IFERROR(UlwaziExport[Student],"")&amp;""</f>
        <v>Hand, Brayden</v>
      </c>
      <c r="C45" s="141"/>
      <c r="D45" s="143"/>
    </row>
    <row r="46" spans="1:4">
      <c r="A46" s="147" t="str">
        <f>IFERROR(TRIM(LEFT(UlwaziExport[SIS User ID],FIND("@",UlwaziExport[SIS User ID])-1)),"")</f>
        <v>2355933</v>
      </c>
      <c r="B46" s="147" t="str">
        <f>IFERROR(UlwaziExport[Student],"")&amp;""</f>
        <v>Harrar, Saudah</v>
      </c>
      <c r="C46" s="141"/>
      <c r="D46" s="143"/>
    </row>
    <row r="47" spans="1:4">
      <c r="A47" s="147" t="str">
        <f>IFERROR(TRIM(LEFT(UlwaziExport[SIS User ID],FIND("@",UlwaziExport[SIS User ID])-1)),"")</f>
        <v>2143227</v>
      </c>
      <c r="B47" s="147" t="str">
        <f>IFERROR(UlwaziExport[Student],"")&amp;""</f>
        <v>Hunter, Miguel</v>
      </c>
      <c r="C47" s="141"/>
      <c r="D47" s="143"/>
    </row>
    <row r="48" spans="1:4">
      <c r="A48" s="147" t="str">
        <f>IFERROR(TRIM(LEFT(UlwaziExport[SIS User ID],FIND("@",UlwaziExport[SIS User ID])-1)),"")</f>
        <v>1876297</v>
      </c>
      <c r="B48" s="147" t="str">
        <f>IFERROR(UlwaziExport[Student],"")&amp;""</f>
        <v>Jali, Thabani</v>
      </c>
      <c r="C48" s="141"/>
      <c r="D48" s="143"/>
    </row>
    <row r="49" spans="1:4">
      <c r="A49" s="147" t="str">
        <f>IFERROR(TRIM(LEFT(UlwaziExport[SIS User ID],FIND("@",UlwaziExport[SIS User ID])-1)),"")</f>
        <v>2344063</v>
      </c>
      <c r="B49" s="147" t="str">
        <f>IFERROR(UlwaziExport[Student],"")&amp;""</f>
        <v>Jamaloodien, Hamzah</v>
      </c>
      <c r="C49" s="145"/>
      <c r="D49" s="143"/>
    </row>
    <row r="50" spans="1:4">
      <c r="A50" s="147" t="str">
        <f>IFERROR(TRIM(LEFT(UlwaziExport[SIS User ID],FIND("@",UlwaziExport[SIS User ID])-1)),"")</f>
        <v>2331132</v>
      </c>
      <c r="B50" s="147" t="str">
        <f>IFERROR(UlwaziExport[Student],"")&amp;""</f>
        <v>Jiyane, Sibongiseni</v>
      </c>
      <c r="C50" s="141"/>
      <c r="D50" s="143"/>
    </row>
    <row r="51" spans="1:4">
      <c r="A51" s="147" t="str">
        <f>IFERROR(TRIM(LEFT(UlwaziExport[SIS User ID],FIND("@",UlwaziExport[SIS User ID])-1)),"")</f>
        <v>2330797</v>
      </c>
      <c r="B51" s="147" t="str">
        <f>IFERROR(UlwaziExport[Student],"")&amp;""</f>
        <v>Joffe, Ellie</v>
      </c>
      <c r="C51" s="141"/>
      <c r="D51" s="143"/>
    </row>
    <row r="52" spans="1:4">
      <c r="A52" s="147" t="str">
        <f>IFERROR(TRIM(LEFT(UlwaziExport[SIS User ID],FIND("@",UlwaziExport[SIS User ID])-1)),"")</f>
        <v>2094978</v>
      </c>
      <c r="B52" s="147" t="str">
        <f>IFERROR(UlwaziExport[Student],"")&amp;""</f>
        <v>Johannes, Zewuwel</v>
      </c>
      <c r="C52" s="141"/>
      <c r="D52" s="143"/>
    </row>
    <row r="53" spans="1:4">
      <c r="A53" s="147" t="str">
        <f>IFERROR(TRIM(LEFT(UlwaziExport[SIS User ID],FIND("@",UlwaziExport[SIS User ID])-1)),"")</f>
        <v>1832991</v>
      </c>
      <c r="B53" s="147" t="str">
        <f>IFERROR(UlwaziExport[Student],"")&amp;""</f>
        <v>Johari, Mannan</v>
      </c>
      <c r="C53" s="141"/>
      <c r="D53" s="143"/>
    </row>
    <row r="54" spans="1:4">
      <c r="A54" s="147" t="str">
        <f>IFERROR(TRIM(LEFT(UlwaziExport[SIS User ID],FIND("@",UlwaziExport[SIS User ID])-1)),"")</f>
        <v>1146648</v>
      </c>
      <c r="B54" s="147" t="str">
        <f>IFERROR(UlwaziExport[Student],"")&amp;""</f>
        <v>Kala, Priyanka</v>
      </c>
      <c r="C54" s="141"/>
      <c r="D54" s="143"/>
    </row>
    <row r="55" spans="1:4">
      <c r="A55" s="147" t="str">
        <f>IFERROR(TRIM(LEFT(UlwaziExport[SIS User ID],FIND("@",UlwaziExport[SIS User ID])-1)),"")</f>
        <v>2367017</v>
      </c>
      <c r="B55" s="147" t="str">
        <f>IFERROR(UlwaziExport[Student],"")&amp;""</f>
        <v>Kangisser, Gilad</v>
      </c>
      <c r="C55" s="141"/>
      <c r="D55" s="143"/>
    </row>
    <row r="56" spans="1:4">
      <c r="A56" s="147" t="str">
        <f>IFERROR(TRIM(LEFT(UlwaziExport[SIS User ID],FIND("@",UlwaziExport[SIS User ID])-1)),"")</f>
        <v>2209317</v>
      </c>
      <c r="B56" s="147" t="str">
        <f>IFERROR(UlwaziExport[Student],"")&amp;""</f>
        <v>Katz, Jonathan</v>
      </c>
      <c r="C56" s="141"/>
      <c r="D56" s="143"/>
    </row>
    <row r="57" spans="1:4">
      <c r="A57" s="147" t="str">
        <f>IFERROR(TRIM(LEFT(UlwaziExport[SIS User ID],FIND("@",UlwaziExport[SIS User ID])-1)),"")</f>
        <v>2351913</v>
      </c>
      <c r="B57" s="147" t="str">
        <f>IFERROR(UlwaziExport[Student],"")&amp;""</f>
        <v>Katz, Kira</v>
      </c>
      <c r="C57" s="141"/>
      <c r="D57" s="143"/>
    </row>
    <row r="58" spans="1:4">
      <c r="A58" s="147" t="str">
        <f>IFERROR(TRIM(LEFT(UlwaziExport[SIS User ID],FIND("@",UlwaziExport[SIS User ID])-1)),"")</f>
        <v>2127000</v>
      </c>
      <c r="B58" s="147" t="str">
        <f>IFERROR(UlwaziExport[Student],"")&amp;""</f>
        <v>Kemraj, Caitlin</v>
      </c>
      <c r="C58" s="141"/>
      <c r="D58" s="143"/>
    </row>
    <row r="59" spans="1:4">
      <c r="A59" s="147" t="str">
        <f>IFERROR(TRIM(LEFT(UlwaziExport[SIS User ID],FIND("@",UlwaziExport[SIS User ID])-1)),"")</f>
        <v>2105080</v>
      </c>
      <c r="B59" s="147" t="str">
        <f>IFERROR(UlwaziExport[Student],"")&amp;""</f>
        <v>Khoza, Abram</v>
      </c>
      <c r="C59" s="141"/>
      <c r="D59" s="143"/>
    </row>
    <row r="60" spans="1:4">
      <c r="A60" s="147" t="str">
        <f>IFERROR(TRIM(LEFT(UlwaziExport[SIS User ID],FIND("@",UlwaziExport[SIS User ID])-1)),"")</f>
        <v>2095396</v>
      </c>
      <c r="B60" s="147" t="str">
        <f>IFERROR(UlwaziExport[Student],"")&amp;""</f>
        <v>Khumalo, Dumisani</v>
      </c>
      <c r="C60" s="141"/>
      <c r="D60" s="143"/>
    </row>
    <row r="61" spans="1:4">
      <c r="A61" s="147" t="str">
        <f>IFERROR(TRIM(LEFT(UlwaziExport[SIS User ID],FIND("@",UlwaziExport[SIS User ID])-1)),"")</f>
        <v>2242940</v>
      </c>
      <c r="B61" s="147" t="str">
        <f>IFERROR(UlwaziExport[Student],"")&amp;""</f>
        <v>Khuzwayo, Siyanda</v>
      </c>
      <c r="C61" s="141"/>
      <c r="D61" s="143"/>
    </row>
    <row r="62" spans="1:4">
      <c r="A62" s="147" t="str">
        <f>IFERROR(TRIM(LEFT(UlwaziExport[SIS User ID],FIND("@",UlwaziExport[SIS User ID])-1)),"")</f>
        <v>2172968</v>
      </c>
      <c r="B62" s="147" t="str">
        <f>IFERROR(UlwaziExport[Student],"")&amp;""</f>
        <v>Kipruto, Bradley</v>
      </c>
      <c r="C62" s="141"/>
      <c r="D62" s="143"/>
    </row>
    <row r="63" spans="1:4">
      <c r="A63" s="147" t="str">
        <f>IFERROR(TRIM(LEFT(UlwaziExport[SIS User ID],FIND("@",UlwaziExport[SIS User ID])-1)),"")</f>
        <v>2117841</v>
      </c>
      <c r="B63" s="147" t="str">
        <f>IFERROR(UlwaziExport[Student],"")&amp;""</f>
        <v>Konyane, Kgothatso</v>
      </c>
      <c r="C63" s="141"/>
      <c r="D63" s="143"/>
    </row>
    <row r="64" spans="1:4">
      <c r="A64" s="147" t="str">
        <f>IFERROR(TRIM(LEFT(UlwaziExport[SIS User ID],FIND("@",UlwaziExport[SIS User ID])-1)),"")</f>
        <v>2341547</v>
      </c>
      <c r="B64" s="147" t="str">
        <f>IFERROR(UlwaziExport[Student],"")&amp;""</f>
        <v>Kouassi, Ogou John Marlon Rich</v>
      </c>
      <c r="C64" s="141"/>
      <c r="D64" s="143"/>
    </row>
    <row r="65" spans="1:4">
      <c r="A65" s="147" t="str">
        <f>IFERROR(TRIM(LEFT(UlwaziExport[SIS User ID],FIND("@",UlwaziExport[SIS User ID])-1)),"")</f>
        <v>1744150</v>
      </c>
      <c r="B65" s="147" t="str">
        <f>IFERROR(UlwaziExport[Student],"")&amp;""</f>
        <v>Krawe, Thulani</v>
      </c>
      <c r="C65" s="141"/>
      <c r="D65" s="143"/>
    </row>
    <row r="66" spans="1:4">
      <c r="A66" s="147" t="str">
        <f>IFERROR(TRIM(LEFT(UlwaziExport[SIS User ID],FIND("@",UlwaziExport[SIS User ID])-1)),"")</f>
        <v>1919247</v>
      </c>
      <c r="B66" s="147" t="str">
        <f>IFERROR(UlwaziExport[Student],"")&amp;""</f>
        <v>Krishanlall, Shekhar</v>
      </c>
      <c r="C66" s="141"/>
      <c r="D66" s="152"/>
    </row>
    <row r="67" spans="1:4">
      <c r="A67" s="147" t="str">
        <f>IFERROR(TRIM(LEFT(UlwaziExport[SIS User ID],FIND("@",UlwaziExport[SIS User ID])-1)),"")</f>
        <v>1834022</v>
      </c>
      <c r="B67" s="147" t="str">
        <f>IFERROR(UlwaziExport[Student],"")&amp;""</f>
        <v>Kunene, Mbali</v>
      </c>
      <c r="C67" s="141"/>
      <c r="D67" s="143"/>
    </row>
    <row r="68" spans="1:4">
      <c r="A68" s="147" t="str">
        <f>IFERROR(TRIM(LEFT(UlwaziExport[SIS User ID],FIND("@",UlwaziExport[SIS User ID])-1)),"")</f>
        <v>704140</v>
      </c>
      <c r="B68" s="147" t="str">
        <f>IFERROR(UlwaziExport[Student],"")&amp;""</f>
        <v>Landgrebe, Michael</v>
      </c>
      <c r="C68" s="141"/>
      <c r="D68" s="143"/>
    </row>
    <row r="69" spans="1:4">
      <c r="A69" s="147" t="str">
        <f>IFERROR(TRIM(LEFT(UlwaziExport[SIS User ID],FIND("@",UlwaziExport[SIS User ID])-1)),"")</f>
        <v>2307157</v>
      </c>
      <c r="B69" s="147" t="str">
        <f>IFERROR(UlwaziExport[Student],"")&amp;""</f>
        <v>Legoabe, Tebogo</v>
      </c>
      <c r="C69" s="141"/>
      <c r="D69" s="143"/>
    </row>
    <row r="70" spans="1:4">
      <c r="A70" s="147" t="str">
        <f>IFERROR(TRIM(LEFT(UlwaziExport[SIS User ID],FIND("@",UlwaziExport[SIS User ID])-1)),"")</f>
        <v>1827340</v>
      </c>
      <c r="B70" s="147" t="str">
        <f>IFERROR(UlwaziExport[Student],"")&amp;""</f>
        <v>Lepako, Mahlatse</v>
      </c>
      <c r="C70" s="141"/>
      <c r="D70" s="143"/>
    </row>
    <row r="71" spans="1:4">
      <c r="A71" s="147" t="str">
        <f>IFERROR(TRIM(LEFT(UlwaziExport[SIS User ID],FIND("@",UlwaziExport[SIS User ID])-1)),"")</f>
        <v>2306202</v>
      </c>
      <c r="B71" s="147" t="str">
        <f>IFERROR(UlwaziExport[Student],"")&amp;""</f>
        <v>Lorgat, Sameer</v>
      </c>
      <c r="C71" s="141"/>
      <c r="D71" s="143"/>
    </row>
    <row r="72" spans="1:4">
      <c r="A72" s="147" t="str">
        <f>IFERROR(TRIM(LEFT(UlwaziExport[SIS User ID],FIND("@",UlwaziExport[SIS User ID])-1)),"")</f>
        <v>2108293</v>
      </c>
      <c r="B72" s="147" t="str">
        <f>IFERROR(UlwaziExport[Student],"")&amp;""</f>
        <v>Luningo, Okuhle</v>
      </c>
      <c r="C72" s="141"/>
      <c r="D72" s="143"/>
    </row>
    <row r="73" spans="1:4">
      <c r="A73" s="147" t="str">
        <f>IFERROR(TRIM(LEFT(UlwaziExport[SIS User ID],FIND("@",UlwaziExport[SIS User ID])-1)),"")</f>
        <v>2356839</v>
      </c>
      <c r="B73" s="147" t="str">
        <f>IFERROR(UlwaziExport[Student],"")&amp;""</f>
        <v>Mabula, Mosa</v>
      </c>
      <c r="C73" s="141"/>
      <c r="D73" s="143"/>
    </row>
    <row r="74" spans="1:4">
      <c r="A74" s="147" t="str">
        <f>IFERROR(TRIM(LEFT(UlwaziExport[SIS User ID],FIND("@",UlwaziExport[SIS User ID])-1)),"")</f>
        <v>1864128</v>
      </c>
      <c r="B74" s="147" t="str">
        <f>IFERROR(UlwaziExport[Student],"")&amp;""</f>
        <v>Magidi, Murendeni</v>
      </c>
      <c r="C74" s="141"/>
      <c r="D74" s="143"/>
    </row>
    <row r="75" spans="1:4">
      <c r="A75" s="147" t="str">
        <f>IFERROR(TRIM(LEFT(UlwaziExport[SIS User ID],FIND("@",UlwaziExport[SIS User ID])-1)),"")</f>
        <v>1077227</v>
      </c>
      <c r="B75" s="147" t="str">
        <f>IFERROR(UlwaziExport[Student],"")&amp;""</f>
        <v>Mahlathi, Ntsikelelo</v>
      </c>
      <c r="C75" s="141"/>
      <c r="D75" s="143"/>
    </row>
    <row r="76" spans="1:4">
      <c r="A76" s="147" t="str">
        <f>IFERROR(TRIM(LEFT(UlwaziExport[SIS User ID],FIND("@",UlwaziExport[SIS User ID])-1)),"")</f>
        <v>2165920</v>
      </c>
      <c r="B76" s="147" t="str">
        <f>IFERROR(UlwaziExport[Student],"")&amp;""</f>
        <v>Makgwale, Mahlogonolo</v>
      </c>
      <c r="C76" s="141"/>
      <c r="D76" s="143"/>
    </row>
    <row r="77" spans="1:4">
      <c r="A77" s="147" t="str">
        <f>IFERROR(TRIM(LEFT(UlwaziExport[SIS User ID],FIND("@",UlwaziExport[SIS User ID])-1)),"")</f>
        <v>1775759</v>
      </c>
      <c r="B77" s="147" t="str">
        <f>IFERROR(UlwaziExport[Student],"")&amp;""</f>
        <v>Mamatlepa, Ignatious</v>
      </c>
      <c r="C77" s="141"/>
      <c r="D77" s="143"/>
    </row>
    <row r="78" spans="1:4">
      <c r="A78" s="147" t="str">
        <f>IFERROR(TRIM(LEFT(UlwaziExport[SIS User ID],FIND("@",UlwaziExport[SIS User ID])-1)),"")</f>
        <v>2088691</v>
      </c>
      <c r="B78" s="147" t="str">
        <f>IFERROR(UlwaziExport[Student],"")&amp;""</f>
        <v>Manjra, Ishak</v>
      </c>
      <c r="C78" s="141"/>
      <c r="D78" s="143"/>
    </row>
    <row r="79" spans="1:4">
      <c r="A79" s="147" t="str">
        <f>IFERROR(TRIM(LEFT(UlwaziExport[SIS User ID],FIND("@",UlwaziExport[SIS User ID])-1)),"")</f>
        <v>1832762</v>
      </c>
      <c r="B79" s="147" t="str">
        <f>IFERROR(UlwaziExport[Student],"")&amp;""</f>
        <v>Manone, Martha</v>
      </c>
      <c r="C79" s="141"/>
      <c r="D79" s="143"/>
    </row>
    <row r="80" spans="1:4">
      <c r="A80" s="147" t="str">
        <f>IFERROR(TRIM(LEFT(UlwaziExport[SIS User ID],FIND("@",UlwaziExport[SIS User ID])-1)),"")</f>
        <v>2136569</v>
      </c>
      <c r="B80" s="147" t="str">
        <f>IFERROR(UlwaziExport[Student],"")&amp;""</f>
        <v>Manqele, Anele Pretty</v>
      </c>
      <c r="C80" s="141"/>
      <c r="D80" s="143"/>
    </row>
    <row r="81" spans="1:4">
      <c r="A81" s="147" t="str">
        <f>IFERROR(TRIM(LEFT(UlwaziExport[SIS User ID],FIND("@",UlwaziExport[SIS User ID])-1)),"")</f>
        <v>2305164</v>
      </c>
      <c r="B81" s="147" t="str">
        <f>IFERROR(UlwaziExport[Student],"")&amp;""</f>
        <v>Mantsha, Rotenda</v>
      </c>
      <c r="C81" s="141"/>
      <c r="D81" s="143"/>
    </row>
    <row r="82" spans="1:4">
      <c r="A82" s="147" t="str">
        <f>IFERROR(TRIM(LEFT(UlwaziExport[SIS User ID],FIND("@",UlwaziExport[SIS User ID])-1)),"")</f>
        <v>2116287</v>
      </c>
      <c r="B82" s="147" t="str">
        <f>IFERROR(UlwaziExport[Student],"")&amp;""</f>
        <v>Marantos, George</v>
      </c>
      <c r="C82" s="141"/>
      <c r="D82" s="143"/>
    </row>
    <row r="83" spans="1:4">
      <c r="A83" s="147" t="str">
        <f>IFERROR(TRIM(LEFT(UlwaziExport[SIS User ID],FIND("@",UlwaziExport[SIS User ID])-1)),"")</f>
        <v>2164579</v>
      </c>
      <c r="B83" s="147" t="str">
        <f>IFERROR(UlwaziExport[Student],"")&amp;""</f>
        <v>Maseko, Koketso</v>
      </c>
      <c r="C83" s="141"/>
      <c r="D83" s="143"/>
    </row>
    <row r="84" spans="1:4">
      <c r="A84" s="147" t="str">
        <f>IFERROR(TRIM(LEFT(UlwaziExport[SIS User ID],FIND("@",UlwaziExport[SIS User ID])-1)),"")</f>
        <v>2107610</v>
      </c>
      <c r="B84" s="147" t="str">
        <f>IFERROR(UlwaziExport[Student],"")&amp;""</f>
        <v>Mashinini, Thamsanqa</v>
      </c>
      <c r="C84" s="141"/>
      <c r="D84" s="143"/>
    </row>
    <row r="85" spans="1:4">
      <c r="A85" s="147" t="str">
        <f>IFERROR(TRIM(LEFT(UlwaziExport[SIS User ID],FIND("@",UlwaziExport[SIS User ID])-1)),"")</f>
        <v>2367318</v>
      </c>
      <c r="B85" s="147" t="str">
        <f>IFERROR(UlwaziExport[Student],"")&amp;""</f>
        <v>Masilela, Kabelo</v>
      </c>
      <c r="C85" s="141"/>
      <c r="D85" s="143"/>
    </row>
    <row r="86" spans="1:4">
      <c r="A86" s="147" t="str">
        <f>IFERROR(TRIM(LEFT(UlwaziExport[SIS User ID],FIND("@",UlwaziExport[SIS User ID])-1)),"")</f>
        <v>2352044</v>
      </c>
      <c r="B86" s="147" t="str">
        <f>IFERROR(UlwaziExport[Student],"")&amp;""</f>
        <v>Mathebula, Vukosi</v>
      </c>
      <c r="C86" s="141"/>
      <c r="D86" s="143"/>
    </row>
    <row r="87" spans="1:4">
      <c r="A87" s="147" t="str">
        <f>IFERROR(TRIM(LEFT(UlwaziExport[SIS User ID],FIND("@",UlwaziExport[SIS User ID])-1)),"")</f>
        <v>2089948</v>
      </c>
      <c r="B87" s="147" t="str">
        <f>IFERROR(UlwaziExport[Student],"")&amp;""</f>
        <v>Mbonani, Sfiso</v>
      </c>
      <c r="C87" s="141"/>
      <c r="D87" s="143"/>
    </row>
    <row r="88" spans="1:4">
      <c r="A88" s="147" t="str">
        <f>IFERROR(TRIM(LEFT(UlwaziExport[SIS User ID],FIND("@",UlwaziExport[SIS User ID])-1)),"")</f>
        <v>2313178</v>
      </c>
      <c r="B88" s="147" t="str">
        <f>IFERROR(UlwaziExport[Student],"")&amp;""</f>
        <v>Menon, Rohit</v>
      </c>
      <c r="C88" s="141"/>
      <c r="D88" s="143"/>
    </row>
    <row r="89" spans="1:4">
      <c r="A89" s="147" t="str">
        <f>IFERROR(TRIM(LEFT(UlwaziExport[SIS User ID],FIND("@",UlwaziExport[SIS User ID])-1)),"")</f>
        <v>2142882</v>
      </c>
      <c r="B89" s="147" t="str">
        <f>IFERROR(UlwaziExport[Student],"")&amp;""</f>
        <v>Mgano, Siphesihle</v>
      </c>
      <c r="C89" s="141"/>
      <c r="D89" s="143"/>
    </row>
    <row r="90" spans="1:4">
      <c r="A90" s="147" t="str">
        <f>IFERROR(TRIM(LEFT(UlwaziExport[SIS User ID],FIND("@",UlwaziExport[SIS User ID])-1)),"")</f>
        <v>2141245</v>
      </c>
      <c r="B90" s="147" t="str">
        <f>IFERROR(UlwaziExport[Student],"")&amp;""</f>
        <v>Mkhize, Bhekanani</v>
      </c>
      <c r="C90" s="141"/>
      <c r="D90" s="143"/>
    </row>
    <row r="91" spans="1:4">
      <c r="A91" s="147" t="str">
        <f>IFERROR(TRIM(LEFT(UlwaziExport[SIS User ID],FIND("@",UlwaziExport[SIS User ID])-1)),"")</f>
        <v>1854920</v>
      </c>
      <c r="B91" s="147" t="str">
        <f>IFERROR(UlwaziExport[Student],"")&amp;""</f>
        <v>Mkhize, Zethembe</v>
      </c>
      <c r="C91" s="141"/>
      <c r="D91" s="143"/>
    </row>
    <row r="92" spans="1:4">
      <c r="A92" s="147" t="str">
        <f>IFERROR(TRIM(LEFT(UlwaziExport[SIS User ID],FIND("@",UlwaziExport[SIS User ID])-1)),"")</f>
        <v>2345339</v>
      </c>
      <c r="B92" s="147" t="str">
        <f>IFERROR(UlwaziExport[Student],"")&amp;""</f>
        <v>Mlaba, Zamaswazi</v>
      </c>
      <c r="C92" s="141"/>
      <c r="D92" s="143"/>
    </row>
    <row r="93" spans="1:4">
      <c r="A93" s="147" t="str">
        <f>IFERROR(TRIM(LEFT(UlwaziExport[SIS User ID],FIND("@",UlwaziExport[SIS User ID])-1)),"")</f>
        <v>1284667</v>
      </c>
      <c r="B93" s="147" t="str">
        <f>IFERROR(UlwaziExport[Student],"")&amp;""</f>
        <v>Mlambo, Bongani</v>
      </c>
      <c r="C93" s="141"/>
      <c r="D93" s="143"/>
    </row>
    <row r="94" spans="1:4">
      <c r="A94" s="147" t="str">
        <f>IFERROR(TRIM(LEFT(UlwaziExport[SIS User ID],FIND("@",UlwaziExport[SIS User ID])-1)),"")</f>
        <v>2129606</v>
      </c>
      <c r="B94" s="147" t="str">
        <f>IFERROR(UlwaziExport[Student],"")&amp;""</f>
        <v>Mngomeni, Nompumelelo</v>
      </c>
      <c r="C94" s="141"/>
      <c r="D94" s="143"/>
    </row>
    <row r="95" spans="1:4">
      <c r="A95" s="147" t="str">
        <f>IFERROR(TRIM(LEFT(UlwaziExport[SIS User ID],FIND("@",UlwaziExport[SIS User ID])-1)),"")</f>
        <v>2363523</v>
      </c>
      <c r="B95" s="147" t="str">
        <f>IFERROR(UlwaziExport[Student],"")&amp;""</f>
        <v>Mngomezulu, Nhlakanipho</v>
      </c>
      <c r="C95" s="141"/>
      <c r="D95" s="143"/>
    </row>
    <row r="96" spans="1:4">
      <c r="A96" s="147" t="str">
        <f>IFERROR(TRIM(LEFT(UlwaziExport[SIS User ID],FIND("@",UlwaziExport[SIS User ID])-1)),"")</f>
        <v>2347976</v>
      </c>
      <c r="B96" s="147" t="str">
        <f>IFERROR(UlwaziExport[Student],"")&amp;""</f>
        <v>Moagi, Thapelo</v>
      </c>
      <c r="C96" s="145"/>
      <c r="D96" s="143"/>
    </row>
    <row r="97" spans="1:4">
      <c r="A97" s="147" t="str">
        <f>IFERROR(TRIM(LEFT(UlwaziExport[SIS User ID],FIND("@",UlwaziExport[SIS User ID])-1)),"")</f>
        <v>1132593</v>
      </c>
      <c r="B97" s="147" t="str">
        <f>IFERROR(UlwaziExport[Student],"")&amp;""</f>
        <v>Modise, Thokozani</v>
      </c>
      <c r="C97" s="141"/>
      <c r="D97" s="143"/>
    </row>
    <row r="98" spans="1:4">
      <c r="A98" s="147" t="str">
        <f>IFERROR(TRIM(LEFT(UlwaziExport[SIS User ID],FIND("@",UlwaziExport[SIS User ID])-1)),"")</f>
        <v>1501646</v>
      </c>
      <c r="B98" s="147" t="str">
        <f>IFERROR(UlwaziExport[Student],"")&amp;""</f>
        <v>Mofokeng, Lefa</v>
      </c>
      <c r="C98" s="141"/>
      <c r="D98" s="143"/>
    </row>
    <row r="99" spans="1:4">
      <c r="A99" s="147" t="str">
        <f>IFERROR(TRIM(LEFT(UlwaziExport[SIS User ID],FIND("@",UlwaziExport[SIS User ID])-1)),"")</f>
        <v>2103173</v>
      </c>
      <c r="B99" s="147" t="str">
        <f>IFERROR(UlwaziExport[Student],"")&amp;""</f>
        <v>Mohamed, Faadhil</v>
      </c>
      <c r="C99" s="141"/>
      <c r="D99" s="143"/>
    </row>
    <row r="100" spans="1:4">
      <c r="A100" s="147" t="str">
        <f>IFERROR(TRIM(LEFT(UlwaziExport[SIS User ID],FIND("@",UlwaziExport[SIS User ID])-1)),"")</f>
        <v>1852217</v>
      </c>
      <c r="B100" s="147" t="str">
        <f>IFERROR(UlwaziExport[Student],"")&amp;""</f>
        <v>Mokgehle, Phuti</v>
      </c>
      <c r="C100" s="141"/>
      <c r="D100" s="143"/>
    </row>
    <row r="101" spans="1:4">
      <c r="A101" s="147" t="str">
        <f>IFERROR(TRIM(LEFT(UlwaziExport[SIS User ID],FIND("@",UlwaziExport[SIS User ID])-1)),"")</f>
        <v>2172598</v>
      </c>
      <c r="B101" s="147" t="str">
        <f>IFERROR(UlwaziExport[Student],"")&amp;""</f>
        <v>Moloi, Maphale</v>
      </c>
      <c r="C101" s="141"/>
      <c r="D101" s="143"/>
    </row>
    <row r="102" spans="1:4">
      <c r="A102" s="147" t="str">
        <f>IFERROR(TRIM(LEFT(UlwaziExport[SIS User ID],FIND("@",UlwaziExport[SIS User ID])-1)),"")</f>
        <v>2345892</v>
      </c>
      <c r="B102" s="147" t="str">
        <f>IFERROR(UlwaziExport[Student],"")&amp;""</f>
        <v>Moloto, Revinah</v>
      </c>
      <c r="C102" s="141"/>
      <c r="D102" s="143"/>
    </row>
    <row r="103" spans="1:4">
      <c r="A103" s="147" t="str">
        <f>IFERROR(TRIM(LEFT(UlwaziExport[SIS User ID],FIND("@",UlwaziExport[SIS User ID])-1)),"")</f>
        <v>1864879</v>
      </c>
      <c r="B103" s="147" t="str">
        <f>IFERROR(UlwaziExport[Student],"")&amp;""</f>
        <v>Mongalo, Neo</v>
      </c>
      <c r="C103" s="141"/>
      <c r="D103" s="143"/>
    </row>
    <row r="104" spans="1:4">
      <c r="A104" s="147" t="str">
        <f>IFERROR(TRIM(LEFT(UlwaziExport[SIS User ID],FIND("@",UlwaziExport[SIS User ID])-1)),"")</f>
        <v>2089978</v>
      </c>
      <c r="B104" s="147" t="str">
        <f>IFERROR(UlwaziExport[Student],"")&amp;""</f>
        <v>Moodie, Donato</v>
      </c>
      <c r="C104" s="141"/>
      <c r="D104" s="143"/>
    </row>
    <row r="105" spans="1:4">
      <c r="A105" s="147" t="str">
        <f>IFERROR(TRIM(LEFT(UlwaziExport[SIS User ID],FIND("@",UlwaziExport[SIS User ID])-1)),"")</f>
        <v>2327728</v>
      </c>
      <c r="B105" s="147" t="str">
        <f>IFERROR(UlwaziExport[Student],"")&amp;""</f>
        <v>Moolla, Ahmad</v>
      </c>
      <c r="C105" s="141"/>
      <c r="D105" s="143"/>
    </row>
    <row r="106" spans="1:4">
      <c r="A106" s="147" t="str">
        <f>IFERROR(TRIM(LEFT(UlwaziExport[SIS User ID],FIND("@",UlwaziExport[SIS User ID])-1)),"")</f>
        <v>2118213</v>
      </c>
      <c r="B106" s="147" t="str">
        <f>IFERROR(UlwaziExport[Student],"")&amp;""</f>
        <v>Moore, Michael</v>
      </c>
      <c r="C106" s="141"/>
      <c r="D106" s="143"/>
    </row>
    <row r="107" spans="1:4">
      <c r="A107" s="147" t="str">
        <f>IFERROR(TRIM(LEFT(UlwaziExport[SIS User ID],FIND("@",UlwaziExport[SIS User ID])-1)),"")</f>
        <v>1844501</v>
      </c>
      <c r="B107" s="147" t="str">
        <f>IFERROR(UlwaziExport[Student],"")&amp;""</f>
        <v>Morukhu, Matome</v>
      </c>
      <c r="C107" s="141"/>
      <c r="D107" s="143"/>
    </row>
    <row r="108" spans="1:4">
      <c r="A108" s="147" t="str">
        <f>IFERROR(TRIM(LEFT(UlwaziExport[SIS User ID],FIND("@",UlwaziExport[SIS User ID])-1)),"")</f>
        <v>2112071</v>
      </c>
      <c r="B108" s="147" t="str">
        <f>IFERROR(UlwaziExport[Student],"")&amp;""</f>
        <v>Mosoeu, Mashudu</v>
      </c>
      <c r="C108" s="141"/>
      <c r="D108" s="143"/>
    </row>
    <row r="109" spans="1:4">
      <c r="A109" s="147" t="str">
        <f>IFERROR(TRIM(LEFT(UlwaziExport[SIS User ID],FIND("@",UlwaziExport[SIS User ID])-1)),"")</f>
        <v>2109796</v>
      </c>
      <c r="B109" s="147" t="str">
        <f>IFERROR(UlwaziExport[Student],"")&amp;""</f>
        <v>Moteane, Bonolo</v>
      </c>
      <c r="C109" s="145"/>
      <c r="D109" s="143"/>
    </row>
    <row r="110" spans="1:4">
      <c r="A110" s="147" t="str">
        <f>IFERROR(TRIM(LEFT(UlwaziExport[SIS User ID],FIND("@",UlwaziExport[SIS User ID])-1)),"")</f>
        <v>2088077</v>
      </c>
      <c r="B110" s="147" t="str">
        <f>IFERROR(UlwaziExport[Student],"")&amp;""</f>
        <v>Moustafa, Umar</v>
      </c>
      <c r="C110" s="141"/>
      <c r="D110" s="143"/>
    </row>
    <row r="111" spans="1:4">
      <c r="A111" s="147" t="str">
        <f>IFERROR(TRIM(LEFT(UlwaziExport[SIS User ID],FIND("@",UlwaziExport[SIS User ID])-1)),"")</f>
        <v>2320484</v>
      </c>
      <c r="B111" s="147" t="str">
        <f>IFERROR(UlwaziExport[Student],"")&amp;""</f>
        <v>Mpano, Iverson</v>
      </c>
      <c r="C111" s="141"/>
      <c r="D111" s="143"/>
    </row>
    <row r="112" spans="1:4">
      <c r="A112" s="147" t="str">
        <f>IFERROR(TRIM(LEFT(UlwaziExport[SIS User ID],FIND("@",UlwaziExport[SIS User ID])-1)),"")</f>
        <v>2347343</v>
      </c>
      <c r="B112" s="147" t="str">
        <f>IFERROR(UlwaziExport[Student],"")&amp;""</f>
        <v>Mphahlele, Tokelo</v>
      </c>
      <c r="C112" s="141"/>
      <c r="D112" s="143"/>
    </row>
    <row r="113" spans="1:4">
      <c r="A113" s="147" t="str">
        <f>IFERROR(TRIM(LEFT(UlwaziExport[SIS User ID],FIND("@",UlwaziExport[SIS User ID])-1)),"")</f>
        <v>1455713</v>
      </c>
      <c r="B113" s="147" t="str">
        <f>IFERROR(UlwaziExport[Student],"")&amp;""</f>
        <v>Mpinga, Bonginkosi</v>
      </c>
      <c r="C113" s="141"/>
      <c r="D113" s="143"/>
    </row>
    <row r="114" spans="1:4">
      <c r="A114" s="147" t="str">
        <f>IFERROR(TRIM(LEFT(UlwaziExport[SIS User ID],FIND("@",UlwaziExport[SIS User ID])-1)),"")</f>
        <v>1815772</v>
      </c>
      <c r="B114" s="147" t="str">
        <f>IFERROR(UlwaziExport[Student],"")&amp;""</f>
        <v>Msele, Mnelisi</v>
      </c>
      <c r="C114" s="141"/>
      <c r="D114" s="143"/>
    </row>
    <row r="115" spans="1:4">
      <c r="A115" s="147" t="str">
        <f>IFERROR(TRIM(LEFT(UlwaziExport[SIS User ID],FIND("@",UlwaziExport[SIS User ID])-1)),"")</f>
        <v>2341407</v>
      </c>
      <c r="B115" s="147" t="str">
        <f>IFERROR(UlwaziExport[Student],"")&amp;""</f>
        <v>Mthethwa, Dumisani</v>
      </c>
      <c r="C115" s="141"/>
      <c r="D115" s="143"/>
    </row>
    <row r="116" spans="1:4">
      <c r="A116" s="147" t="str">
        <f>IFERROR(TRIM(LEFT(UlwaziExport[SIS User ID],FIND("@",UlwaziExport[SIS User ID])-1)),"")</f>
        <v>1851387</v>
      </c>
      <c r="B116" s="147" t="str">
        <f>IFERROR(UlwaziExport[Student],"")&amp;""</f>
        <v>Mugawazi, Taziva</v>
      </c>
      <c r="C116" s="141"/>
      <c r="D116" s="143"/>
    </row>
    <row r="117" spans="1:4">
      <c r="A117" s="147" t="str">
        <f>IFERROR(TRIM(LEFT(UlwaziExport[SIS User ID],FIND("@",UlwaziExport[SIS User ID])-1)),"")</f>
        <v>957850</v>
      </c>
      <c r="B117" s="147" t="str">
        <f>IFERROR(UlwaziExport[Student],"")&amp;""</f>
        <v>Muller, David</v>
      </c>
      <c r="C117" s="141"/>
      <c r="D117" s="143"/>
    </row>
    <row r="118" spans="1:4">
      <c r="A118" s="147" t="str">
        <f>IFERROR(TRIM(LEFT(UlwaziExport[SIS User ID],FIND("@",UlwaziExport[SIS User ID])-1)),"")</f>
        <v>2388404</v>
      </c>
      <c r="B118" s="147" t="str">
        <f>IFERROR(UlwaziExport[Student],"")&amp;""</f>
        <v>Muradya, Anotidaishe</v>
      </c>
      <c r="C118" s="141"/>
      <c r="D118" s="143"/>
    </row>
    <row r="119" spans="1:4">
      <c r="A119" s="147" t="str">
        <f>IFERROR(TRIM(LEFT(UlwaziExport[SIS User ID],FIND("@",UlwaziExport[SIS User ID])-1)),"")</f>
        <v>2201238</v>
      </c>
      <c r="B119" s="147" t="str">
        <f>IFERROR(UlwaziExport[Student],"")&amp;""</f>
        <v>Muthaphuli, Phathutshedzo</v>
      </c>
      <c r="C119" s="141"/>
      <c r="D119" s="143"/>
    </row>
    <row r="120" spans="1:4">
      <c r="A120" s="147" t="str">
        <f>IFERROR(TRIM(LEFT(UlwaziExport[SIS User ID],FIND("@",UlwaziExport[SIS User ID])-1)),"")</f>
        <v>2305580</v>
      </c>
      <c r="B120" s="147" t="str">
        <f>IFERROR(UlwaziExport[Student],"")&amp;""</f>
        <v>Naidoo, Jaryd</v>
      </c>
      <c r="C120" s="141"/>
      <c r="D120" s="143"/>
    </row>
    <row r="121" spans="1:4">
      <c r="A121" s="147" t="str">
        <f>IFERROR(TRIM(LEFT(UlwaziExport[SIS User ID],FIND("@",UlwaziExport[SIS User ID])-1)),"")</f>
        <v>2416886</v>
      </c>
      <c r="B121" s="147" t="str">
        <f>IFERROR(UlwaziExport[Student],"")&amp;""</f>
        <v>Ncube, Joseph</v>
      </c>
      <c r="C121" s="141"/>
      <c r="D121" s="143"/>
    </row>
    <row r="122" spans="1:4">
      <c r="A122" s="147" t="str">
        <f>IFERROR(TRIM(LEFT(UlwaziExport[SIS User ID],FIND("@",UlwaziExport[SIS User ID])-1)),"")</f>
        <v>1767237</v>
      </c>
      <c r="B122" s="147" t="str">
        <f>IFERROR(UlwaziExport[Student],"")&amp;""</f>
        <v>Ndaba, Lungelo</v>
      </c>
      <c r="C122" s="141"/>
      <c r="D122" s="143"/>
    </row>
    <row r="123" spans="1:4">
      <c r="A123" s="147" t="str">
        <f>IFERROR(TRIM(LEFT(UlwaziExport[SIS User ID],FIND("@",UlwaziExport[SIS User ID])-1)),"")</f>
        <v>2126340</v>
      </c>
      <c r="B123" s="147" t="str">
        <f>IFERROR(UlwaziExport[Student],"")&amp;""</f>
        <v>Ndhlovu, Michael</v>
      </c>
      <c r="C123" s="141"/>
      <c r="D123" s="143"/>
    </row>
    <row r="124" spans="1:4">
      <c r="A124" s="147" t="str">
        <f>IFERROR(TRIM(LEFT(UlwaziExport[SIS User ID],FIND("@",UlwaziExport[SIS User ID])-1)),"")</f>
        <v>1818219</v>
      </c>
      <c r="B124" s="147" t="str">
        <f>IFERROR(UlwaziExport[Student],"")&amp;""</f>
        <v>Ndlambuzi, Mthandeki</v>
      </c>
      <c r="C124" s="141"/>
      <c r="D124" s="143"/>
    </row>
    <row r="125" spans="1:4">
      <c r="A125" s="147" t="str">
        <f>IFERROR(TRIM(LEFT(UlwaziExport[SIS User ID],FIND("@",UlwaziExport[SIS User ID])-1)),"")</f>
        <v>1848116</v>
      </c>
      <c r="B125" s="147" t="str">
        <f>IFERROR(UlwaziExport[Student],"")&amp;""</f>
        <v>Ngirazi, Rutendo</v>
      </c>
      <c r="C125" s="141"/>
      <c r="D125" s="143"/>
    </row>
    <row r="126" spans="1:4">
      <c r="A126" s="147" t="str">
        <f>IFERROR(TRIM(LEFT(UlwaziExport[SIS User ID],FIND("@",UlwaziExport[SIS User ID])-1)),"")</f>
        <v>2208622</v>
      </c>
      <c r="B126" s="147" t="str">
        <f>IFERROR(UlwaziExport[Student],"")&amp;""</f>
        <v>Ngoepe, Edgar</v>
      </c>
      <c r="C126" s="145"/>
      <c r="D126" s="143"/>
    </row>
    <row r="127" spans="1:4">
      <c r="A127" s="147" t="str">
        <f>IFERROR(TRIM(LEFT(UlwaziExport[SIS User ID],FIND("@",UlwaziExport[SIS User ID])-1)),"")</f>
        <v>1436500</v>
      </c>
      <c r="B127" s="147" t="str">
        <f>IFERROR(UlwaziExport[Student],"")&amp;""</f>
        <v>Ngomane, Emarantia</v>
      </c>
      <c r="C127" s="141"/>
      <c r="D127" s="143"/>
    </row>
    <row r="128" spans="1:4">
      <c r="A128" s="147" t="str">
        <f>IFERROR(TRIM(LEFT(UlwaziExport[SIS User ID],FIND("@",UlwaziExport[SIS User ID])-1)),"")</f>
        <v>2144205</v>
      </c>
      <c r="B128" s="147" t="str">
        <f>IFERROR(UlwaziExport[Student],"")&amp;""</f>
        <v>Ngutshane, Mandlenkosi</v>
      </c>
      <c r="C128" s="141"/>
      <c r="D128" s="143"/>
    </row>
    <row r="129" spans="1:4">
      <c r="A129" s="147" t="str">
        <f>IFERROR(TRIM(LEFT(UlwaziExport[SIS User ID],FIND("@",UlwaziExport[SIS User ID])-1)),"")</f>
        <v>1448040</v>
      </c>
      <c r="B129" s="147" t="str">
        <f>IFERROR(UlwaziExport[Student],"")&amp;""</f>
        <v>Nomvela, Isabella</v>
      </c>
      <c r="C129" s="141"/>
      <c r="D129" s="143"/>
    </row>
    <row r="130" spans="1:4">
      <c r="A130" s="147" t="str">
        <f>IFERROR(TRIM(LEFT(UlwaziExport[SIS User ID],FIND("@",UlwaziExport[SIS User ID])-1)),"")</f>
        <v>1832055</v>
      </c>
      <c r="B130" s="147" t="str">
        <f>IFERROR(UlwaziExport[Student],"")&amp;""</f>
        <v>Nthoroane, Samuel</v>
      </c>
      <c r="C130" s="141"/>
      <c r="D130" s="143"/>
    </row>
    <row r="131" spans="1:4">
      <c r="A131" s="147" t="str">
        <f>IFERROR(TRIM(LEFT(UlwaziExport[SIS User ID],FIND("@",UlwaziExport[SIS User ID])-1)),"")</f>
        <v>1287323</v>
      </c>
      <c r="B131" s="147" t="str">
        <f>IFERROR(UlwaziExport[Student],"")&amp;""</f>
        <v>Ntshangase, Noluthando</v>
      </c>
      <c r="C131" s="141"/>
      <c r="D131" s="143"/>
    </row>
    <row r="132" spans="1:4">
      <c r="A132" s="147" t="str">
        <f>IFERROR(TRIM(LEFT(UlwaziExport[SIS User ID],FIND("@",UlwaziExport[SIS User ID])-1)),"")</f>
        <v>1445411</v>
      </c>
      <c r="B132" s="147" t="str">
        <f>IFERROR(UlwaziExport[Student],"")&amp;""</f>
        <v>Ntshingila, Lwazi</v>
      </c>
      <c r="C132" s="141"/>
      <c r="D132" s="143"/>
    </row>
    <row r="133" spans="1:4">
      <c r="A133" s="147" t="str">
        <f>IFERROR(TRIM(LEFT(UlwaziExport[SIS User ID],FIND("@",UlwaziExport[SIS User ID])-1)),"")</f>
        <v>2140390</v>
      </c>
      <c r="B133" s="147" t="str">
        <f>IFERROR(UlwaziExport[Student],"")&amp;""</f>
        <v>Ntsooa, Refilwe</v>
      </c>
      <c r="C133" s="141"/>
      <c r="D133" s="143"/>
    </row>
    <row r="134" spans="1:4">
      <c r="A134" s="147" t="str">
        <f>IFERROR(TRIM(LEFT(UlwaziExport[SIS User ID],FIND("@",UlwaziExport[SIS User ID])-1)),"")</f>
        <v>1830373</v>
      </c>
      <c r="B134" s="147" t="str">
        <f>IFERROR(UlwaziExport[Student],"")&amp;""</f>
        <v>Nzama, Ziphokazizamagcugcwa</v>
      </c>
      <c r="C134" s="141"/>
      <c r="D134" s="143"/>
    </row>
    <row r="135" spans="1:4">
      <c r="A135" s="147" t="str">
        <f>IFERROR(TRIM(LEFT(UlwaziExport[SIS User ID],FIND("@",UlwaziExport[SIS User ID])-1)),"")</f>
        <v>2347919</v>
      </c>
      <c r="B135" s="147" t="str">
        <f>IFERROR(UlwaziExport[Student],"")&amp;""</f>
        <v>Olivier, Liam</v>
      </c>
      <c r="C135" s="141"/>
      <c r="D135" s="143"/>
    </row>
    <row r="136" spans="1:4">
      <c r="A136" s="147" t="str">
        <f>IFERROR(TRIM(LEFT(UlwaziExport[SIS User ID],FIND("@",UlwaziExport[SIS User ID])-1)),"")</f>
        <v>2102640</v>
      </c>
      <c r="B136" s="147" t="str">
        <f>IFERROR(UlwaziExport[Student],"")&amp;""</f>
        <v>Omar, Meezaan</v>
      </c>
      <c r="C136" s="141"/>
      <c r="D136" s="143"/>
    </row>
    <row r="137" spans="1:4">
      <c r="A137" s="147" t="str">
        <f>IFERROR(TRIM(LEFT(UlwaziExport[SIS User ID],FIND("@",UlwaziExport[SIS User ID])-1)),"")</f>
        <v>2373287</v>
      </c>
      <c r="B137" s="147" t="str">
        <f>IFERROR(UlwaziExport[Student],"")&amp;""</f>
        <v>Peretz, Liad</v>
      </c>
      <c r="C137" s="141"/>
      <c r="D137" s="143"/>
    </row>
    <row r="138" spans="1:4">
      <c r="A138" s="147" t="str">
        <f>IFERROR(TRIM(LEFT(UlwaziExport[SIS User ID],FIND("@",UlwaziExport[SIS User ID])-1)),"")</f>
        <v>2309354</v>
      </c>
      <c r="B138" s="147" t="str">
        <f>IFERROR(UlwaziExport[Student],"")&amp;""</f>
        <v>Petersen, Jozeal</v>
      </c>
      <c r="C138" s="141"/>
      <c r="D138" s="143"/>
    </row>
    <row r="139" spans="1:4">
      <c r="A139" s="147" t="str">
        <f>IFERROR(TRIM(LEFT(UlwaziExport[SIS User ID],FIND("@",UlwaziExport[SIS User ID])-1)),"")</f>
        <v>482412</v>
      </c>
      <c r="B139" s="147" t="str">
        <f>IFERROR(UlwaziExport[Student],"")&amp;""</f>
        <v>Pule, Mabasata</v>
      </c>
      <c r="C139" s="141"/>
      <c r="D139" s="143"/>
    </row>
    <row r="140" spans="1:4">
      <c r="A140" s="147" t="str">
        <f>IFERROR(TRIM(LEFT(UlwaziExport[SIS User ID],FIND("@",UlwaziExport[SIS User ID])-1)),"")</f>
        <v>1608406</v>
      </c>
      <c r="B140" s="147" t="str">
        <f>IFERROR(UlwaziExport[Student],"")&amp;""</f>
        <v>Radebe, Nonofo</v>
      </c>
      <c r="C140" s="141"/>
      <c r="D140" s="143"/>
    </row>
    <row r="141" spans="1:4">
      <c r="A141" s="147" t="str">
        <f>IFERROR(TRIM(LEFT(UlwaziExport[SIS User ID],FIND("@",UlwaziExport[SIS User ID])-1)),"")</f>
        <v>2366643</v>
      </c>
      <c r="B141" s="147" t="str">
        <f>IFERROR(UlwaziExport[Student],"")&amp;""</f>
        <v>Radowsky, Asher</v>
      </c>
      <c r="C141" s="141"/>
      <c r="D141" s="143"/>
    </row>
    <row r="142" spans="1:4">
      <c r="A142" s="147" t="str">
        <f>IFERROR(TRIM(LEFT(UlwaziExport[SIS User ID],FIND("@",UlwaziExport[SIS User ID])-1)),"")</f>
        <v>2152679</v>
      </c>
      <c r="B142" s="147" t="str">
        <f>IFERROR(UlwaziExport[Student],"")&amp;""</f>
        <v>Ralph, Matthew</v>
      </c>
      <c r="C142" s="141"/>
      <c r="D142" s="143"/>
    </row>
    <row r="143" spans="1:4">
      <c r="A143" s="147" t="str">
        <f>IFERROR(TRIM(LEFT(UlwaziExport[SIS User ID],FIND("@",UlwaziExport[SIS User ID])-1)),"")</f>
        <v>2327104</v>
      </c>
      <c r="B143" s="147" t="str">
        <f>IFERROR(UlwaziExport[Student],"")&amp;""</f>
        <v>Rasesepa, Takalani</v>
      </c>
      <c r="C143" s="141"/>
      <c r="D143" s="143"/>
    </row>
    <row r="144" spans="1:4">
      <c r="A144" s="147" t="str">
        <f>IFERROR(TRIM(LEFT(UlwaziExport[SIS User ID],FIND("@",UlwaziExport[SIS User ID])-1)),"")</f>
        <v>2179595</v>
      </c>
      <c r="B144" s="147" t="str">
        <f>IFERROR(UlwaziExport[Student],"")&amp;""</f>
        <v>Rawlings, Christopher</v>
      </c>
      <c r="C144" s="141"/>
      <c r="D144" s="143"/>
    </row>
    <row r="145" spans="1:4">
      <c r="A145" s="147" t="str">
        <f>IFERROR(TRIM(LEFT(UlwaziExport[SIS User ID],FIND("@",UlwaziExport[SIS User ID])-1)),"")</f>
        <v>1730123</v>
      </c>
      <c r="B145" s="147" t="str">
        <f>IFERROR(UlwaziExport[Student],"")&amp;""</f>
        <v>Rawuka, Alungile</v>
      </c>
      <c r="C145" s="141"/>
      <c r="D145" s="143"/>
    </row>
    <row r="146" spans="1:4">
      <c r="A146" s="147" t="str">
        <f>IFERROR(TRIM(LEFT(UlwaziExport[SIS User ID],FIND("@",UlwaziExport[SIS User ID])-1)),"")</f>
        <v>2304928</v>
      </c>
      <c r="B146" s="147" t="str">
        <f>IFERROR(UlwaziExport[Student],"")&amp;""</f>
        <v>Rolle, Michael</v>
      </c>
      <c r="C146" s="141"/>
      <c r="D146" s="143"/>
    </row>
    <row r="147" spans="1:4">
      <c r="A147" s="147" t="str">
        <f>IFERROR(TRIM(LEFT(UlwaziExport[SIS User ID],FIND("@",UlwaziExport[SIS User ID])-1)),"")</f>
        <v>2366020</v>
      </c>
      <c r="B147" s="147" t="str">
        <f>IFERROR(UlwaziExport[Student],"")&amp;""</f>
        <v>Ruthel, Joshua-Daniel</v>
      </c>
      <c r="C147" s="141"/>
      <c r="D147" s="143"/>
    </row>
    <row r="148" spans="1:4">
      <c r="A148" s="147" t="str">
        <f>IFERROR(TRIM(LEFT(UlwaziExport[SIS User ID],FIND("@",UlwaziExport[SIS User ID])-1)),"")</f>
        <v>2156293</v>
      </c>
      <c r="B148" s="147" t="str">
        <f>IFERROR(UlwaziExport[Student],"")&amp;""</f>
        <v>Seedat, Ismail</v>
      </c>
      <c r="C148" s="141"/>
      <c r="D148" s="143"/>
    </row>
    <row r="149" spans="1:4">
      <c r="A149" s="147" t="str">
        <f>IFERROR(TRIM(LEFT(UlwaziExport[SIS User ID],FIND("@",UlwaziExport[SIS User ID])-1)),"")</f>
        <v>0200223N</v>
      </c>
      <c r="B149" s="147" t="str">
        <f>IFERROR(UlwaziExport[Student],"")&amp;""</f>
        <v>Sekamogeng, Letlhogonolo</v>
      </c>
      <c r="C149" s="141"/>
      <c r="D149" s="143"/>
    </row>
    <row r="150" spans="1:4">
      <c r="A150" s="147" t="str">
        <f>IFERROR(TRIM(LEFT(UlwaziExport[SIS User ID],FIND("@",UlwaziExport[SIS User ID])-1)),"")</f>
        <v>1715463</v>
      </c>
      <c r="B150" s="147" t="str">
        <f>IFERROR(UlwaziExport[Student],"")&amp;""</f>
        <v>Sekhwama, Motchinya</v>
      </c>
      <c r="C150" s="141"/>
      <c r="D150" s="143"/>
    </row>
    <row r="151" spans="1:4">
      <c r="A151" s="147" t="str">
        <f>IFERROR(TRIM(LEFT(UlwaziExport[SIS User ID],FIND("@",UlwaziExport[SIS User ID])-1)),"")</f>
        <v>2332451</v>
      </c>
      <c r="B151" s="147" t="str">
        <f>IFERROR(UlwaziExport[Student],"")&amp;""</f>
        <v>Sender, Daron</v>
      </c>
      <c r="C151" s="141"/>
      <c r="D151" s="143"/>
    </row>
    <row r="152" spans="1:4">
      <c r="A152" s="147" t="str">
        <f>IFERROR(TRIM(LEFT(UlwaziExport[SIS User ID],FIND("@",UlwaziExport[SIS User ID])-1)),"")</f>
        <v>2096785</v>
      </c>
      <c r="B152" s="147" t="str">
        <f>IFERROR(UlwaziExport[Student],"")&amp;""</f>
        <v>Sengoane, Koketso</v>
      </c>
      <c r="C152" s="141"/>
      <c r="D152" s="143"/>
    </row>
    <row r="153" spans="1:4">
      <c r="A153" s="147" t="str">
        <f>IFERROR(TRIM(LEFT(UlwaziExport[SIS User ID],FIND("@",UlwaziExport[SIS User ID])-1)),"")</f>
        <v>2010805</v>
      </c>
      <c r="B153" s="147" t="str">
        <f>IFERROR(UlwaziExport[Student],"")&amp;""</f>
        <v>Shakir, Muhammad</v>
      </c>
      <c r="C153" s="141"/>
      <c r="D153" s="143"/>
    </row>
    <row r="154" spans="1:4">
      <c r="A154" s="147" t="str">
        <f>IFERROR(TRIM(LEFT(UlwaziExport[SIS User ID],FIND("@",UlwaziExport[SIS User ID])-1)),"")</f>
        <v>1860900</v>
      </c>
      <c r="B154" s="147" t="str">
        <f>IFERROR(UlwaziExport[Student],"")&amp;""</f>
        <v>Shapiro, Joshua</v>
      </c>
      <c r="C154" s="141"/>
      <c r="D154" s="143"/>
    </row>
    <row r="155" spans="1:4">
      <c r="A155" s="147" t="str">
        <f>IFERROR(TRIM(LEFT(UlwaziExport[SIS User ID],FIND("@",UlwaziExport[SIS User ID])-1)),"")</f>
        <v>2308227</v>
      </c>
      <c r="B155" s="147" t="str">
        <f>IFERROR(UlwaziExport[Student],"")&amp;""</f>
        <v>Singh, Chad</v>
      </c>
      <c r="C155" s="141"/>
      <c r="D155" s="143"/>
    </row>
    <row r="156" spans="1:4">
      <c r="A156" s="147" t="str">
        <f>IFERROR(TRIM(LEFT(UlwaziExport[SIS User ID],FIND("@",UlwaziExport[SIS User ID])-1)),"")</f>
        <v>1823178</v>
      </c>
      <c r="B156" s="147" t="str">
        <f>IFERROR(UlwaziExport[Student],"")&amp;""</f>
        <v>Sithole, Bongane</v>
      </c>
      <c r="C156" s="141"/>
      <c r="D156" s="143"/>
    </row>
    <row r="157" spans="1:4">
      <c r="A157" s="147" t="str">
        <f>IFERROR(TRIM(LEFT(UlwaziExport[SIS User ID],FIND("@",UlwaziExport[SIS User ID])-1)),"")</f>
        <v>2155841</v>
      </c>
      <c r="B157" s="147" t="str">
        <f>IFERROR(UlwaziExport[Student],"")&amp;""</f>
        <v>Sithole, Morihle</v>
      </c>
      <c r="C157" s="141"/>
      <c r="D157" s="143"/>
    </row>
    <row r="158" spans="1:4">
      <c r="A158" s="147" t="str">
        <f>IFERROR(TRIM(LEFT(UlwaziExport[SIS User ID],FIND("@",UlwaziExport[SIS User ID])-1)),"")</f>
        <v>1722529</v>
      </c>
      <c r="B158" s="147" t="str">
        <f>IFERROR(UlwaziExport[Student],"")&amp;""</f>
        <v>Solomao, Amelia</v>
      </c>
      <c r="C158" s="141"/>
      <c r="D158" s="143"/>
    </row>
    <row r="159" spans="1:4">
      <c r="A159" s="147" t="str">
        <f>IFERROR(TRIM(LEFT(UlwaziExport[SIS User ID],FIND("@",UlwaziExport[SIS User ID])-1)),"")</f>
        <v>2305656</v>
      </c>
      <c r="B159" s="147" t="str">
        <f>IFERROR(UlwaziExport[Student],"")&amp;""</f>
        <v>Taim, Daniel</v>
      </c>
      <c r="C159" s="141"/>
      <c r="D159" s="143"/>
    </row>
    <row r="160" spans="1:4">
      <c r="A160" s="147" t="str">
        <f>IFERROR(TRIM(LEFT(UlwaziExport[SIS User ID],FIND("@",UlwaziExport[SIS User ID])-1)),"")</f>
        <v>2328822</v>
      </c>
      <c r="B160" s="147" t="str">
        <f>IFERROR(UlwaziExport[Student],"")&amp;""</f>
        <v>Tar-Mahomed, Mohammed</v>
      </c>
      <c r="C160" s="141"/>
      <c r="D160" s="143"/>
    </row>
    <row r="161" spans="1:4">
      <c r="A161" s="147" t="str">
        <f>IFERROR(TRIM(LEFT(UlwaziExport[SIS User ID],FIND("@",UlwaziExport[SIS User ID])-1)),"")</f>
        <v>2103308</v>
      </c>
      <c r="B161" s="147" t="str">
        <f>IFERROR(UlwaziExport[Student],"")&amp;""</f>
        <v>Thamane, Neo</v>
      </c>
      <c r="C161" s="141"/>
      <c r="D161" s="143"/>
    </row>
    <row r="162" spans="1:4">
      <c r="A162" s="147" t="str">
        <f>IFERROR(TRIM(LEFT(UlwaziExport[SIS User ID],FIND("@",UlwaziExport[SIS User ID])-1)),"")</f>
        <v>2186479</v>
      </c>
      <c r="B162" s="147" t="str">
        <f>IFERROR(UlwaziExport[Student],"")&amp;""</f>
        <v>Thomson, Ethan</v>
      </c>
      <c r="C162" s="141"/>
      <c r="D162" s="143"/>
    </row>
    <row r="163" spans="1:4">
      <c r="A163" s="147" t="str">
        <f>IFERROR(TRIM(LEFT(UlwaziExport[SIS User ID],FIND("@",UlwaziExport[SIS User ID])-1)),"")</f>
        <v>2340555</v>
      </c>
      <c r="B163" s="147" t="str">
        <f>IFERROR(UlwaziExport[Student],"")&amp;""</f>
        <v>Tom, Shaleen</v>
      </c>
      <c r="C163" s="141"/>
      <c r="D163" s="143"/>
    </row>
    <row r="164" spans="1:4">
      <c r="A164" s="147" t="str">
        <f>IFERROR(TRIM(LEFT(UlwaziExport[SIS User ID],FIND("@",UlwaziExport[SIS User ID])-1)),"")</f>
        <v>1823614</v>
      </c>
      <c r="B164" s="147" t="str">
        <f>IFERROR(UlwaziExport[Student],"")&amp;""</f>
        <v>Tshibalo, Tondani</v>
      </c>
      <c r="C164" s="141"/>
      <c r="D164" s="143"/>
    </row>
    <row r="165" spans="1:4">
      <c r="A165" s="147" t="str">
        <f>IFERROR(TRIM(LEFT(UlwaziExport[SIS User ID],FIND("@",UlwaziExport[SIS User ID])-1)),"")</f>
        <v>1908825</v>
      </c>
      <c r="B165" s="147" t="str">
        <f>IFERROR(UlwaziExport[Student],"")&amp;""</f>
        <v>Tshikombeni, Ompha</v>
      </c>
      <c r="C165" s="141"/>
      <c r="D165" s="143"/>
    </row>
    <row r="166" spans="1:4">
      <c r="A166" s="147" t="str">
        <f>IFERROR(TRIM(LEFT(UlwaziExport[SIS User ID],FIND("@",UlwaziExport[SIS User ID])-1)),"")</f>
        <v>2219934</v>
      </c>
      <c r="B166" s="147" t="str">
        <f>IFERROR(UlwaziExport[Student],"")&amp;""</f>
        <v>Tshude, Ziyanda</v>
      </c>
      <c r="C166" s="141"/>
      <c r="D166" s="143"/>
    </row>
    <row r="167" spans="1:4">
      <c r="A167" s="147" t="str">
        <f>IFERROR(TRIM(LEFT(UlwaziExport[SIS User ID],FIND("@",UlwaziExport[SIS User ID])-1)),"")</f>
        <v>2353833</v>
      </c>
      <c r="B167" s="147" t="str">
        <f>IFERROR(UlwaziExport[Student],"")&amp;""</f>
        <v>Valla, Karan</v>
      </c>
      <c r="C167" s="141"/>
      <c r="D167" s="143"/>
    </row>
    <row r="168" spans="1:4">
      <c r="A168" s="147" t="str">
        <f>IFERROR(TRIM(LEFT(UlwaziExport[SIS User ID],FIND("@",UlwaziExport[SIS User ID])-1)),"")</f>
        <v>2113490</v>
      </c>
      <c r="B168" s="147" t="str">
        <f>IFERROR(UlwaziExport[Student],"")&amp;""</f>
        <v>Van Staden, Erin</v>
      </c>
      <c r="C168" s="141"/>
      <c r="D168" s="143"/>
    </row>
    <row r="169" spans="1:4">
      <c r="A169" s="147" t="str">
        <f>IFERROR(TRIM(LEFT(UlwaziExport[SIS User ID],FIND("@",UlwaziExport[SIS User ID])-1)),"")</f>
        <v>2351852</v>
      </c>
      <c r="B169" s="147" t="str">
        <f>IFERROR(UlwaziExport[Student],"")&amp;""</f>
        <v>Wright, Ruth-Ann</v>
      </c>
      <c r="C169" s="141"/>
      <c r="D169" s="143"/>
    </row>
    <row r="170" spans="1:4">
      <c r="A170" s="147" t="str">
        <f>IFERROR(TRIM(LEFT(UlwaziExport[SIS User ID],FIND("@",UlwaziExport[SIS User ID])-1)),"")</f>
        <v>2141604</v>
      </c>
      <c r="B170" s="147" t="str">
        <f>IFERROR(UlwaziExport[Student],"")&amp;""</f>
        <v>Zulase, Nathan</v>
      </c>
      <c r="C170" s="141"/>
      <c r="D170" s="143"/>
    </row>
    <row r="171" spans="1:4">
      <c r="A171" s="147" t="str">
        <f>IFERROR(TRIM(LEFT(UlwaziExport[SIS User ID],FIND("@",UlwaziExport[SIS User ID])-1)),"")</f>
        <v>2373926</v>
      </c>
      <c r="B171" s="147" t="str">
        <f>IFERROR(UlwaziExport[Student],"")&amp;""</f>
        <v>Zulu, Cebolenkosi</v>
      </c>
      <c r="C171" s="141"/>
      <c r="D171" s="143"/>
    </row>
    <row r="172" spans="1:4">
      <c r="A172" s="147" t="str">
        <f>IFERROR(TRIM(LEFT(UlwaziExport[SIS User ID],FIND("@",UlwaziExport[SIS User ID])-1)),"")</f>
        <v>1437039</v>
      </c>
      <c r="B172" s="147" t="str">
        <f>IFERROR(UlwaziExport[Student],"")&amp;""</f>
        <v>Zwane, Kwazinkosi</v>
      </c>
      <c r="C172" s="141"/>
      <c r="D172" s="143"/>
    </row>
  </sheetData>
  <conditionalFormatting sqref="C6:C172">
    <cfRule type="expression" dxfId="61" priority="1">
      <formula>NOT(OR(AND(ISNUMBER(C6),C6&gt;=0,C6&lt;=C$4),C6="",ISNUMBER(FIND("ABS", C6)),ISNUMBER(FIND("DEF", C6))))</formula>
    </cfRule>
  </conditionalFormatting>
  <dataValidations count="1">
    <dataValidation type="custom" allowBlank="1" showInputMessage="1" showErrorMessage="1" error="You can only input numbers in the range [0,100] or &quot;ABS&quot; or &quot;DEF&quot;." sqref="C6:C172">
      <formula1>OR(AND(ISNUMBER(C6),C6&gt;=0,C6&lt;=C$4),C6="",ISNUMBER(FIND("ABS", C6)),ISNUMBER(FIND("DEF", C6)))</formula1>
    </dataValidation>
  </dataValidations>
  <pageMargins left="0.7" right="0.7" top="0.75" bottom="0.75" header="0.3" footer="0.3"/>
  <pageSetup paperSize="9" orientation="portrait" horizontalDpi="1200" verticalDpi="1200"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F172"/>
  <sheetViews>
    <sheetView workbookViewId="0">
      <selection activeCell="A6" sqref="A6:F172"/>
    </sheetView>
  </sheetViews>
  <sheetFormatPr defaultRowHeight="14.4"/>
  <cols>
    <col min="1" max="1" width="27.21875" bestFit="1" customWidth="1"/>
    <col min="2" max="2" width="6" style="3" bestFit="1" customWidth="1"/>
    <col min="3" max="4" width="27.109375" bestFit="1" customWidth="1"/>
    <col min="5" max="5" width="12.21875" style="3" bestFit="1" customWidth="1"/>
    <col min="6" max="6" width="30.77734375" bestFit="1" customWidth="1"/>
  </cols>
  <sheetData>
    <row r="1" spans="1:6">
      <c r="A1" t="s">
        <v>15</v>
      </c>
      <c r="B1" s="3" t="s">
        <v>14</v>
      </c>
      <c r="C1" t="s">
        <v>13</v>
      </c>
      <c r="D1" t="s">
        <v>444</v>
      </c>
      <c r="E1" s="3" t="s">
        <v>615</v>
      </c>
      <c r="F1" t="s">
        <v>445</v>
      </c>
    </row>
    <row r="3" spans="1:6">
      <c r="A3" t="s">
        <v>446</v>
      </c>
    </row>
    <row r="5" spans="1:6">
      <c r="B5"/>
      <c r="E5"/>
    </row>
    <row r="6" spans="1:6">
      <c r="A6" s="210" t="s">
        <v>448</v>
      </c>
      <c r="B6" s="210">
        <v>39844</v>
      </c>
      <c r="C6" s="210" t="s">
        <v>39</v>
      </c>
      <c r="D6" s="210" t="s">
        <v>39</v>
      </c>
      <c r="E6" s="210">
        <v>1906349</v>
      </c>
      <c r="F6" s="210" t="s">
        <v>1514</v>
      </c>
    </row>
    <row r="7" spans="1:6">
      <c r="A7" s="210" t="s">
        <v>449</v>
      </c>
      <c r="B7" s="210">
        <v>40529</v>
      </c>
      <c r="C7" s="210" t="s">
        <v>1515</v>
      </c>
      <c r="D7" s="210" t="s">
        <v>1515</v>
      </c>
      <c r="E7" s="210">
        <v>1845217</v>
      </c>
      <c r="F7" s="210" t="s">
        <v>1514</v>
      </c>
    </row>
    <row r="8" spans="1:6">
      <c r="A8" s="210" t="s">
        <v>450</v>
      </c>
      <c r="B8" s="210">
        <v>43198</v>
      </c>
      <c r="C8" s="210" t="s">
        <v>42</v>
      </c>
      <c r="D8" s="210" t="s">
        <v>42</v>
      </c>
      <c r="E8" s="210">
        <v>2166010</v>
      </c>
      <c r="F8" s="210" t="s">
        <v>1514</v>
      </c>
    </row>
    <row r="9" spans="1:6">
      <c r="A9" s="210" t="s">
        <v>451</v>
      </c>
      <c r="B9" s="210">
        <v>41211</v>
      </c>
      <c r="C9" s="210" t="s">
        <v>1516</v>
      </c>
      <c r="D9" s="210" t="s">
        <v>1516</v>
      </c>
      <c r="E9" s="210">
        <v>2377042</v>
      </c>
      <c r="F9" s="210" t="s">
        <v>1514</v>
      </c>
    </row>
    <row r="10" spans="1:6">
      <c r="A10" s="210" t="s">
        <v>452</v>
      </c>
      <c r="B10" s="210">
        <v>25493</v>
      </c>
      <c r="C10" s="210" t="s">
        <v>1517</v>
      </c>
      <c r="D10" s="210" t="s">
        <v>1517</v>
      </c>
      <c r="E10" s="210">
        <v>2136605</v>
      </c>
      <c r="F10" s="210" t="s">
        <v>1514</v>
      </c>
    </row>
    <row r="11" spans="1:6">
      <c r="A11" s="210" t="s">
        <v>453</v>
      </c>
      <c r="B11" s="210">
        <v>24536</v>
      </c>
      <c r="C11" s="210" t="s">
        <v>1518</v>
      </c>
      <c r="D11" s="210" t="s">
        <v>1518</v>
      </c>
      <c r="E11" s="210">
        <v>2304150</v>
      </c>
      <c r="F11" s="210" t="s">
        <v>1514</v>
      </c>
    </row>
    <row r="12" spans="1:6">
      <c r="A12" s="210" t="s">
        <v>454</v>
      </c>
      <c r="B12" s="210">
        <v>40564</v>
      </c>
      <c r="C12" s="210" t="s">
        <v>1519</v>
      </c>
      <c r="D12" s="210" t="s">
        <v>1519</v>
      </c>
      <c r="E12" s="210">
        <v>1849732</v>
      </c>
      <c r="F12" s="210" t="s">
        <v>1514</v>
      </c>
    </row>
    <row r="13" spans="1:6">
      <c r="A13" s="210" t="s">
        <v>455</v>
      </c>
      <c r="B13" s="210">
        <v>19910</v>
      </c>
      <c r="C13" s="210" t="s">
        <v>48</v>
      </c>
      <c r="D13" s="210" t="s">
        <v>48</v>
      </c>
      <c r="E13" s="210">
        <v>1826929</v>
      </c>
      <c r="F13" s="210" t="s">
        <v>1514</v>
      </c>
    </row>
    <row r="14" spans="1:6">
      <c r="A14" s="210" t="s">
        <v>456</v>
      </c>
      <c r="B14" s="210">
        <v>27881</v>
      </c>
      <c r="C14" s="210" t="s">
        <v>50</v>
      </c>
      <c r="D14" s="210" t="s">
        <v>50</v>
      </c>
      <c r="E14" s="210">
        <v>2327745</v>
      </c>
      <c r="F14" s="210" t="s">
        <v>1514</v>
      </c>
    </row>
    <row r="15" spans="1:6">
      <c r="A15" s="210" t="s">
        <v>457</v>
      </c>
      <c r="B15" s="210">
        <v>37755</v>
      </c>
      <c r="C15" s="210" t="s">
        <v>52</v>
      </c>
      <c r="D15" s="210" t="s">
        <v>52</v>
      </c>
      <c r="E15" s="210">
        <v>2324917</v>
      </c>
      <c r="F15" s="210" t="s">
        <v>1514</v>
      </c>
    </row>
    <row r="16" spans="1:6">
      <c r="A16" s="210" t="s">
        <v>458</v>
      </c>
      <c r="B16" s="210">
        <v>24436</v>
      </c>
      <c r="C16" s="210" t="s">
        <v>1520</v>
      </c>
      <c r="D16" s="210" t="s">
        <v>1520</v>
      </c>
      <c r="E16" s="210">
        <v>2303789</v>
      </c>
      <c r="F16" s="210" t="s">
        <v>1514</v>
      </c>
    </row>
    <row r="17" spans="1:6">
      <c r="A17" s="210" t="s">
        <v>459</v>
      </c>
      <c r="B17" s="210">
        <v>24589</v>
      </c>
      <c r="C17" s="210" t="s">
        <v>1521</v>
      </c>
      <c r="D17" s="210" t="s">
        <v>1521</v>
      </c>
      <c r="E17" s="210">
        <v>2094752</v>
      </c>
      <c r="F17" s="210" t="s">
        <v>1514</v>
      </c>
    </row>
    <row r="18" spans="1:6">
      <c r="A18" s="210" t="s">
        <v>460</v>
      </c>
      <c r="B18" s="210">
        <v>24929</v>
      </c>
      <c r="C18" s="210" t="s">
        <v>1522</v>
      </c>
      <c r="D18" s="210" t="s">
        <v>1522</v>
      </c>
      <c r="E18" s="210">
        <v>2130436</v>
      </c>
      <c r="F18" s="210" t="s">
        <v>1514</v>
      </c>
    </row>
    <row r="19" spans="1:6">
      <c r="A19" s="210" t="s">
        <v>461</v>
      </c>
      <c r="B19" s="210">
        <v>58651</v>
      </c>
      <c r="C19" s="210" t="s">
        <v>1523</v>
      </c>
      <c r="D19" s="210" t="s">
        <v>1523</v>
      </c>
      <c r="E19" s="210">
        <v>1701547</v>
      </c>
      <c r="F19" s="210" t="s">
        <v>1514</v>
      </c>
    </row>
    <row r="20" spans="1:6">
      <c r="A20" s="210" t="s">
        <v>462</v>
      </c>
      <c r="B20" s="210">
        <v>35329</v>
      </c>
      <c r="C20" s="210" t="s">
        <v>58</v>
      </c>
      <c r="D20" s="210" t="s">
        <v>58</v>
      </c>
      <c r="E20" s="210">
        <v>2303450</v>
      </c>
      <c r="F20" s="210" t="s">
        <v>1514</v>
      </c>
    </row>
    <row r="21" spans="1:6">
      <c r="A21" s="210" t="s">
        <v>463</v>
      </c>
      <c r="B21" s="210">
        <v>25149</v>
      </c>
      <c r="C21" s="210" t="s">
        <v>1524</v>
      </c>
      <c r="D21" s="210" t="s">
        <v>1524</v>
      </c>
      <c r="E21" s="210">
        <v>2306815</v>
      </c>
      <c r="F21" s="210" t="s">
        <v>1514</v>
      </c>
    </row>
    <row r="22" spans="1:6">
      <c r="A22" s="210" t="s">
        <v>464</v>
      </c>
      <c r="B22" s="210">
        <v>23892</v>
      </c>
      <c r="C22" s="210" t="s">
        <v>1525</v>
      </c>
      <c r="D22" s="210" t="s">
        <v>1525</v>
      </c>
      <c r="E22" s="210">
        <v>2168179</v>
      </c>
      <c r="F22" s="210" t="s">
        <v>1514</v>
      </c>
    </row>
    <row r="23" spans="1:6">
      <c r="A23" s="210" t="s">
        <v>465</v>
      </c>
      <c r="B23" s="210">
        <v>24157</v>
      </c>
      <c r="C23" s="210" t="s">
        <v>1526</v>
      </c>
      <c r="D23" s="210" t="s">
        <v>1526</v>
      </c>
      <c r="E23" s="210">
        <v>2118894</v>
      </c>
      <c r="F23" s="210" t="s">
        <v>1514</v>
      </c>
    </row>
    <row r="24" spans="1:6">
      <c r="A24" s="210" t="s">
        <v>466</v>
      </c>
      <c r="B24" s="210">
        <v>25241</v>
      </c>
      <c r="C24" s="210" t="s">
        <v>1527</v>
      </c>
      <c r="D24" s="210" t="s">
        <v>1527</v>
      </c>
      <c r="E24" s="210">
        <v>2199951</v>
      </c>
      <c r="F24" s="210" t="s">
        <v>1514</v>
      </c>
    </row>
    <row r="25" spans="1:6">
      <c r="A25" s="210" t="s">
        <v>467</v>
      </c>
      <c r="B25" s="210">
        <v>38019</v>
      </c>
      <c r="C25" s="210" t="s">
        <v>64</v>
      </c>
      <c r="D25" s="210" t="s">
        <v>64</v>
      </c>
      <c r="E25" s="210">
        <v>1278510</v>
      </c>
      <c r="F25" s="210" t="s">
        <v>1514</v>
      </c>
    </row>
    <row r="26" spans="1:6">
      <c r="A26" s="210" t="s">
        <v>468</v>
      </c>
      <c r="B26" s="210">
        <v>42226</v>
      </c>
      <c r="C26" s="210" t="s">
        <v>1528</v>
      </c>
      <c r="D26" s="210" t="s">
        <v>1528</v>
      </c>
      <c r="E26" s="210">
        <v>1610736</v>
      </c>
      <c r="F26" s="210" t="s">
        <v>1514</v>
      </c>
    </row>
    <row r="27" spans="1:6">
      <c r="A27" s="210" t="s">
        <v>469</v>
      </c>
      <c r="B27" s="210">
        <v>41162</v>
      </c>
      <c r="C27" s="210" t="s">
        <v>1529</v>
      </c>
      <c r="D27" s="210" t="s">
        <v>1529</v>
      </c>
      <c r="E27" s="210">
        <v>2090845</v>
      </c>
      <c r="F27" s="210" t="s">
        <v>1514</v>
      </c>
    </row>
    <row r="28" spans="1:6">
      <c r="A28" s="210" t="s">
        <v>470</v>
      </c>
      <c r="B28" s="210">
        <v>45985</v>
      </c>
      <c r="C28" s="210" t="s">
        <v>1530</v>
      </c>
      <c r="D28" s="210" t="s">
        <v>1530</v>
      </c>
      <c r="E28" s="210">
        <v>1660819</v>
      </c>
      <c r="F28" s="210" t="s">
        <v>1514</v>
      </c>
    </row>
    <row r="29" spans="1:6">
      <c r="A29" s="210" t="s">
        <v>471</v>
      </c>
      <c r="B29" s="210">
        <v>30231</v>
      </c>
      <c r="C29" s="210" t="s">
        <v>1531</v>
      </c>
      <c r="D29" s="210" t="s">
        <v>1531</v>
      </c>
      <c r="E29" s="210">
        <v>2366542</v>
      </c>
      <c r="F29" s="210" t="s">
        <v>1514</v>
      </c>
    </row>
    <row r="30" spans="1:6">
      <c r="A30" s="210" t="s">
        <v>472</v>
      </c>
      <c r="B30" s="210">
        <v>37610</v>
      </c>
      <c r="C30" s="210" t="s">
        <v>1532</v>
      </c>
      <c r="D30" s="210" t="s">
        <v>1532</v>
      </c>
      <c r="E30" s="210">
        <v>1924564</v>
      </c>
      <c r="F30" s="210" t="s">
        <v>1514</v>
      </c>
    </row>
    <row r="31" spans="1:6">
      <c r="A31" s="210" t="s">
        <v>473</v>
      </c>
      <c r="B31" s="210">
        <v>24785</v>
      </c>
      <c r="C31" s="210" t="s">
        <v>1533</v>
      </c>
      <c r="D31" s="210" t="s">
        <v>1533</v>
      </c>
      <c r="E31" s="210">
        <v>2129200</v>
      </c>
      <c r="F31" s="210" t="s">
        <v>1514</v>
      </c>
    </row>
    <row r="32" spans="1:6">
      <c r="A32" s="210" t="s">
        <v>474</v>
      </c>
      <c r="B32" s="210">
        <v>24210</v>
      </c>
      <c r="C32" s="210" t="s">
        <v>1534</v>
      </c>
      <c r="D32" s="210" t="s">
        <v>1534</v>
      </c>
      <c r="E32" s="210">
        <v>2173105</v>
      </c>
      <c r="F32" s="210" t="s">
        <v>1514</v>
      </c>
    </row>
    <row r="33" spans="1:6">
      <c r="A33" s="210" t="s">
        <v>475</v>
      </c>
      <c r="B33" s="210">
        <v>26255</v>
      </c>
      <c r="C33" s="210" t="s">
        <v>73</v>
      </c>
      <c r="D33" s="210" t="s">
        <v>73</v>
      </c>
      <c r="E33" s="210">
        <v>2231460</v>
      </c>
      <c r="F33" s="210" t="s">
        <v>1514</v>
      </c>
    </row>
    <row r="34" spans="1:6">
      <c r="A34" s="210" t="s">
        <v>476</v>
      </c>
      <c r="B34" s="210">
        <v>20638</v>
      </c>
      <c r="C34" s="210" t="s">
        <v>1535</v>
      </c>
      <c r="D34" s="210" t="s">
        <v>1535</v>
      </c>
      <c r="E34" s="210">
        <v>1830380</v>
      </c>
      <c r="F34" s="210" t="s">
        <v>1514</v>
      </c>
    </row>
    <row r="35" spans="1:6">
      <c r="A35" s="210" t="s">
        <v>477</v>
      </c>
      <c r="B35" s="210">
        <v>35683</v>
      </c>
      <c r="C35" s="210" t="s">
        <v>1536</v>
      </c>
      <c r="D35" s="210" t="s">
        <v>1536</v>
      </c>
      <c r="E35" s="210">
        <v>1877695</v>
      </c>
      <c r="F35" s="210" t="s">
        <v>1514</v>
      </c>
    </row>
    <row r="36" spans="1:6">
      <c r="A36" s="210" t="s">
        <v>478</v>
      </c>
      <c r="B36" s="210">
        <v>27095</v>
      </c>
      <c r="C36" s="210" t="s">
        <v>77</v>
      </c>
      <c r="D36" s="210" t="s">
        <v>77</v>
      </c>
      <c r="E36" s="210">
        <v>2323162</v>
      </c>
      <c r="F36" s="210" t="s">
        <v>1514</v>
      </c>
    </row>
    <row r="37" spans="1:6">
      <c r="A37" s="210" t="s">
        <v>479</v>
      </c>
      <c r="B37" s="210">
        <v>25757</v>
      </c>
      <c r="C37" s="210" t="s">
        <v>79</v>
      </c>
      <c r="D37" s="210" t="s">
        <v>79</v>
      </c>
      <c r="E37" s="210">
        <v>2104199</v>
      </c>
      <c r="F37" s="210" t="s">
        <v>1514</v>
      </c>
    </row>
    <row r="38" spans="1:6">
      <c r="A38" s="210" t="s">
        <v>480</v>
      </c>
      <c r="B38" s="210">
        <v>29673</v>
      </c>
      <c r="C38" s="210" t="s">
        <v>1537</v>
      </c>
      <c r="D38" s="210" t="s">
        <v>1537</v>
      </c>
      <c r="E38" s="210">
        <v>2335476</v>
      </c>
      <c r="F38" s="210" t="s">
        <v>1514</v>
      </c>
    </row>
    <row r="39" spans="1:6">
      <c r="A39" s="210" t="s">
        <v>481</v>
      </c>
      <c r="B39" s="210">
        <v>24782</v>
      </c>
      <c r="C39" s="210" t="s">
        <v>1538</v>
      </c>
      <c r="D39" s="210" t="s">
        <v>1538</v>
      </c>
      <c r="E39" s="210">
        <v>2095374</v>
      </c>
      <c r="F39" s="210" t="s">
        <v>1514</v>
      </c>
    </row>
    <row r="40" spans="1:6">
      <c r="A40" s="210" t="s">
        <v>482</v>
      </c>
      <c r="B40" s="210">
        <v>36443</v>
      </c>
      <c r="C40" s="210" t="s">
        <v>83</v>
      </c>
      <c r="D40" s="210" t="s">
        <v>83</v>
      </c>
      <c r="E40" s="210">
        <v>2050175</v>
      </c>
      <c r="F40" s="210" t="s">
        <v>1514</v>
      </c>
    </row>
    <row r="41" spans="1:6">
      <c r="A41" s="210" t="s">
        <v>483</v>
      </c>
      <c r="B41" s="210">
        <v>25632</v>
      </c>
      <c r="C41" s="210" t="s">
        <v>1539</v>
      </c>
      <c r="D41" s="210" t="s">
        <v>1539</v>
      </c>
      <c r="E41" s="210">
        <v>2138347</v>
      </c>
      <c r="F41" s="210" t="s">
        <v>1514</v>
      </c>
    </row>
    <row r="42" spans="1:6">
      <c r="A42" s="210" t="s">
        <v>484</v>
      </c>
      <c r="B42" s="210">
        <v>30533</v>
      </c>
      <c r="C42" s="210" t="s">
        <v>1540</v>
      </c>
      <c r="D42" s="210" t="s">
        <v>1540</v>
      </c>
      <c r="E42" s="210">
        <v>2344104</v>
      </c>
      <c r="F42" s="210" t="s">
        <v>1514</v>
      </c>
    </row>
    <row r="43" spans="1:6">
      <c r="A43" s="210" t="s">
        <v>485</v>
      </c>
      <c r="B43" s="210">
        <v>25758</v>
      </c>
      <c r="C43" s="210" t="s">
        <v>87</v>
      </c>
      <c r="D43" s="210" t="s">
        <v>87</v>
      </c>
      <c r="E43" s="210">
        <v>2309262</v>
      </c>
      <c r="F43" s="210" t="s">
        <v>1514</v>
      </c>
    </row>
    <row r="44" spans="1:6">
      <c r="A44" s="210" t="s">
        <v>486</v>
      </c>
      <c r="B44" s="210">
        <v>22519</v>
      </c>
      <c r="C44" s="210" t="s">
        <v>1541</v>
      </c>
      <c r="D44" s="210" t="s">
        <v>1541</v>
      </c>
      <c r="E44" s="210">
        <v>1876127</v>
      </c>
      <c r="F44" s="210" t="s">
        <v>1514</v>
      </c>
    </row>
    <row r="45" spans="1:6">
      <c r="A45" s="210" t="s">
        <v>487</v>
      </c>
      <c r="B45" s="210">
        <v>25028</v>
      </c>
      <c r="C45" s="210" t="s">
        <v>1542</v>
      </c>
      <c r="D45" s="210" t="s">
        <v>1542</v>
      </c>
      <c r="E45" s="210">
        <v>2194051</v>
      </c>
      <c r="F45" s="210" t="s">
        <v>1514</v>
      </c>
    </row>
    <row r="46" spans="1:6">
      <c r="A46" s="210" t="s">
        <v>488</v>
      </c>
      <c r="B46" s="210">
        <v>28499</v>
      </c>
      <c r="C46" s="210" t="s">
        <v>1543</v>
      </c>
      <c r="D46" s="210" t="s">
        <v>1543</v>
      </c>
      <c r="E46" s="210">
        <v>2355933</v>
      </c>
      <c r="F46" s="210" t="s">
        <v>1514</v>
      </c>
    </row>
    <row r="47" spans="1:6">
      <c r="A47" s="210" t="s">
        <v>489</v>
      </c>
      <c r="B47" s="210">
        <v>26324</v>
      </c>
      <c r="C47" s="210" t="s">
        <v>1544</v>
      </c>
      <c r="D47" s="210" t="s">
        <v>1544</v>
      </c>
      <c r="E47" s="210">
        <v>2143227</v>
      </c>
      <c r="F47" s="210" t="s">
        <v>1514</v>
      </c>
    </row>
    <row r="48" spans="1:6">
      <c r="A48" s="210" t="s">
        <v>490</v>
      </c>
      <c r="B48" s="210">
        <v>22535</v>
      </c>
      <c r="C48" s="210" t="s">
        <v>1545</v>
      </c>
      <c r="D48" s="210" t="s">
        <v>1545</v>
      </c>
      <c r="E48" s="210">
        <v>1876297</v>
      </c>
      <c r="F48" s="210" t="s">
        <v>1514</v>
      </c>
    </row>
    <row r="49" spans="1:6">
      <c r="A49" s="210" t="s">
        <v>491</v>
      </c>
      <c r="B49" s="210">
        <v>30529</v>
      </c>
      <c r="C49" s="210" t="s">
        <v>94</v>
      </c>
      <c r="D49" s="210" t="s">
        <v>94</v>
      </c>
      <c r="E49" s="210">
        <v>2344063</v>
      </c>
      <c r="F49" s="210" t="s">
        <v>1514</v>
      </c>
    </row>
    <row r="50" spans="1:6">
      <c r="A50" s="210" t="s">
        <v>492</v>
      </c>
      <c r="B50" s="210">
        <v>28817</v>
      </c>
      <c r="C50" s="210" t="s">
        <v>96</v>
      </c>
      <c r="D50" s="210" t="s">
        <v>96</v>
      </c>
      <c r="E50" s="210">
        <v>2331132</v>
      </c>
      <c r="F50" s="210" t="s">
        <v>1514</v>
      </c>
    </row>
    <row r="51" spans="1:6">
      <c r="A51" s="210" t="s">
        <v>493</v>
      </c>
      <c r="B51" s="210">
        <v>38510</v>
      </c>
      <c r="C51" s="210" t="s">
        <v>1546</v>
      </c>
      <c r="D51" s="210" t="s">
        <v>1546</v>
      </c>
      <c r="E51" s="210">
        <v>2330797</v>
      </c>
      <c r="F51" s="210" t="s">
        <v>1514</v>
      </c>
    </row>
    <row r="52" spans="1:6">
      <c r="A52" s="210" t="s">
        <v>494</v>
      </c>
      <c r="B52" s="210">
        <v>39127</v>
      </c>
      <c r="C52" s="210" t="s">
        <v>1547</v>
      </c>
      <c r="D52" s="210" t="s">
        <v>1547</v>
      </c>
      <c r="E52" s="210">
        <v>2094978</v>
      </c>
      <c r="F52" s="210" t="s">
        <v>1514</v>
      </c>
    </row>
    <row r="53" spans="1:6">
      <c r="A53" s="210" t="s">
        <v>495</v>
      </c>
      <c r="B53" s="210">
        <v>48273</v>
      </c>
      <c r="C53" s="210" t="s">
        <v>1548</v>
      </c>
      <c r="D53" s="210" t="s">
        <v>1548</v>
      </c>
      <c r="E53" s="210">
        <v>1832991</v>
      </c>
      <c r="F53" s="210" t="s">
        <v>1514</v>
      </c>
    </row>
    <row r="54" spans="1:6">
      <c r="A54" s="210" t="s">
        <v>496</v>
      </c>
      <c r="B54" s="210">
        <v>17090</v>
      </c>
      <c r="C54" s="210" t="s">
        <v>1549</v>
      </c>
      <c r="D54" s="210" t="s">
        <v>1549</v>
      </c>
      <c r="E54" s="210">
        <v>1146648</v>
      </c>
      <c r="F54" s="210" t="s">
        <v>1514</v>
      </c>
    </row>
    <row r="55" spans="1:6">
      <c r="A55" s="210" t="s">
        <v>497</v>
      </c>
      <c r="B55" s="210">
        <v>30283</v>
      </c>
      <c r="C55" s="210" t="s">
        <v>1550</v>
      </c>
      <c r="D55" s="210" t="s">
        <v>1550</v>
      </c>
      <c r="E55" s="210">
        <v>2367017</v>
      </c>
      <c r="F55" s="210" t="s">
        <v>1514</v>
      </c>
    </row>
    <row r="56" spans="1:6">
      <c r="A56" s="210" t="s">
        <v>498</v>
      </c>
      <c r="B56" s="210">
        <v>25645</v>
      </c>
      <c r="C56" s="210" t="s">
        <v>1551</v>
      </c>
      <c r="D56" s="210" t="s">
        <v>1551</v>
      </c>
      <c r="E56" s="210">
        <v>2209317</v>
      </c>
      <c r="F56" s="210" t="s">
        <v>1514</v>
      </c>
    </row>
    <row r="57" spans="1:6">
      <c r="A57" s="210" t="s">
        <v>499</v>
      </c>
      <c r="B57" s="210">
        <v>27931</v>
      </c>
      <c r="C57" s="210" t="s">
        <v>1552</v>
      </c>
      <c r="D57" s="210" t="s">
        <v>1552</v>
      </c>
      <c r="E57" s="210">
        <v>2351913</v>
      </c>
      <c r="F57" s="210" t="s">
        <v>1514</v>
      </c>
    </row>
    <row r="58" spans="1:6">
      <c r="A58" s="210" t="s">
        <v>500</v>
      </c>
      <c r="B58" s="210">
        <v>24437</v>
      </c>
      <c r="C58" s="210" t="s">
        <v>105</v>
      </c>
      <c r="D58" s="210" t="s">
        <v>105</v>
      </c>
      <c r="E58" s="210">
        <v>2127000</v>
      </c>
      <c r="F58" s="210" t="s">
        <v>1514</v>
      </c>
    </row>
    <row r="59" spans="1:6">
      <c r="A59" s="210" t="s">
        <v>501</v>
      </c>
      <c r="B59" s="210">
        <v>25880</v>
      </c>
      <c r="C59" s="210" t="s">
        <v>1553</v>
      </c>
      <c r="D59" s="210" t="s">
        <v>1553</v>
      </c>
      <c r="E59" s="210">
        <v>2105080</v>
      </c>
      <c r="F59" s="210" t="s">
        <v>1514</v>
      </c>
    </row>
    <row r="60" spans="1:6">
      <c r="A60" s="210" t="s">
        <v>502</v>
      </c>
      <c r="B60" s="210">
        <v>24794</v>
      </c>
      <c r="C60" s="210" t="s">
        <v>1554</v>
      </c>
      <c r="D60" s="210" t="s">
        <v>1554</v>
      </c>
      <c r="E60" s="210">
        <v>2095396</v>
      </c>
      <c r="F60" s="210" t="s">
        <v>1514</v>
      </c>
    </row>
    <row r="61" spans="1:6">
      <c r="A61" s="210" t="s">
        <v>503</v>
      </c>
      <c r="B61" s="210">
        <v>34831</v>
      </c>
      <c r="C61" s="210" t="s">
        <v>108</v>
      </c>
      <c r="D61" s="210" t="s">
        <v>108</v>
      </c>
      <c r="E61" s="210">
        <v>2242940</v>
      </c>
      <c r="F61" s="210" t="s">
        <v>1514</v>
      </c>
    </row>
    <row r="62" spans="1:6">
      <c r="A62" s="210" t="s">
        <v>504</v>
      </c>
      <c r="B62" s="210">
        <v>41694</v>
      </c>
      <c r="C62" s="210" t="s">
        <v>1555</v>
      </c>
      <c r="D62" s="210" t="s">
        <v>1555</v>
      </c>
      <c r="E62" s="210">
        <v>2172968</v>
      </c>
      <c r="F62" s="210" t="s">
        <v>1514</v>
      </c>
    </row>
    <row r="63" spans="1:6">
      <c r="A63" s="210" t="s">
        <v>505</v>
      </c>
      <c r="B63" s="210">
        <v>38410</v>
      </c>
      <c r="C63" s="210" t="s">
        <v>111</v>
      </c>
      <c r="D63" s="210" t="s">
        <v>111</v>
      </c>
      <c r="E63" s="210">
        <v>2117841</v>
      </c>
      <c r="F63" s="210" t="s">
        <v>1514</v>
      </c>
    </row>
    <row r="64" spans="1:6">
      <c r="A64" s="210" t="s">
        <v>506</v>
      </c>
      <c r="B64" s="210">
        <v>54661</v>
      </c>
      <c r="C64" s="210" t="s">
        <v>1556</v>
      </c>
      <c r="D64" s="210" t="s">
        <v>1556</v>
      </c>
      <c r="E64" s="210">
        <v>2341547</v>
      </c>
      <c r="F64" s="210" t="s">
        <v>1514</v>
      </c>
    </row>
    <row r="65" spans="1:6">
      <c r="A65" s="210" t="s">
        <v>507</v>
      </c>
      <c r="B65" s="210">
        <v>37542</v>
      </c>
      <c r="C65" s="210" t="s">
        <v>114</v>
      </c>
      <c r="D65" s="210" t="s">
        <v>114</v>
      </c>
      <c r="E65" s="210">
        <v>1744150</v>
      </c>
      <c r="F65" s="210" t="s">
        <v>1514</v>
      </c>
    </row>
    <row r="66" spans="1:6">
      <c r="A66" s="210" t="s">
        <v>508</v>
      </c>
      <c r="B66" s="210">
        <v>38381</v>
      </c>
      <c r="C66" s="210" t="s">
        <v>116</v>
      </c>
      <c r="D66" s="210" t="s">
        <v>116</v>
      </c>
      <c r="E66" s="210">
        <v>1919247</v>
      </c>
      <c r="F66" s="210" t="s">
        <v>1514</v>
      </c>
    </row>
    <row r="67" spans="1:6">
      <c r="A67" s="210" t="s">
        <v>509</v>
      </c>
      <c r="B67" s="210">
        <v>21238</v>
      </c>
      <c r="C67" s="210" t="s">
        <v>117</v>
      </c>
      <c r="D67" s="210" t="s">
        <v>117</v>
      </c>
      <c r="E67" s="210">
        <v>1834022</v>
      </c>
      <c r="F67" s="210" t="s">
        <v>1514</v>
      </c>
    </row>
    <row r="68" spans="1:6">
      <c r="A68" s="210" t="s">
        <v>510</v>
      </c>
      <c r="B68" s="210">
        <v>34953</v>
      </c>
      <c r="C68" s="210" t="s">
        <v>1557</v>
      </c>
      <c r="D68" s="210" t="s">
        <v>1557</v>
      </c>
      <c r="E68" s="210">
        <v>704140</v>
      </c>
      <c r="F68" s="210" t="s">
        <v>1514</v>
      </c>
    </row>
    <row r="69" spans="1:6">
      <c r="A69" s="210" t="s">
        <v>511</v>
      </c>
      <c r="B69" s="210">
        <v>25203</v>
      </c>
      <c r="C69" s="210" t="s">
        <v>120</v>
      </c>
      <c r="D69" s="210" t="s">
        <v>120</v>
      </c>
      <c r="E69" s="210">
        <v>2307157</v>
      </c>
      <c r="F69" s="210" t="s">
        <v>1514</v>
      </c>
    </row>
    <row r="70" spans="1:6">
      <c r="A70" s="210" t="s">
        <v>512</v>
      </c>
      <c r="B70" s="210">
        <v>38986</v>
      </c>
      <c r="C70" s="210" t="s">
        <v>1558</v>
      </c>
      <c r="D70" s="210" t="s">
        <v>1558</v>
      </c>
      <c r="E70" s="210">
        <v>1827340</v>
      </c>
      <c r="F70" s="210" t="s">
        <v>1514</v>
      </c>
    </row>
    <row r="71" spans="1:6">
      <c r="A71" s="210" t="s">
        <v>513</v>
      </c>
      <c r="B71" s="210">
        <v>25069</v>
      </c>
      <c r="C71" s="210" t="s">
        <v>1559</v>
      </c>
      <c r="D71" s="210" t="s">
        <v>1559</v>
      </c>
      <c r="E71" s="210">
        <v>2306202</v>
      </c>
      <c r="F71" s="210" t="s">
        <v>1514</v>
      </c>
    </row>
    <row r="72" spans="1:6">
      <c r="A72" s="210" t="s">
        <v>514</v>
      </c>
      <c r="B72" s="210">
        <v>40611</v>
      </c>
      <c r="C72" s="210" t="s">
        <v>124</v>
      </c>
      <c r="D72" s="210" t="s">
        <v>124</v>
      </c>
      <c r="E72" s="210">
        <v>2108293</v>
      </c>
      <c r="F72" s="210" t="s">
        <v>1514</v>
      </c>
    </row>
    <row r="73" spans="1:6">
      <c r="A73" s="210" t="s">
        <v>515</v>
      </c>
      <c r="B73" s="210">
        <v>28683</v>
      </c>
      <c r="C73" s="210" t="s">
        <v>126</v>
      </c>
      <c r="D73" s="210" t="s">
        <v>126</v>
      </c>
      <c r="E73" s="210">
        <v>2356839</v>
      </c>
      <c r="F73" s="210" t="s">
        <v>1514</v>
      </c>
    </row>
    <row r="74" spans="1:6">
      <c r="A74" s="210" t="s">
        <v>516</v>
      </c>
      <c r="B74" s="210">
        <v>21584</v>
      </c>
      <c r="C74" s="210" t="s">
        <v>1560</v>
      </c>
      <c r="D74" s="210" t="s">
        <v>1560</v>
      </c>
      <c r="E74" s="210">
        <v>1864128</v>
      </c>
      <c r="F74" s="210" t="s">
        <v>1514</v>
      </c>
    </row>
    <row r="75" spans="1:6">
      <c r="A75" s="210" t="s">
        <v>517</v>
      </c>
      <c r="B75" s="210">
        <v>55205</v>
      </c>
      <c r="C75" s="210" t="s">
        <v>129</v>
      </c>
      <c r="D75" s="210" t="s">
        <v>129</v>
      </c>
      <c r="E75" s="210">
        <v>1077227</v>
      </c>
      <c r="F75" s="210" t="s">
        <v>1514</v>
      </c>
    </row>
    <row r="76" spans="1:6">
      <c r="A76" s="210" t="s">
        <v>518</v>
      </c>
      <c r="B76" s="210">
        <v>23720</v>
      </c>
      <c r="C76" s="210" t="s">
        <v>1561</v>
      </c>
      <c r="D76" s="210" t="s">
        <v>1561</v>
      </c>
      <c r="E76" s="210">
        <v>2165920</v>
      </c>
      <c r="F76" s="210" t="s">
        <v>1514</v>
      </c>
    </row>
    <row r="77" spans="1:6">
      <c r="A77" s="210" t="s">
        <v>519</v>
      </c>
      <c r="B77" s="210">
        <v>50612</v>
      </c>
      <c r="C77" s="210" t="s">
        <v>132</v>
      </c>
      <c r="D77" s="210" t="s">
        <v>132</v>
      </c>
      <c r="E77" s="210">
        <v>1775759</v>
      </c>
      <c r="F77" s="210" t="s">
        <v>1514</v>
      </c>
    </row>
    <row r="78" spans="1:6">
      <c r="A78" s="210" t="s">
        <v>520</v>
      </c>
      <c r="B78" s="210">
        <v>23263</v>
      </c>
      <c r="C78" s="210" t="s">
        <v>1562</v>
      </c>
      <c r="D78" s="210" t="s">
        <v>1562</v>
      </c>
      <c r="E78" s="210">
        <v>2088691</v>
      </c>
      <c r="F78" s="210" t="s">
        <v>1514</v>
      </c>
    </row>
    <row r="79" spans="1:6">
      <c r="A79" s="210" t="s">
        <v>521</v>
      </c>
      <c r="B79" s="210">
        <v>39754</v>
      </c>
      <c r="C79" s="210" t="s">
        <v>135</v>
      </c>
      <c r="D79" s="210" t="s">
        <v>135</v>
      </c>
      <c r="E79" s="210">
        <v>1832762</v>
      </c>
      <c r="F79" s="210" t="s">
        <v>1514</v>
      </c>
    </row>
    <row r="80" spans="1:6">
      <c r="A80" s="210" t="s">
        <v>522</v>
      </c>
      <c r="B80" s="210">
        <v>25490</v>
      </c>
      <c r="C80" s="210" t="s">
        <v>1563</v>
      </c>
      <c r="D80" s="210" t="s">
        <v>1563</v>
      </c>
      <c r="E80" s="210">
        <v>2136569</v>
      </c>
      <c r="F80" s="210" t="s">
        <v>1514</v>
      </c>
    </row>
    <row r="81" spans="1:6">
      <c r="A81" s="210" t="s">
        <v>523</v>
      </c>
      <c r="B81" s="210">
        <v>24862</v>
      </c>
      <c r="C81" s="210" t="s">
        <v>1564</v>
      </c>
      <c r="D81" s="210" t="s">
        <v>1564</v>
      </c>
      <c r="E81" s="210">
        <v>2305164</v>
      </c>
      <c r="F81" s="210" t="s">
        <v>1514</v>
      </c>
    </row>
    <row r="82" spans="1:6">
      <c r="A82" s="210" t="s">
        <v>524</v>
      </c>
      <c r="B82" s="210">
        <v>23756</v>
      </c>
      <c r="C82" s="210" t="s">
        <v>1565</v>
      </c>
      <c r="D82" s="210" t="s">
        <v>1565</v>
      </c>
      <c r="E82" s="210">
        <v>2116287</v>
      </c>
      <c r="F82" s="210" t="s">
        <v>1514</v>
      </c>
    </row>
    <row r="83" spans="1:6">
      <c r="A83" s="210" t="s">
        <v>525</v>
      </c>
      <c r="B83" s="210">
        <v>42444</v>
      </c>
      <c r="C83" s="210" t="s">
        <v>141</v>
      </c>
      <c r="D83" s="210" t="s">
        <v>141</v>
      </c>
      <c r="E83" s="210">
        <v>2164579</v>
      </c>
      <c r="F83" s="210" t="s">
        <v>1514</v>
      </c>
    </row>
    <row r="84" spans="1:6">
      <c r="A84" s="210" t="s">
        <v>526</v>
      </c>
      <c r="B84" s="210">
        <v>42458</v>
      </c>
      <c r="C84" s="210" t="s">
        <v>1566</v>
      </c>
      <c r="D84" s="210" t="s">
        <v>1566</v>
      </c>
      <c r="E84" s="210">
        <v>2107610</v>
      </c>
      <c r="F84" s="210" t="s">
        <v>1514</v>
      </c>
    </row>
    <row r="85" spans="1:6">
      <c r="A85" s="210" t="s">
        <v>527</v>
      </c>
      <c r="B85" s="210">
        <v>30310</v>
      </c>
      <c r="C85" s="210" t="s">
        <v>1567</v>
      </c>
      <c r="D85" s="210" t="s">
        <v>1567</v>
      </c>
      <c r="E85" s="210">
        <v>2367318</v>
      </c>
      <c r="F85" s="210" t="s">
        <v>1514</v>
      </c>
    </row>
    <row r="86" spans="1:6">
      <c r="A86" s="210" t="s">
        <v>528</v>
      </c>
      <c r="B86" s="210">
        <v>27939</v>
      </c>
      <c r="C86" s="210" t="s">
        <v>1568</v>
      </c>
      <c r="D86" s="210" t="s">
        <v>1568</v>
      </c>
      <c r="E86" s="210">
        <v>2352044</v>
      </c>
      <c r="F86" s="210" t="s">
        <v>1514</v>
      </c>
    </row>
    <row r="87" spans="1:6">
      <c r="A87" s="210" t="s">
        <v>529</v>
      </c>
      <c r="B87" s="210">
        <v>40547</v>
      </c>
      <c r="C87" s="210" t="s">
        <v>1569</v>
      </c>
      <c r="D87" s="210" t="s">
        <v>1569</v>
      </c>
      <c r="E87" s="210">
        <v>2089948</v>
      </c>
      <c r="F87" s="210" t="s">
        <v>1514</v>
      </c>
    </row>
    <row r="88" spans="1:6">
      <c r="A88" s="210" t="s">
        <v>530</v>
      </c>
      <c r="B88" s="210">
        <v>26008</v>
      </c>
      <c r="C88" s="210" t="s">
        <v>1570</v>
      </c>
      <c r="D88" s="210" t="s">
        <v>1570</v>
      </c>
      <c r="E88" s="210">
        <v>2313178</v>
      </c>
      <c r="F88" s="210" t="s">
        <v>1514</v>
      </c>
    </row>
    <row r="89" spans="1:6">
      <c r="A89" s="210" t="s">
        <v>531</v>
      </c>
      <c r="B89" s="210">
        <v>26261</v>
      </c>
      <c r="C89" s="210" t="s">
        <v>1571</v>
      </c>
      <c r="D89" s="210" t="s">
        <v>1571</v>
      </c>
      <c r="E89" s="210">
        <v>2142882</v>
      </c>
      <c r="F89" s="210" t="s">
        <v>1514</v>
      </c>
    </row>
    <row r="90" spans="1:6">
      <c r="A90" s="210" t="s">
        <v>532</v>
      </c>
      <c r="B90" s="210">
        <v>34815</v>
      </c>
      <c r="C90" s="210" t="s">
        <v>148</v>
      </c>
      <c r="D90" s="210" t="s">
        <v>148</v>
      </c>
      <c r="E90" s="210">
        <v>2141245</v>
      </c>
      <c r="F90" s="210" t="s">
        <v>1514</v>
      </c>
    </row>
    <row r="91" spans="1:6">
      <c r="A91" s="210" t="s">
        <v>533</v>
      </c>
      <c r="B91" s="210">
        <v>20636</v>
      </c>
      <c r="C91" s="210" t="s">
        <v>1572</v>
      </c>
      <c r="D91" s="210" t="s">
        <v>1572</v>
      </c>
      <c r="E91" s="210">
        <v>1854920</v>
      </c>
      <c r="F91" s="210" t="s">
        <v>1514</v>
      </c>
    </row>
    <row r="92" spans="1:6">
      <c r="A92" s="210" t="s">
        <v>534</v>
      </c>
      <c r="B92" s="210">
        <v>30770</v>
      </c>
      <c r="C92" s="210" t="s">
        <v>1573</v>
      </c>
      <c r="D92" s="210" t="s">
        <v>1573</v>
      </c>
      <c r="E92" s="210">
        <v>2345339</v>
      </c>
      <c r="F92" s="210" t="s">
        <v>1514</v>
      </c>
    </row>
    <row r="93" spans="1:6">
      <c r="A93" s="210" t="s">
        <v>535</v>
      </c>
      <c r="B93" s="210">
        <v>50198</v>
      </c>
      <c r="C93" s="210" t="s">
        <v>1574</v>
      </c>
      <c r="D93" s="210" t="s">
        <v>1574</v>
      </c>
      <c r="E93" s="210">
        <v>1284667</v>
      </c>
      <c r="F93" s="210" t="s">
        <v>1514</v>
      </c>
    </row>
    <row r="94" spans="1:6">
      <c r="A94" s="210" t="s">
        <v>536</v>
      </c>
      <c r="B94" s="210">
        <v>24865</v>
      </c>
      <c r="C94" s="210" t="s">
        <v>1575</v>
      </c>
      <c r="D94" s="210" t="s">
        <v>1575</v>
      </c>
      <c r="E94" s="210">
        <v>2129606</v>
      </c>
      <c r="F94" s="210" t="s">
        <v>1514</v>
      </c>
    </row>
    <row r="95" spans="1:6">
      <c r="A95" s="210" t="s">
        <v>537</v>
      </c>
      <c r="B95" s="210">
        <v>29866</v>
      </c>
      <c r="C95" s="210" t="s">
        <v>153</v>
      </c>
      <c r="D95" s="210" t="s">
        <v>153</v>
      </c>
      <c r="E95" s="210">
        <v>2363523</v>
      </c>
      <c r="F95" s="210" t="s">
        <v>1514</v>
      </c>
    </row>
    <row r="96" spans="1:6">
      <c r="A96" s="210" t="s">
        <v>538</v>
      </c>
      <c r="B96" s="210">
        <v>27204</v>
      </c>
      <c r="C96" s="210" t="s">
        <v>1576</v>
      </c>
      <c r="D96" s="210" t="s">
        <v>1576</v>
      </c>
      <c r="E96" s="210">
        <v>2347976</v>
      </c>
      <c r="F96" s="210" t="s">
        <v>1514</v>
      </c>
    </row>
    <row r="97" spans="1:6">
      <c r="A97" s="210" t="s">
        <v>539</v>
      </c>
      <c r="B97" s="210">
        <v>39624</v>
      </c>
      <c r="C97" s="210" t="s">
        <v>156</v>
      </c>
      <c r="D97" s="210" t="s">
        <v>156</v>
      </c>
      <c r="E97" s="210">
        <v>1132593</v>
      </c>
      <c r="F97" s="210" t="s">
        <v>1514</v>
      </c>
    </row>
    <row r="98" spans="1:6">
      <c r="A98" s="210" t="s">
        <v>540</v>
      </c>
      <c r="B98" s="210">
        <v>41468</v>
      </c>
      <c r="C98" s="210" t="s">
        <v>158</v>
      </c>
      <c r="D98" s="210" t="s">
        <v>158</v>
      </c>
      <c r="E98" s="210">
        <v>1501646</v>
      </c>
      <c r="F98" s="210" t="s">
        <v>1514</v>
      </c>
    </row>
    <row r="99" spans="1:6">
      <c r="A99" s="210" t="s">
        <v>541</v>
      </c>
      <c r="B99" s="210">
        <v>25482</v>
      </c>
      <c r="C99" s="210" t="s">
        <v>160</v>
      </c>
      <c r="D99" s="210" t="s">
        <v>160</v>
      </c>
      <c r="E99" s="210">
        <v>2103173</v>
      </c>
      <c r="F99" s="210" t="s">
        <v>1514</v>
      </c>
    </row>
    <row r="100" spans="1:6">
      <c r="A100" s="210" t="s">
        <v>542</v>
      </c>
      <c r="B100" s="210">
        <v>20277</v>
      </c>
      <c r="C100" s="210" t="s">
        <v>162</v>
      </c>
      <c r="D100" s="210" t="s">
        <v>162</v>
      </c>
      <c r="E100" s="210">
        <v>1852217</v>
      </c>
      <c r="F100" s="210" t="s">
        <v>1514</v>
      </c>
    </row>
    <row r="101" spans="1:6">
      <c r="A101" s="210" t="s">
        <v>543</v>
      </c>
      <c r="B101" s="210">
        <v>39235</v>
      </c>
      <c r="C101" s="210" t="s">
        <v>1577</v>
      </c>
      <c r="D101" s="210" t="s">
        <v>1577</v>
      </c>
      <c r="E101" s="210">
        <v>2172598</v>
      </c>
      <c r="F101" s="210" t="s">
        <v>1514</v>
      </c>
    </row>
    <row r="102" spans="1:6">
      <c r="A102" s="210" t="s">
        <v>544</v>
      </c>
      <c r="B102" s="210">
        <v>30851</v>
      </c>
      <c r="C102" s="210" t="s">
        <v>165</v>
      </c>
      <c r="D102" s="210" t="s">
        <v>165</v>
      </c>
      <c r="E102" s="210">
        <v>2345892</v>
      </c>
      <c r="F102" s="210" t="s">
        <v>1514</v>
      </c>
    </row>
    <row r="103" spans="1:6">
      <c r="A103" s="210" t="s">
        <v>545</v>
      </c>
      <c r="B103" s="210">
        <v>39847</v>
      </c>
      <c r="C103" s="210" t="s">
        <v>167</v>
      </c>
      <c r="D103" s="210" t="s">
        <v>167</v>
      </c>
      <c r="E103" s="210">
        <v>1864879</v>
      </c>
      <c r="F103" s="210" t="s">
        <v>1514</v>
      </c>
    </row>
    <row r="104" spans="1:6">
      <c r="A104" s="210" t="s">
        <v>546</v>
      </c>
      <c r="B104" s="210">
        <v>23617</v>
      </c>
      <c r="C104" s="210" t="s">
        <v>1578</v>
      </c>
      <c r="D104" s="210" t="s">
        <v>1578</v>
      </c>
      <c r="E104" s="210">
        <v>2089978</v>
      </c>
      <c r="F104" s="210" t="s">
        <v>1514</v>
      </c>
    </row>
    <row r="105" spans="1:6">
      <c r="A105" s="210" t="s">
        <v>547</v>
      </c>
      <c r="B105" s="210">
        <v>27873</v>
      </c>
      <c r="C105" s="210" t="s">
        <v>1579</v>
      </c>
      <c r="D105" s="210" t="s">
        <v>1579</v>
      </c>
      <c r="E105" s="210">
        <v>2327728</v>
      </c>
      <c r="F105" s="210" t="s">
        <v>1514</v>
      </c>
    </row>
    <row r="106" spans="1:6">
      <c r="A106" s="210" t="s">
        <v>548</v>
      </c>
      <c r="B106" s="210">
        <v>24071</v>
      </c>
      <c r="C106" s="210" t="s">
        <v>1580</v>
      </c>
      <c r="D106" s="210" t="s">
        <v>1580</v>
      </c>
      <c r="E106" s="210">
        <v>2118213</v>
      </c>
      <c r="F106" s="210" t="s">
        <v>1514</v>
      </c>
    </row>
    <row r="107" spans="1:6">
      <c r="A107" s="210" t="s">
        <v>549</v>
      </c>
      <c r="B107" s="210">
        <v>23021</v>
      </c>
      <c r="C107" s="210" t="s">
        <v>172</v>
      </c>
      <c r="D107" s="210" t="s">
        <v>172</v>
      </c>
      <c r="E107" s="210">
        <v>1844501</v>
      </c>
      <c r="F107" s="210" t="s">
        <v>1514</v>
      </c>
    </row>
    <row r="108" spans="1:6">
      <c r="A108" s="210" t="s">
        <v>550</v>
      </c>
      <c r="B108" s="210">
        <v>37588</v>
      </c>
      <c r="C108" s="210" t="s">
        <v>174</v>
      </c>
      <c r="D108" s="210" t="s">
        <v>174</v>
      </c>
      <c r="E108" s="210">
        <v>2112071</v>
      </c>
      <c r="F108" s="210" t="s">
        <v>1514</v>
      </c>
    </row>
    <row r="109" spans="1:6">
      <c r="A109" s="210" t="s">
        <v>551</v>
      </c>
      <c r="B109" s="210">
        <v>26700</v>
      </c>
      <c r="C109" s="210" t="s">
        <v>176</v>
      </c>
      <c r="D109" s="210" t="s">
        <v>176</v>
      </c>
      <c r="E109" s="210">
        <v>2109796</v>
      </c>
      <c r="F109" s="210" t="s">
        <v>1514</v>
      </c>
    </row>
    <row r="110" spans="1:6">
      <c r="A110" s="210" t="s">
        <v>552</v>
      </c>
      <c r="B110" s="210">
        <v>23165</v>
      </c>
      <c r="C110" s="210" t="s">
        <v>178</v>
      </c>
      <c r="D110" s="210" t="s">
        <v>178</v>
      </c>
      <c r="E110" s="210">
        <v>2088077</v>
      </c>
      <c r="F110" s="210" t="s">
        <v>1514</v>
      </c>
    </row>
    <row r="111" spans="1:6">
      <c r="A111" s="210" t="s">
        <v>553</v>
      </c>
      <c r="B111" s="210">
        <v>33689</v>
      </c>
      <c r="C111" s="210" t="s">
        <v>1581</v>
      </c>
      <c r="D111" s="210" t="s">
        <v>1581</v>
      </c>
      <c r="E111" s="210">
        <v>2320484</v>
      </c>
      <c r="F111" s="210" t="s">
        <v>1514</v>
      </c>
    </row>
    <row r="112" spans="1:6">
      <c r="A112" s="210" t="s">
        <v>554</v>
      </c>
      <c r="B112" s="210">
        <v>33313</v>
      </c>
      <c r="C112" s="210" t="s">
        <v>1582</v>
      </c>
      <c r="D112" s="210" t="s">
        <v>1582</v>
      </c>
      <c r="E112" s="210">
        <v>2347343</v>
      </c>
      <c r="F112" s="210" t="s">
        <v>1514</v>
      </c>
    </row>
    <row r="113" spans="1:6">
      <c r="A113" s="210" t="s">
        <v>555</v>
      </c>
      <c r="B113" s="210">
        <v>38900</v>
      </c>
      <c r="C113" s="210" t="s">
        <v>182</v>
      </c>
      <c r="D113" s="210" t="s">
        <v>182</v>
      </c>
      <c r="E113" s="210">
        <v>1455713</v>
      </c>
      <c r="F113" s="210" t="s">
        <v>1514</v>
      </c>
    </row>
    <row r="114" spans="1:6">
      <c r="A114" s="210" t="s">
        <v>556</v>
      </c>
      <c r="B114" s="210">
        <v>41106</v>
      </c>
      <c r="C114" s="210" t="s">
        <v>1583</v>
      </c>
      <c r="D114" s="210" t="s">
        <v>1583</v>
      </c>
      <c r="E114" s="210">
        <v>1815772</v>
      </c>
      <c r="F114" s="210" t="s">
        <v>1514</v>
      </c>
    </row>
    <row r="115" spans="1:6">
      <c r="A115" s="210" t="s">
        <v>557</v>
      </c>
      <c r="B115" s="210">
        <v>30245</v>
      </c>
      <c r="C115" s="210" t="s">
        <v>185</v>
      </c>
      <c r="D115" s="210" t="s">
        <v>185</v>
      </c>
      <c r="E115" s="210">
        <v>2341407</v>
      </c>
      <c r="F115" s="210" t="s">
        <v>1514</v>
      </c>
    </row>
    <row r="116" spans="1:6">
      <c r="A116" s="210" t="s">
        <v>558</v>
      </c>
      <c r="B116" s="210">
        <v>20158</v>
      </c>
      <c r="C116" s="210" t="s">
        <v>1584</v>
      </c>
      <c r="D116" s="210" t="s">
        <v>1584</v>
      </c>
      <c r="E116" s="210">
        <v>1851387</v>
      </c>
      <c r="F116" s="210" t="s">
        <v>1514</v>
      </c>
    </row>
    <row r="117" spans="1:6">
      <c r="A117" s="210" t="s">
        <v>559</v>
      </c>
      <c r="B117" s="210">
        <v>38712</v>
      </c>
      <c r="C117" s="210" t="s">
        <v>189</v>
      </c>
      <c r="D117" s="210" t="s">
        <v>189</v>
      </c>
      <c r="E117" s="210">
        <v>957850</v>
      </c>
      <c r="F117" s="210" t="s">
        <v>1514</v>
      </c>
    </row>
    <row r="118" spans="1:6">
      <c r="A118" s="210" t="s">
        <v>560</v>
      </c>
      <c r="B118" s="210">
        <v>49385</v>
      </c>
      <c r="C118" s="210" t="s">
        <v>1585</v>
      </c>
      <c r="D118" s="210" t="s">
        <v>1585</v>
      </c>
      <c r="E118" s="210">
        <v>2388404</v>
      </c>
      <c r="F118" s="210" t="s">
        <v>1514</v>
      </c>
    </row>
    <row r="119" spans="1:6">
      <c r="A119" s="210" t="s">
        <v>561</v>
      </c>
      <c r="B119" s="210">
        <v>25320</v>
      </c>
      <c r="C119" s="210" t="s">
        <v>270</v>
      </c>
      <c r="D119" s="210" t="s">
        <v>270</v>
      </c>
      <c r="E119" s="210">
        <v>2201238</v>
      </c>
      <c r="F119" s="210" t="s">
        <v>1514</v>
      </c>
    </row>
    <row r="120" spans="1:6">
      <c r="A120" s="210" t="s">
        <v>562</v>
      </c>
      <c r="B120" s="210">
        <v>39964</v>
      </c>
      <c r="C120" s="210" t="s">
        <v>191</v>
      </c>
      <c r="D120" s="210" t="s">
        <v>191</v>
      </c>
      <c r="E120" s="210">
        <v>2305580</v>
      </c>
      <c r="F120" s="210" t="s">
        <v>1514</v>
      </c>
    </row>
    <row r="121" spans="1:6">
      <c r="A121" s="210" t="s">
        <v>563</v>
      </c>
      <c r="B121" s="210">
        <v>40068</v>
      </c>
      <c r="C121" s="210" t="s">
        <v>1586</v>
      </c>
      <c r="D121" s="210" t="s">
        <v>1586</v>
      </c>
      <c r="E121" s="210">
        <v>2416886</v>
      </c>
      <c r="F121" s="210" t="s">
        <v>1514</v>
      </c>
    </row>
    <row r="122" spans="1:6">
      <c r="A122" s="210" t="s">
        <v>564</v>
      </c>
      <c r="B122" s="210">
        <v>39805</v>
      </c>
      <c r="C122" s="210" t="s">
        <v>1587</v>
      </c>
      <c r="D122" s="210" t="s">
        <v>1587</v>
      </c>
      <c r="E122" s="210">
        <v>1767237</v>
      </c>
      <c r="F122" s="210" t="s">
        <v>1514</v>
      </c>
    </row>
    <row r="123" spans="1:6">
      <c r="A123" s="210" t="s">
        <v>565</v>
      </c>
      <c r="B123" s="210">
        <v>36420</v>
      </c>
      <c r="C123" s="210" t="s">
        <v>1588</v>
      </c>
      <c r="D123" s="210" t="s">
        <v>1588</v>
      </c>
      <c r="E123" s="210">
        <v>2126340</v>
      </c>
      <c r="F123" s="210" t="s">
        <v>1514</v>
      </c>
    </row>
    <row r="124" spans="1:6">
      <c r="A124" s="210" t="s">
        <v>566</v>
      </c>
      <c r="B124" s="210">
        <v>55693</v>
      </c>
      <c r="C124" s="210" t="s">
        <v>196</v>
      </c>
      <c r="D124" s="210" t="s">
        <v>196</v>
      </c>
      <c r="E124" s="210">
        <v>1818219</v>
      </c>
      <c r="F124" s="210" t="s">
        <v>1514</v>
      </c>
    </row>
    <row r="125" spans="1:6">
      <c r="A125" s="210" t="s">
        <v>567</v>
      </c>
      <c r="B125" s="210">
        <v>57483</v>
      </c>
      <c r="C125" s="210" t="s">
        <v>1589</v>
      </c>
      <c r="D125" s="210" t="s">
        <v>1589</v>
      </c>
      <c r="E125" s="210">
        <v>1848116</v>
      </c>
      <c r="F125" s="210" t="s">
        <v>1514</v>
      </c>
    </row>
    <row r="126" spans="1:6">
      <c r="A126" s="210" t="s">
        <v>568</v>
      </c>
      <c r="B126" s="210">
        <v>25576</v>
      </c>
      <c r="C126" s="210" t="s">
        <v>199</v>
      </c>
      <c r="D126" s="210" t="s">
        <v>199</v>
      </c>
      <c r="E126" s="210">
        <v>2208622</v>
      </c>
      <c r="F126" s="210" t="s">
        <v>1514</v>
      </c>
    </row>
    <row r="127" spans="1:6">
      <c r="A127" s="210" t="s">
        <v>569</v>
      </c>
      <c r="B127" s="210">
        <v>17418</v>
      </c>
      <c r="C127" s="210" t="s">
        <v>201</v>
      </c>
      <c r="D127" s="210" t="s">
        <v>201</v>
      </c>
      <c r="E127" s="210">
        <v>1436500</v>
      </c>
      <c r="F127" s="210" t="s">
        <v>1514</v>
      </c>
    </row>
    <row r="128" spans="1:6">
      <c r="A128" s="210" t="s">
        <v>570</v>
      </c>
      <c r="B128" s="210">
        <v>47217</v>
      </c>
      <c r="C128" s="210" t="s">
        <v>203</v>
      </c>
      <c r="D128" s="210" t="s">
        <v>203</v>
      </c>
      <c r="E128" s="210">
        <v>2144205</v>
      </c>
      <c r="F128" s="210" t="s">
        <v>1514</v>
      </c>
    </row>
    <row r="129" spans="1:6">
      <c r="A129" s="210" t="s">
        <v>571</v>
      </c>
      <c r="B129" s="210">
        <v>47172</v>
      </c>
      <c r="C129" s="210" t="s">
        <v>205</v>
      </c>
      <c r="D129" s="210" t="s">
        <v>205</v>
      </c>
      <c r="E129" s="210">
        <v>1448040</v>
      </c>
      <c r="F129" s="210" t="s">
        <v>1514</v>
      </c>
    </row>
    <row r="130" spans="1:6">
      <c r="A130" s="210" t="s">
        <v>572</v>
      </c>
      <c r="B130" s="210">
        <v>37125</v>
      </c>
      <c r="C130" s="210" t="s">
        <v>207</v>
      </c>
      <c r="D130" s="210" t="s">
        <v>207</v>
      </c>
      <c r="E130" s="210">
        <v>1832055</v>
      </c>
      <c r="F130" s="210" t="s">
        <v>1514</v>
      </c>
    </row>
    <row r="131" spans="1:6">
      <c r="A131" s="210" t="s">
        <v>573</v>
      </c>
      <c r="B131" s="210">
        <v>38022</v>
      </c>
      <c r="C131" s="210" t="s">
        <v>1590</v>
      </c>
      <c r="D131" s="210" t="s">
        <v>1590</v>
      </c>
      <c r="E131" s="210">
        <v>1287323</v>
      </c>
      <c r="F131" s="210" t="s">
        <v>1514</v>
      </c>
    </row>
    <row r="132" spans="1:6">
      <c r="A132" s="210" t="s">
        <v>574</v>
      </c>
      <c r="B132" s="210">
        <v>36797</v>
      </c>
      <c r="C132" s="210" t="s">
        <v>1591</v>
      </c>
      <c r="D132" s="210" t="s">
        <v>1591</v>
      </c>
      <c r="E132" s="210">
        <v>1445411</v>
      </c>
      <c r="F132" s="210" t="s">
        <v>1514</v>
      </c>
    </row>
    <row r="133" spans="1:6">
      <c r="A133" s="210" t="s">
        <v>575</v>
      </c>
      <c r="B133" s="210">
        <v>25850</v>
      </c>
      <c r="C133" s="210" t="s">
        <v>211</v>
      </c>
      <c r="D133" s="210" t="s">
        <v>211</v>
      </c>
      <c r="E133" s="210">
        <v>2140390</v>
      </c>
      <c r="F133" s="210" t="s">
        <v>1514</v>
      </c>
    </row>
    <row r="134" spans="1:6">
      <c r="A134" s="210" t="s">
        <v>576</v>
      </c>
      <c r="B134" s="210">
        <v>20634</v>
      </c>
      <c r="C134" s="210" t="s">
        <v>213</v>
      </c>
      <c r="D134" s="210" t="s">
        <v>213</v>
      </c>
      <c r="E134" s="210">
        <v>1830373</v>
      </c>
      <c r="F134" s="210" t="s">
        <v>1514</v>
      </c>
    </row>
    <row r="135" spans="1:6">
      <c r="A135" s="210" t="s">
        <v>577</v>
      </c>
      <c r="B135" s="210">
        <v>34859</v>
      </c>
      <c r="C135" s="210" t="s">
        <v>1592</v>
      </c>
      <c r="D135" s="210" t="s">
        <v>1592</v>
      </c>
      <c r="E135" s="210">
        <v>2347919</v>
      </c>
      <c r="F135" s="210" t="s">
        <v>1514</v>
      </c>
    </row>
    <row r="136" spans="1:6">
      <c r="A136" s="210" t="s">
        <v>578</v>
      </c>
      <c r="B136" s="210">
        <v>25365</v>
      </c>
      <c r="C136" s="210" t="s">
        <v>216</v>
      </c>
      <c r="D136" s="210" t="s">
        <v>216</v>
      </c>
      <c r="E136" s="210">
        <v>2102640</v>
      </c>
      <c r="F136" s="210" t="s">
        <v>1514</v>
      </c>
    </row>
    <row r="137" spans="1:6">
      <c r="A137" s="210" t="s">
        <v>579</v>
      </c>
      <c r="B137" s="210">
        <v>31042</v>
      </c>
      <c r="C137" s="210" t="s">
        <v>1593</v>
      </c>
      <c r="D137" s="210" t="s">
        <v>1593</v>
      </c>
      <c r="E137" s="210">
        <v>2373287</v>
      </c>
      <c r="F137" s="210" t="s">
        <v>1514</v>
      </c>
    </row>
    <row r="138" spans="1:6">
      <c r="A138" s="210" t="s">
        <v>580</v>
      </c>
      <c r="B138" s="210">
        <v>33292</v>
      </c>
      <c r="C138" s="210" t="s">
        <v>219</v>
      </c>
      <c r="D138" s="210" t="s">
        <v>219</v>
      </c>
      <c r="E138" s="210">
        <v>2309354</v>
      </c>
      <c r="F138" s="210" t="s">
        <v>1514</v>
      </c>
    </row>
    <row r="139" spans="1:6">
      <c r="A139" s="210" t="s">
        <v>581</v>
      </c>
      <c r="B139" s="210">
        <v>84937</v>
      </c>
      <c r="C139" s="210" t="s">
        <v>1594</v>
      </c>
      <c r="D139" s="210" t="s">
        <v>1594</v>
      </c>
      <c r="E139" s="210">
        <v>482412</v>
      </c>
      <c r="F139" s="210" t="s">
        <v>1514</v>
      </c>
    </row>
    <row r="140" spans="1:6">
      <c r="A140" s="210" t="s">
        <v>582</v>
      </c>
      <c r="B140" s="210">
        <v>40447</v>
      </c>
      <c r="C140" s="210" t="s">
        <v>222</v>
      </c>
      <c r="D140" s="210" t="s">
        <v>222</v>
      </c>
      <c r="E140" s="210">
        <v>1608406</v>
      </c>
      <c r="F140" s="210" t="s">
        <v>1514</v>
      </c>
    </row>
    <row r="141" spans="1:6">
      <c r="A141" s="210" t="s">
        <v>583</v>
      </c>
      <c r="B141" s="210">
        <v>30246</v>
      </c>
      <c r="C141" s="210" t="s">
        <v>1595</v>
      </c>
      <c r="D141" s="210" t="s">
        <v>1595</v>
      </c>
      <c r="E141" s="210">
        <v>2366643</v>
      </c>
      <c r="F141" s="210" t="s">
        <v>1514</v>
      </c>
    </row>
    <row r="142" spans="1:6">
      <c r="A142" s="210" t="s">
        <v>584</v>
      </c>
      <c r="B142" s="210">
        <v>26739</v>
      </c>
      <c r="C142" s="210" t="s">
        <v>225</v>
      </c>
      <c r="D142" s="210" t="s">
        <v>225</v>
      </c>
      <c r="E142" s="210">
        <v>2152679</v>
      </c>
      <c r="F142" s="210" t="s">
        <v>1514</v>
      </c>
    </row>
    <row r="143" spans="1:6">
      <c r="A143" s="210" t="s">
        <v>585</v>
      </c>
      <c r="B143" s="210">
        <v>27719</v>
      </c>
      <c r="C143" s="210" t="s">
        <v>1596</v>
      </c>
      <c r="D143" s="210" t="s">
        <v>1596</v>
      </c>
      <c r="E143" s="210">
        <v>2327104</v>
      </c>
      <c r="F143" s="210" t="s">
        <v>1514</v>
      </c>
    </row>
    <row r="144" spans="1:6">
      <c r="A144" s="210" t="s">
        <v>586</v>
      </c>
      <c r="B144" s="210">
        <v>24607</v>
      </c>
      <c r="C144" s="210" t="s">
        <v>1597</v>
      </c>
      <c r="D144" s="210" t="s">
        <v>1597</v>
      </c>
      <c r="E144" s="210">
        <v>2179595</v>
      </c>
      <c r="F144" s="210" t="s">
        <v>1514</v>
      </c>
    </row>
    <row r="145" spans="1:6">
      <c r="A145" s="210" t="s">
        <v>587</v>
      </c>
      <c r="B145" s="210">
        <v>38995</v>
      </c>
      <c r="C145" s="210" t="s">
        <v>1598</v>
      </c>
      <c r="D145" s="210" t="s">
        <v>1598</v>
      </c>
      <c r="E145" s="210">
        <v>1730123</v>
      </c>
      <c r="F145" s="210" t="s">
        <v>1514</v>
      </c>
    </row>
    <row r="146" spans="1:6">
      <c r="A146" s="210" t="s">
        <v>588</v>
      </c>
      <c r="B146" s="210">
        <v>24758</v>
      </c>
      <c r="C146" s="210" t="s">
        <v>1599</v>
      </c>
      <c r="D146" s="210" t="s">
        <v>1599</v>
      </c>
      <c r="E146" s="210">
        <v>2304928</v>
      </c>
      <c r="F146" s="210" t="s">
        <v>1514</v>
      </c>
    </row>
    <row r="147" spans="1:6">
      <c r="A147" s="210" t="s">
        <v>589</v>
      </c>
      <c r="B147" s="210">
        <v>40045</v>
      </c>
      <c r="C147" s="210" t="s">
        <v>1600</v>
      </c>
      <c r="D147" s="210" t="s">
        <v>1600</v>
      </c>
      <c r="E147" s="210">
        <v>2366020</v>
      </c>
      <c r="F147" s="210" t="s">
        <v>1514</v>
      </c>
    </row>
    <row r="148" spans="1:6">
      <c r="A148" s="210" t="s">
        <v>590</v>
      </c>
      <c r="B148" s="210">
        <v>41750</v>
      </c>
      <c r="C148" s="210" t="s">
        <v>231</v>
      </c>
      <c r="D148" s="210" t="s">
        <v>231</v>
      </c>
      <c r="E148" s="210">
        <v>2156293</v>
      </c>
      <c r="F148" s="210" t="s">
        <v>1514</v>
      </c>
    </row>
    <row r="149" spans="1:6">
      <c r="A149" s="210" t="s">
        <v>591</v>
      </c>
      <c r="B149" s="210">
        <v>89576</v>
      </c>
      <c r="C149" s="210" t="s">
        <v>1601</v>
      </c>
      <c r="D149" s="210" t="s">
        <v>1601</v>
      </c>
      <c r="E149" s="210" t="s">
        <v>418</v>
      </c>
      <c r="F149" s="210" t="s">
        <v>1514</v>
      </c>
    </row>
    <row r="150" spans="1:6">
      <c r="A150" s="210" t="s">
        <v>592</v>
      </c>
      <c r="B150" s="210">
        <v>35166</v>
      </c>
      <c r="C150" s="210" t="s">
        <v>235</v>
      </c>
      <c r="D150" s="210" t="s">
        <v>235</v>
      </c>
      <c r="E150" s="210">
        <v>1715463</v>
      </c>
      <c r="F150" s="210" t="s">
        <v>1514</v>
      </c>
    </row>
    <row r="151" spans="1:6">
      <c r="A151" s="210" t="s">
        <v>593</v>
      </c>
      <c r="B151" s="210">
        <v>29141</v>
      </c>
      <c r="C151" s="210" t="s">
        <v>1602</v>
      </c>
      <c r="D151" s="210" t="s">
        <v>1602</v>
      </c>
      <c r="E151" s="210">
        <v>2332451</v>
      </c>
      <c r="F151" s="210" t="s">
        <v>1514</v>
      </c>
    </row>
    <row r="152" spans="1:6">
      <c r="A152" s="210" t="s">
        <v>594</v>
      </c>
      <c r="B152" s="210">
        <v>25081</v>
      </c>
      <c r="C152" s="210" t="s">
        <v>238</v>
      </c>
      <c r="D152" s="210" t="s">
        <v>238</v>
      </c>
      <c r="E152" s="210">
        <v>2096785</v>
      </c>
      <c r="F152" s="210" t="s">
        <v>1514</v>
      </c>
    </row>
    <row r="153" spans="1:6">
      <c r="A153" s="210" t="s">
        <v>595</v>
      </c>
      <c r="B153" s="210">
        <v>22409</v>
      </c>
      <c r="C153" s="210" t="s">
        <v>1603</v>
      </c>
      <c r="D153" s="210" t="s">
        <v>1603</v>
      </c>
      <c r="E153" s="210">
        <v>2010805</v>
      </c>
      <c r="F153" s="210" t="s">
        <v>1514</v>
      </c>
    </row>
    <row r="154" spans="1:6">
      <c r="A154" s="210" t="s">
        <v>596</v>
      </c>
      <c r="B154" s="210">
        <v>34244</v>
      </c>
      <c r="C154" s="210" t="s">
        <v>1604</v>
      </c>
      <c r="D154" s="210" t="s">
        <v>1604</v>
      </c>
      <c r="E154" s="210">
        <v>1860900</v>
      </c>
      <c r="F154" s="210" t="s">
        <v>1514</v>
      </c>
    </row>
    <row r="155" spans="1:6">
      <c r="A155" s="210" t="s">
        <v>597</v>
      </c>
      <c r="B155" s="210">
        <v>25492</v>
      </c>
      <c r="C155" s="210" t="s">
        <v>1605</v>
      </c>
      <c r="D155" s="210" t="s">
        <v>1605</v>
      </c>
      <c r="E155" s="210">
        <v>2308227</v>
      </c>
      <c r="F155" s="210" t="s">
        <v>1514</v>
      </c>
    </row>
    <row r="156" spans="1:6">
      <c r="A156" s="210" t="s">
        <v>598</v>
      </c>
      <c r="B156" s="210">
        <v>41524</v>
      </c>
      <c r="C156" s="210" t="s">
        <v>243</v>
      </c>
      <c r="D156" s="210" t="s">
        <v>243</v>
      </c>
      <c r="E156" s="210">
        <v>1823178</v>
      </c>
      <c r="F156" s="210" t="s">
        <v>1514</v>
      </c>
    </row>
    <row r="157" spans="1:6">
      <c r="A157" s="210" t="s">
        <v>599</v>
      </c>
      <c r="B157" s="210">
        <v>26983</v>
      </c>
      <c r="C157" s="210" t="s">
        <v>1606</v>
      </c>
      <c r="D157" s="210" t="s">
        <v>1606</v>
      </c>
      <c r="E157" s="210">
        <v>2155841</v>
      </c>
      <c r="F157" s="210" t="s">
        <v>1514</v>
      </c>
    </row>
    <row r="158" spans="1:6">
      <c r="A158" s="210" t="s">
        <v>600</v>
      </c>
      <c r="B158" s="210">
        <v>36864</v>
      </c>
      <c r="C158" s="210" t="s">
        <v>245</v>
      </c>
      <c r="D158" s="210" t="s">
        <v>245</v>
      </c>
      <c r="E158" s="210">
        <v>1722529</v>
      </c>
      <c r="F158" s="210" t="s">
        <v>1514</v>
      </c>
    </row>
    <row r="159" spans="1:6">
      <c r="A159" s="210" t="s">
        <v>601</v>
      </c>
      <c r="B159" s="210">
        <v>24991</v>
      </c>
      <c r="C159" s="210" t="s">
        <v>1607</v>
      </c>
      <c r="D159" s="210" t="s">
        <v>1607</v>
      </c>
      <c r="E159" s="210">
        <v>2305656</v>
      </c>
      <c r="F159" s="210" t="s">
        <v>1514</v>
      </c>
    </row>
    <row r="160" spans="1:6">
      <c r="A160" s="210" t="s">
        <v>602</v>
      </c>
      <c r="B160" s="210">
        <v>28190</v>
      </c>
      <c r="C160" s="210" t="s">
        <v>1608</v>
      </c>
      <c r="D160" s="210" t="s">
        <v>1608</v>
      </c>
      <c r="E160" s="210">
        <v>2328822</v>
      </c>
      <c r="F160" s="210" t="s">
        <v>1514</v>
      </c>
    </row>
    <row r="161" spans="1:6">
      <c r="A161" s="210" t="s">
        <v>603</v>
      </c>
      <c r="B161" s="210">
        <v>39152</v>
      </c>
      <c r="C161" s="210" t="s">
        <v>1609</v>
      </c>
      <c r="D161" s="210" t="s">
        <v>1609</v>
      </c>
      <c r="E161" s="210">
        <v>2103308</v>
      </c>
      <c r="F161" s="210" t="s">
        <v>1514</v>
      </c>
    </row>
    <row r="162" spans="1:6">
      <c r="A162" s="210" t="s">
        <v>604</v>
      </c>
      <c r="B162" s="210">
        <v>24813</v>
      </c>
      <c r="C162" s="210" t="s">
        <v>1610</v>
      </c>
      <c r="D162" s="210" t="s">
        <v>1610</v>
      </c>
      <c r="E162" s="210">
        <v>2186479</v>
      </c>
      <c r="F162" s="210" t="s">
        <v>1514</v>
      </c>
    </row>
    <row r="163" spans="1:6">
      <c r="A163" s="210" t="s">
        <v>605</v>
      </c>
      <c r="B163" s="210">
        <v>30028</v>
      </c>
      <c r="C163" s="210" t="s">
        <v>1611</v>
      </c>
      <c r="D163" s="210" t="s">
        <v>1611</v>
      </c>
      <c r="E163" s="210">
        <v>2340555</v>
      </c>
      <c r="F163" s="210" t="s">
        <v>1514</v>
      </c>
    </row>
    <row r="164" spans="1:6">
      <c r="A164" s="210" t="s">
        <v>606</v>
      </c>
      <c r="B164" s="210">
        <v>50606</v>
      </c>
      <c r="C164" s="210" t="s">
        <v>1612</v>
      </c>
      <c r="D164" s="210" t="s">
        <v>1612</v>
      </c>
      <c r="E164" s="210">
        <v>1823614</v>
      </c>
      <c r="F164" s="210" t="s">
        <v>1514</v>
      </c>
    </row>
    <row r="165" spans="1:6">
      <c r="A165" s="210" t="s">
        <v>607</v>
      </c>
      <c r="B165" s="210">
        <v>36477</v>
      </c>
      <c r="C165" s="210" t="s">
        <v>254</v>
      </c>
      <c r="D165" s="210" t="s">
        <v>254</v>
      </c>
      <c r="E165" s="210">
        <v>1908825</v>
      </c>
      <c r="F165" s="210" t="s">
        <v>1514</v>
      </c>
    </row>
    <row r="166" spans="1:6">
      <c r="A166" s="210" t="s">
        <v>608</v>
      </c>
      <c r="B166" s="210">
        <v>26123</v>
      </c>
      <c r="C166" s="210" t="s">
        <v>256</v>
      </c>
      <c r="D166" s="210" t="s">
        <v>256</v>
      </c>
      <c r="E166" s="210">
        <v>2219934</v>
      </c>
      <c r="F166" s="210" t="s">
        <v>1514</v>
      </c>
    </row>
    <row r="167" spans="1:6">
      <c r="A167" s="210" t="s">
        <v>609</v>
      </c>
      <c r="B167" s="210">
        <v>28253</v>
      </c>
      <c r="C167" s="210" t="s">
        <v>1613</v>
      </c>
      <c r="D167" s="210" t="s">
        <v>1613</v>
      </c>
      <c r="E167" s="210">
        <v>2353833</v>
      </c>
      <c r="F167" s="210" t="s">
        <v>1514</v>
      </c>
    </row>
    <row r="168" spans="1:6">
      <c r="A168" s="210" t="s">
        <v>610</v>
      </c>
      <c r="B168" s="210">
        <v>34786</v>
      </c>
      <c r="C168" s="210" t="s">
        <v>1614</v>
      </c>
      <c r="D168" s="210" t="s">
        <v>1614</v>
      </c>
      <c r="E168" s="210">
        <v>2113490</v>
      </c>
      <c r="F168" s="210" t="s">
        <v>1514</v>
      </c>
    </row>
    <row r="169" spans="1:6">
      <c r="A169" s="210" t="s">
        <v>611</v>
      </c>
      <c r="B169" s="210">
        <v>27904</v>
      </c>
      <c r="C169" s="210" t="s">
        <v>1615</v>
      </c>
      <c r="D169" s="210" t="s">
        <v>1615</v>
      </c>
      <c r="E169" s="210">
        <v>2351852</v>
      </c>
      <c r="F169" s="210" t="s">
        <v>1514</v>
      </c>
    </row>
    <row r="170" spans="1:6">
      <c r="A170" s="210" t="s">
        <v>612</v>
      </c>
      <c r="B170" s="210">
        <v>42488</v>
      </c>
      <c r="C170" s="210" t="s">
        <v>1616</v>
      </c>
      <c r="D170" s="210" t="s">
        <v>1616</v>
      </c>
      <c r="E170" s="210">
        <v>2141604</v>
      </c>
      <c r="F170" s="210" t="s">
        <v>1514</v>
      </c>
    </row>
    <row r="171" spans="1:6">
      <c r="A171" s="210" t="s">
        <v>613</v>
      </c>
      <c r="B171" s="210">
        <v>35786</v>
      </c>
      <c r="C171" s="210" t="s">
        <v>1617</v>
      </c>
      <c r="D171" s="210" t="s">
        <v>1617</v>
      </c>
      <c r="E171" s="210">
        <v>2373926</v>
      </c>
      <c r="F171" s="210" t="s">
        <v>1514</v>
      </c>
    </row>
    <row r="172" spans="1:6">
      <c r="A172" s="210" t="s">
        <v>614</v>
      </c>
      <c r="B172" s="210">
        <v>36162</v>
      </c>
      <c r="C172" s="210" t="s">
        <v>1618</v>
      </c>
      <c r="D172" s="210" t="s">
        <v>1618</v>
      </c>
      <c r="E172" s="210">
        <v>1437039</v>
      </c>
      <c r="F172" s="210" t="s">
        <v>1514</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K250"/>
  <sheetViews>
    <sheetView workbookViewId="0"/>
  </sheetViews>
  <sheetFormatPr defaultRowHeight="14.4"/>
  <cols>
    <col min="1" max="1" width="27.21875" bestFit="1" customWidth="1"/>
    <col min="2" max="2" width="6" bestFit="1" customWidth="1"/>
    <col min="3" max="3" width="27.109375" bestFit="1" customWidth="1"/>
    <col min="4" max="4" width="27.109375" customWidth="1"/>
    <col min="5" max="5" width="12.21875" bestFit="1" customWidth="1"/>
    <col min="6" max="6" width="30.77734375" customWidth="1"/>
    <col min="7" max="7" width="12.88671875" style="2" bestFit="1" customWidth="1"/>
    <col min="8" max="8" width="12.21875" style="3" customWidth="1"/>
    <col min="9" max="9" width="20.5546875" style="3" bestFit="1" customWidth="1"/>
    <col min="10" max="10" width="15.88671875" style="3" customWidth="1"/>
    <col min="11" max="11" width="17.109375" style="3" customWidth="1"/>
  </cols>
  <sheetData>
    <row r="1" spans="1:11">
      <c r="A1" t="str">
        <f t="shared" ref="A1:F4" si="0">Ulwazi &amp; ""</f>
        <v>Student</v>
      </c>
      <c r="B1" t="str">
        <f t="shared" si="0"/>
        <v>ID</v>
      </c>
      <c r="C1" t="str">
        <f t="shared" si="0"/>
        <v>SIS User ID</v>
      </c>
      <c r="D1" t="str">
        <f t="shared" si="0"/>
        <v>SIS Login ID</v>
      </c>
      <c r="E1" t="str">
        <f t="shared" si="0"/>
        <v>Integration ID</v>
      </c>
      <c r="F1" t="str">
        <f t="shared" si="0"/>
        <v>Section</v>
      </c>
      <c r="H1" s="3" t="s">
        <v>443</v>
      </c>
      <c r="I1" s="3" t="s">
        <v>621</v>
      </c>
    </row>
    <row r="2" spans="1:11">
      <c r="A2" t="str">
        <f t="shared" si="0"/>
        <v/>
      </c>
      <c r="B2" t="str">
        <f t="shared" si="0"/>
        <v/>
      </c>
      <c r="C2" t="str">
        <f t="shared" si="0"/>
        <v/>
      </c>
      <c r="D2" t="str">
        <f t="shared" si="0"/>
        <v/>
      </c>
      <c r="E2" t="str">
        <f t="shared" si="0"/>
        <v/>
      </c>
      <c r="F2" t="str">
        <f t="shared" si="0"/>
        <v/>
      </c>
    </row>
    <row r="3" spans="1:11">
      <c r="A3" t="str">
        <f t="shared" si="0"/>
        <v xml:space="preserve">    Points Possible</v>
      </c>
      <c r="B3" t="str">
        <f t="shared" si="0"/>
        <v/>
      </c>
      <c r="C3" t="str">
        <f t="shared" si="0"/>
        <v/>
      </c>
      <c r="D3" t="str">
        <f t="shared" si="0"/>
        <v/>
      </c>
      <c r="E3" t="str">
        <f t="shared" si="0"/>
        <v/>
      </c>
      <c r="F3" t="s">
        <v>1009</v>
      </c>
      <c r="G3" s="158" t="s">
        <v>1362</v>
      </c>
    </row>
    <row r="4" spans="1:11">
      <c r="A4" s="7" t="str">
        <f t="shared" si="0"/>
        <v/>
      </c>
      <c r="B4" s="7" t="str">
        <f t="shared" si="0"/>
        <v/>
      </c>
      <c r="C4" s="7" t="str">
        <f t="shared" si="0"/>
        <v/>
      </c>
      <c r="D4" s="7" t="str">
        <f t="shared" si="0"/>
        <v/>
      </c>
      <c r="E4" s="7" t="str">
        <f t="shared" si="0"/>
        <v/>
      </c>
      <c r="F4" s="7" t="str">
        <f t="shared" si="0"/>
        <v/>
      </c>
    </row>
    <row r="5" spans="1:11">
      <c r="A5" s="135"/>
      <c r="B5" s="135"/>
      <c r="C5" s="135"/>
      <c r="D5" s="135"/>
      <c r="E5" s="135"/>
      <c r="F5" s="135"/>
    </row>
    <row r="6" spans="1:11">
      <c r="A6" s="134" t="str">
        <f>UlwaziExport[]&amp;""</f>
        <v>Abrahams, Shuraygh-suwayd</v>
      </c>
      <c r="B6" s="134" t="str">
        <f>UlwaziExport[]&amp;""</f>
        <v>39844</v>
      </c>
      <c r="C6" s="134" t="str">
        <f>UlwaziExport[]&amp;""</f>
        <v>1906349@students.wits.ac.za</v>
      </c>
      <c r="D6" s="134" t="str">
        <f>UlwaziExport[]&amp;""</f>
        <v>1906349@students.wits.ac.za</v>
      </c>
      <c r="E6" s="134" t="str">
        <f>UlwaziExport[]&amp;""</f>
        <v>1906349</v>
      </c>
      <c r="F6" s="134" t="str">
        <f>UlwaziExport[]&amp;""</f>
        <v>Software Development II-2022-GEN</v>
      </c>
      <c r="G6" s="2" t="str">
        <f ca="1">IF(AND(G$1&lt;&gt;"",$A6&lt;&gt;""),_xlfn.IFNA(INDEX(INDIRECT($G$3&amp;"["&amp;G$1&amp;"]"),MATCH(TRIM(LEFT($D6,FIND("@",$D6)-1)),INDIRECT($G$3&amp;"[[Student No.]:[Student No.]]"),0))&amp;"","Missing!"),"")</f>
        <v/>
      </c>
      <c r="H6" s="3" t="str">
        <f t="shared" ref="H6:K21" ca="1" si="1">IF(AND(H$1&lt;&gt;"",$A6&lt;&gt;""),_xlfn.IFNA(INDEX(INDIRECT($G$3&amp;"["&amp;H$1&amp;"]"),MATCH(TRIM(LEFT($D6,FIND("@",$D6)-1)),INDIRECT($G$3&amp;"[[Student No.]:[Student No.]]"),0))&amp;"","Missing!"),"")</f>
        <v>0</v>
      </c>
      <c r="I6" s="3" t="str">
        <f t="shared" ca="1" si="1"/>
        <v>Pull request not found using search query</v>
      </c>
      <c r="J6" s="3" t="str">
        <f t="shared" ca="1" si="1"/>
        <v/>
      </c>
      <c r="K6" s="3" t="str">
        <f t="shared" ca="1" si="1"/>
        <v/>
      </c>
    </row>
    <row r="7" spans="1:11">
      <c r="A7" s="134" t="str">
        <f>UlwaziExport[]&amp;""</f>
        <v>Akhalwaya, Ateka</v>
      </c>
      <c r="B7" s="134" t="str">
        <f>UlwaziExport[]&amp;""</f>
        <v>40529</v>
      </c>
      <c r="C7" s="134" t="str">
        <f>UlwaziExport[]&amp;""</f>
        <v>1845217@students.wits.ac.za</v>
      </c>
      <c r="D7" s="134" t="str">
        <f>UlwaziExport[]&amp;""</f>
        <v>1845217@students.wits.ac.za</v>
      </c>
      <c r="E7" s="134" t="str">
        <f>UlwaziExport[]&amp;""</f>
        <v>1845217</v>
      </c>
      <c r="F7" s="134" t="str">
        <f>UlwaziExport[]&amp;""</f>
        <v>Software Development II-2022-GEN</v>
      </c>
      <c r="G7" s="2" t="str">
        <f t="shared" ref="G7:K48" ca="1" si="2">IF(AND(G$1&lt;&gt;"",$A7&lt;&gt;""),_xlfn.IFNA(INDEX(INDIRECT($G$3&amp;"["&amp;G$1&amp;"]"),MATCH(TRIM(LEFT($D7,FIND("@",$D7)-1)),INDIRECT($G$3&amp;"[[Student No.]:[Student No.]]"),0))&amp;"","Missing!"),"")</f>
        <v/>
      </c>
      <c r="H7" s="3" t="str">
        <f t="shared" ca="1" si="1"/>
        <v>1</v>
      </c>
      <c r="I7" s="3" t="str">
        <f t="shared" ca="1" si="1"/>
        <v/>
      </c>
      <c r="J7" s="3" t="str">
        <f t="shared" ca="1" si="1"/>
        <v/>
      </c>
      <c r="K7" s="3" t="str">
        <f t="shared" ca="1" si="1"/>
        <v/>
      </c>
    </row>
    <row r="8" spans="1:11">
      <c r="A8" s="134" t="str">
        <f>UlwaziExport[]&amp;""</f>
        <v>Anas, Syed Mohammad Khizar</v>
      </c>
      <c r="B8" s="134" t="str">
        <f>UlwaziExport[]&amp;""</f>
        <v>43198</v>
      </c>
      <c r="C8" s="134" t="str">
        <f>UlwaziExport[]&amp;""</f>
        <v>2166010@students.wits.ac.za</v>
      </c>
      <c r="D8" s="134" t="str">
        <f>UlwaziExport[]&amp;""</f>
        <v>2166010@students.wits.ac.za</v>
      </c>
      <c r="E8" s="134" t="str">
        <f>UlwaziExport[]&amp;""</f>
        <v>2166010</v>
      </c>
      <c r="F8" s="134" t="str">
        <f>UlwaziExport[]&amp;""</f>
        <v>Software Development II-2022-GEN</v>
      </c>
      <c r="G8" s="2" t="str">
        <f t="shared" ca="1" si="2"/>
        <v/>
      </c>
      <c r="H8" s="3" t="str">
        <f t="shared" ca="1" si="1"/>
        <v>0</v>
      </c>
      <c r="I8" s="3" t="str">
        <f t="shared" ca="1" si="1"/>
        <v>Pull request not found using search query</v>
      </c>
      <c r="J8" s="3" t="str">
        <f t="shared" ca="1" si="1"/>
        <v/>
      </c>
      <c r="K8" s="3" t="str">
        <f t="shared" ca="1" si="1"/>
        <v/>
      </c>
    </row>
    <row r="9" spans="1:11">
      <c r="A9" s="134" t="str">
        <f>UlwaziExport[]&amp;""</f>
        <v>Antunes, Michael</v>
      </c>
      <c r="B9" s="134" t="str">
        <f>UlwaziExport[]&amp;""</f>
        <v>41211</v>
      </c>
      <c r="C9" s="134" t="str">
        <f>UlwaziExport[]&amp;""</f>
        <v>2377042@students.wits.ac.za</v>
      </c>
      <c r="D9" s="134" t="str">
        <f>UlwaziExport[]&amp;""</f>
        <v>2377042@students.wits.ac.za</v>
      </c>
      <c r="E9" s="134" t="str">
        <f>UlwaziExport[]&amp;""</f>
        <v>2377042</v>
      </c>
      <c r="F9" s="134" t="str">
        <f>UlwaziExport[]&amp;""</f>
        <v>Software Development II-2022-GEN</v>
      </c>
      <c r="G9" s="2" t="str">
        <f t="shared" ca="1" si="2"/>
        <v/>
      </c>
      <c r="H9" s="3" t="str">
        <f t="shared" ca="1" si="1"/>
        <v>0</v>
      </c>
      <c r="I9" s="3" t="str">
        <f t="shared" ca="1" si="1"/>
        <v>Pull request not found using search query</v>
      </c>
      <c r="J9" s="3" t="str">
        <f t="shared" ca="1" si="1"/>
        <v/>
      </c>
      <c r="K9" s="3" t="str">
        <f t="shared" ca="1" si="1"/>
        <v/>
      </c>
    </row>
    <row r="10" spans="1:11">
      <c r="A10" s="134" t="str">
        <f>UlwaziExport[]&amp;""</f>
        <v>Areff, Nur'ain</v>
      </c>
      <c r="B10" s="134" t="str">
        <f>UlwaziExport[]&amp;""</f>
        <v>25493</v>
      </c>
      <c r="C10" s="134" t="str">
        <f>UlwaziExport[]&amp;""</f>
        <v>2136605@students.wits.ac.za</v>
      </c>
      <c r="D10" s="134" t="str">
        <f>UlwaziExport[]&amp;""</f>
        <v>2136605@students.wits.ac.za</v>
      </c>
      <c r="E10" s="134" t="str">
        <f>UlwaziExport[]&amp;""</f>
        <v>2136605</v>
      </c>
      <c r="F10" s="134" t="str">
        <f>UlwaziExport[]&amp;""</f>
        <v>Software Development II-2022-GEN</v>
      </c>
      <c r="G10" s="2" t="str">
        <f t="shared" ca="1" si="2"/>
        <v/>
      </c>
      <c r="H10" s="3" t="str">
        <f t="shared" ca="1" si="1"/>
        <v>1</v>
      </c>
      <c r="I10" s="3" t="str">
        <f t="shared" ca="1" si="1"/>
        <v/>
      </c>
      <c r="J10" s="3" t="str">
        <f t="shared" ca="1" si="1"/>
        <v/>
      </c>
      <c r="K10" s="3" t="str">
        <f t="shared" ca="1" si="1"/>
        <v/>
      </c>
    </row>
    <row r="11" spans="1:11">
      <c r="A11" s="134" t="str">
        <f>UlwaziExport[]&amp;""</f>
        <v>Badat, Uwais</v>
      </c>
      <c r="B11" s="134" t="str">
        <f>UlwaziExport[]&amp;""</f>
        <v>24536</v>
      </c>
      <c r="C11" s="134" t="str">
        <f>UlwaziExport[]&amp;""</f>
        <v>2304150@students.wits.ac.za</v>
      </c>
      <c r="D11" s="134" t="str">
        <f>UlwaziExport[]&amp;""</f>
        <v>2304150@students.wits.ac.za</v>
      </c>
      <c r="E11" s="134" t="str">
        <f>UlwaziExport[]&amp;""</f>
        <v>2304150</v>
      </c>
      <c r="F11" s="134" t="str">
        <f>UlwaziExport[]&amp;""</f>
        <v>Software Development II-2022-GEN</v>
      </c>
      <c r="G11" s="2" t="str">
        <f t="shared" ca="1" si="2"/>
        <v/>
      </c>
      <c r="H11" s="3" t="str">
        <f t="shared" ca="1" si="1"/>
        <v>0</v>
      </c>
      <c r="I11" s="3" t="str">
        <f t="shared" ca="1" si="1"/>
        <v>Pull request not found using search query</v>
      </c>
      <c r="J11" s="3" t="str">
        <f t="shared" ca="1" si="1"/>
        <v/>
      </c>
      <c r="K11" s="3" t="str">
        <f t="shared" ca="1" si="1"/>
        <v/>
      </c>
    </row>
    <row r="12" spans="1:11">
      <c r="A12" s="134" t="str">
        <f>UlwaziExport[]&amp;""</f>
        <v>Bagapi, Gosego</v>
      </c>
      <c r="B12" s="134" t="str">
        <f>UlwaziExport[]&amp;""</f>
        <v>40564</v>
      </c>
      <c r="C12" s="134" t="str">
        <f>UlwaziExport[]&amp;""</f>
        <v>1849732@students.wits.ac.za</v>
      </c>
      <c r="D12" s="134" t="str">
        <f>UlwaziExport[]&amp;""</f>
        <v>1849732@students.wits.ac.za</v>
      </c>
      <c r="E12" s="134" t="str">
        <f>UlwaziExport[]&amp;""</f>
        <v>1849732</v>
      </c>
      <c r="F12" s="134" t="str">
        <f>UlwaziExport[]&amp;""</f>
        <v>Software Development II-2022-GEN</v>
      </c>
      <c r="G12" s="2" t="str">
        <f t="shared" ca="1" si="2"/>
        <v/>
      </c>
      <c r="H12" s="3" t="str">
        <f t="shared" ca="1" si="1"/>
        <v>0</v>
      </c>
      <c r="I12" s="3" t="str">
        <f t="shared" ca="1" si="1"/>
        <v>Missing or partial/inadequate solution</v>
      </c>
      <c r="J12" s="3" t="str">
        <f t="shared" ca="1" si="1"/>
        <v/>
      </c>
      <c r="K12" s="3" t="str">
        <f t="shared" ca="1" si="1"/>
        <v/>
      </c>
    </row>
    <row r="13" spans="1:11">
      <c r="A13" s="134" t="str">
        <f>UlwaziExport[]&amp;""</f>
        <v>Baloyi, Tebogo</v>
      </c>
      <c r="B13" s="134" t="str">
        <f>UlwaziExport[]&amp;""</f>
        <v>19910</v>
      </c>
      <c r="C13" s="134" t="str">
        <f>UlwaziExport[]&amp;""</f>
        <v>1826929@students.wits.ac.za</v>
      </c>
      <c r="D13" s="134" t="str">
        <f>UlwaziExport[]&amp;""</f>
        <v>1826929@students.wits.ac.za</v>
      </c>
      <c r="E13" s="134" t="str">
        <f>UlwaziExport[]&amp;""</f>
        <v>1826929</v>
      </c>
      <c r="F13" s="134" t="str">
        <f>UlwaziExport[]&amp;""</f>
        <v>Software Development II-2022-GEN</v>
      </c>
      <c r="G13" s="2" t="str">
        <f t="shared" ca="1" si="2"/>
        <v/>
      </c>
      <c r="H13" s="3" t="str">
        <f t="shared" ca="1" si="1"/>
        <v/>
      </c>
      <c r="I13" s="3" t="str">
        <f t="shared" ca="1" si="1"/>
        <v/>
      </c>
      <c r="J13" s="3" t="str">
        <f t="shared" ca="1" si="1"/>
        <v/>
      </c>
      <c r="K13" s="3" t="str">
        <f t="shared" ca="1" si="1"/>
        <v/>
      </c>
    </row>
    <row r="14" spans="1:11">
      <c r="A14" s="134" t="str">
        <f>UlwaziExport[]&amp;""</f>
        <v>Bekezulu, Tshegofatso</v>
      </c>
      <c r="B14" s="134" t="str">
        <f>UlwaziExport[]&amp;""</f>
        <v>27881</v>
      </c>
      <c r="C14" s="134" t="str">
        <f>UlwaziExport[]&amp;""</f>
        <v>2327745@students.wits.ac.za</v>
      </c>
      <c r="D14" s="134" t="str">
        <f>UlwaziExport[]&amp;""</f>
        <v>2327745@students.wits.ac.za</v>
      </c>
      <c r="E14" s="134" t="str">
        <f>UlwaziExport[]&amp;""</f>
        <v>2327745</v>
      </c>
      <c r="F14" s="134" t="str">
        <f>UlwaziExport[]&amp;""</f>
        <v>Software Development II-2022-GEN</v>
      </c>
      <c r="G14" s="2" t="str">
        <f t="shared" ca="1" si="2"/>
        <v/>
      </c>
      <c r="H14" s="3" t="str">
        <f t="shared" ca="1" si="1"/>
        <v>1</v>
      </c>
      <c r="I14" s="3" t="str">
        <f t="shared" ca="1" si="1"/>
        <v/>
      </c>
      <c r="J14" s="3" t="str">
        <f t="shared" ca="1" si="1"/>
        <v/>
      </c>
      <c r="K14" s="3" t="str">
        <f t="shared" ca="1" si="1"/>
        <v/>
      </c>
    </row>
    <row r="15" spans="1:11">
      <c r="A15" s="134" t="str">
        <f>UlwaziExport[]&amp;""</f>
        <v>Bepat, Kiyash</v>
      </c>
      <c r="B15" s="134" t="str">
        <f>UlwaziExport[]&amp;""</f>
        <v>37755</v>
      </c>
      <c r="C15" s="134" t="str">
        <f>UlwaziExport[]&amp;""</f>
        <v>2324917@students.wits.ac.za</v>
      </c>
      <c r="D15" s="134" t="str">
        <f>UlwaziExport[]&amp;""</f>
        <v>2324917@students.wits.ac.za</v>
      </c>
      <c r="E15" s="134" t="str">
        <f>UlwaziExport[]&amp;""</f>
        <v>2324917</v>
      </c>
      <c r="F15" s="134" t="str">
        <f>UlwaziExport[]&amp;""</f>
        <v>Software Development II-2022-GEN</v>
      </c>
      <c r="G15" s="2" t="str">
        <f t="shared" ca="1" si="2"/>
        <v/>
      </c>
      <c r="H15" s="3" t="str">
        <f t="shared" ca="1" si="1"/>
        <v>0</v>
      </c>
      <c r="I15" s="3" t="str">
        <f t="shared" ca="1" si="1"/>
        <v>Pull request not found using search query</v>
      </c>
      <c r="J15" s="3" t="str">
        <f t="shared" ca="1" si="1"/>
        <v/>
      </c>
      <c r="K15" s="3" t="str">
        <f t="shared" ca="1" si="1"/>
        <v/>
      </c>
    </row>
    <row r="16" spans="1:11">
      <c r="A16" s="134" t="str">
        <f>UlwaziExport[]&amp;""</f>
        <v>Bera, Oussama</v>
      </c>
      <c r="B16" s="134" t="str">
        <f>UlwaziExport[]&amp;""</f>
        <v>24436</v>
      </c>
      <c r="C16" s="134" t="str">
        <f>UlwaziExport[]&amp;""</f>
        <v>2303789@students.wits.ac.za</v>
      </c>
      <c r="D16" s="134" t="str">
        <f>UlwaziExport[]&amp;""</f>
        <v>2303789@students.wits.ac.za</v>
      </c>
      <c r="E16" s="134" t="str">
        <f>UlwaziExport[]&amp;""</f>
        <v>2303789</v>
      </c>
      <c r="F16" s="134" t="str">
        <f>UlwaziExport[]&amp;""</f>
        <v>Software Development II-2022-GEN</v>
      </c>
      <c r="G16" s="2" t="str">
        <f t="shared" ca="1" si="2"/>
        <v/>
      </c>
      <c r="H16" s="3" t="str">
        <f t="shared" ca="1" si="1"/>
        <v>1</v>
      </c>
      <c r="I16" s="3" t="str">
        <f t="shared" ca="1" si="1"/>
        <v/>
      </c>
      <c r="J16" s="3" t="str">
        <f t="shared" ca="1" si="1"/>
        <v/>
      </c>
      <c r="K16" s="3" t="str">
        <f t="shared" ca="1" si="1"/>
        <v/>
      </c>
    </row>
    <row r="17" spans="1:11">
      <c r="A17" s="134" t="str">
        <f>UlwaziExport[]&amp;""</f>
        <v>Bhaga, Veeral</v>
      </c>
      <c r="B17" s="134" t="str">
        <f>UlwaziExport[]&amp;""</f>
        <v>24589</v>
      </c>
      <c r="C17" s="134" t="str">
        <f>UlwaziExport[]&amp;""</f>
        <v>2094752@students.wits.ac.za</v>
      </c>
      <c r="D17" s="134" t="str">
        <f>UlwaziExport[]&amp;""</f>
        <v>2094752@students.wits.ac.za</v>
      </c>
      <c r="E17" s="134" t="str">
        <f>UlwaziExport[]&amp;""</f>
        <v>2094752</v>
      </c>
      <c r="F17" s="134" t="str">
        <f>UlwaziExport[]&amp;""</f>
        <v>Software Development II-2022-GEN</v>
      </c>
      <c r="G17" s="2" t="str">
        <f t="shared" ca="1" si="2"/>
        <v/>
      </c>
      <c r="H17" s="3" t="str">
        <f t="shared" ca="1" si="1"/>
        <v/>
      </c>
      <c r="I17" s="3" t="str">
        <f t="shared" ca="1" si="1"/>
        <v/>
      </c>
      <c r="J17" s="3" t="str">
        <f t="shared" ca="1" si="1"/>
        <v/>
      </c>
      <c r="K17" s="3" t="str">
        <f t="shared" ca="1" si="1"/>
        <v/>
      </c>
    </row>
    <row r="18" spans="1:11">
      <c r="A18" s="134" t="str">
        <f>UlwaziExport[]&amp;""</f>
        <v>Bux, Muhammad</v>
      </c>
      <c r="B18" s="134" t="str">
        <f>UlwaziExport[]&amp;""</f>
        <v>24929</v>
      </c>
      <c r="C18" s="134" t="str">
        <f>UlwaziExport[]&amp;""</f>
        <v>2130436@students.wits.ac.za</v>
      </c>
      <c r="D18" s="134" t="str">
        <f>UlwaziExport[]&amp;""</f>
        <v>2130436@students.wits.ac.za</v>
      </c>
      <c r="E18" s="134" t="str">
        <f>UlwaziExport[]&amp;""</f>
        <v>2130436</v>
      </c>
      <c r="F18" s="134" t="str">
        <f>UlwaziExport[]&amp;""</f>
        <v>Software Development II-2022-GEN</v>
      </c>
      <c r="G18" s="2" t="str">
        <f t="shared" ca="1" si="2"/>
        <v/>
      </c>
      <c r="H18" s="3" t="str">
        <f t="shared" ca="1" si="1"/>
        <v/>
      </c>
      <c r="I18" s="3" t="str">
        <f t="shared" ca="1" si="1"/>
        <v>Pull request not found using search query</v>
      </c>
      <c r="J18" s="3" t="str">
        <f t="shared" ca="1" si="1"/>
        <v/>
      </c>
      <c r="K18" s="3" t="str">
        <f t="shared" ca="1" si="1"/>
        <v/>
      </c>
    </row>
    <row r="19" spans="1:11">
      <c r="A19" s="134" t="str">
        <f>UlwaziExport[]&amp;""</f>
        <v>Chauke, Erick</v>
      </c>
      <c r="B19" s="134" t="str">
        <f>UlwaziExport[]&amp;""</f>
        <v>58651</v>
      </c>
      <c r="C19" s="134" t="str">
        <f>UlwaziExport[]&amp;""</f>
        <v>1701547@students.wits.ac.za</v>
      </c>
      <c r="D19" s="134" t="str">
        <f>UlwaziExport[]&amp;""</f>
        <v>1701547@students.wits.ac.za</v>
      </c>
      <c r="E19" s="134" t="str">
        <f>UlwaziExport[]&amp;""</f>
        <v>1701547</v>
      </c>
      <c r="F19" s="134" t="str">
        <f>UlwaziExport[]&amp;""</f>
        <v>Software Development II-2022-GEN</v>
      </c>
      <c r="G19" s="2" t="str">
        <f t="shared" ca="1" si="2"/>
        <v/>
      </c>
      <c r="H19" s="3" t="str">
        <f t="shared" ca="1" si="1"/>
        <v/>
      </c>
      <c r="I19" s="3" t="str">
        <f t="shared" ca="1" si="1"/>
        <v/>
      </c>
      <c r="J19" s="3" t="str">
        <f t="shared" ca="1" si="1"/>
        <v/>
      </c>
      <c r="K19" s="3" t="str">
        <f t="shared" ca="1" si="1"/>
        <v/>
      </c>
    </row>
    <row r="20" spans="1:11">
      <c r="A20" s="134" t="str">
        <f>UlwaziExport[]&amp;""</f>
        <v>Chiloane, Israel</v>
      </c>
      <c r="B20" s="134" t="str">
        <f>UlwaziExport[]&amp;""</f>
        <v>35329</v>
      </c>
      <c r="C20" s="134" t="str">
        <f>UlwaziExport[]&amp;""</f>
        <v>2303450@students.wits.ac.za</v>
      </c>
      <c r="D20" s="134" t="str">
        <f>UlwaziExport[]&amp;""</f>
        <v>2303450@students.wits.ac.za</v>
      </c>
      <c r="E20" s="134" t="str">
        <f>UlwaziExport[]&amp;""</f>
        <v>2303450</v>
      </c>
      <c r="F20" s="134" t="str">
        <f>UlwaziExport[]&amp;""</f>
        <v>Software Development II-2022-GEN</v>
      </c>
      <c r="G20" s="2" t="str">
        <f t="shared" ca="1" si="2"/>
        <v/>
      </c>
      <c r="H20" s="3" t="str">
        <f t="shared" ca="1" si="1"/>
        <v/>
      </c>
      <c r="I20" s="3" t="str">
        <f t="shared" ca="1" si="1"/>
        <v>Pull request not found using search query</v>
      </c>
      <c r="J20" s="3" t="str">
        <f t="shared" ca="1" si="1"/>
        <v/>
      </c>
      <c r="K20" s="3" t="str">
        <f t="shared" ca="1" si="1"/>
        <v/>
      </c>
    </row>
    <row r="21" spans="1:11">
      <c r="A21" s="134" t="str">
        <f>UlwaziExport[]&amp;""</f>
        <v>Chipkin, Eitan</v>
      </c>
      <c r="B21" s="134" t="str">
        <f>UlwaziExport[]&amp;""</f>
        <v>25149</v>
      </c>
      <c r="C21" s="134" t="str">
        <f>UlwaziExport[]&amp;""</f>
        <v>2306815@students.wits.ac.za</v>
      </c>
      <c r="D21" s="134" t="str">
        <f>UlwaziExport[]&amp;""</f>
        <v>2306815@students.wits.ac.za</v>
      </c>
      <c r="E21" s="134" t="str">
        <f>UlwaziExport[]&amp;""</f>
        <v>2306815</v>
      </c>
      <c r="F21" s="134" t="str">
        <f>UlwaziExport[]&amp;""</f>
        <v>Software Development II-2022-GEN</v>
      </c>
      <c r="G21" s="2" t="str">
        <f t="shared" ca="1" si="2"/>
        <v/>
      </c>
      <c r="H21" s="3" t="str">
        <f t="shared" ca="1" si="1"/>
        <v/>
      </c>
      <c r="I21" s="3" t="str">
        <f t="shared" ca="1" si="1"/>
        <v>Missing or partial/inadequate solution</v>
      </c>
      <c r="J21" s="3" t="str">
        <f t="shared" ca="1" si="1"/>
        <v/>
      </c>
      <c r="K21" s="3" t="str">
        <f t="shared" ca="1" si="1"/>
        <v/>
      </c>
    </row>
    <row r="22" spans="1:11">
      <c r="A22" s="134" t="str">
        <f>UlwaziExport[]&amp;""</f>
        <v>Cohen, Sam</v>
      </c>
      <c r="B22" s="134" t="str">
        <f>UlwaziExport[]&amp;""</f>
        <v>23892</v>
      </c>
      <c r="C22" s="134" t="str">
        <f>UlwaziExport[]&amp;""</f>
        <v>2168179@students.wits.ac.za</v>
      </c>
      <c r="D22" s="134" t="str">
        <f>UlwaziExport[]&amp;""</f>
        <v>2168179@students.wits.ac.za</v>
      </c>
      <c r="E22" s="134" t="str">
        <f>UlwaziExport[]&amp;""</f>
        <v>2168179</v>
      </c>
      <c r="F22" s="134" t="str">
        <f>UlwaziExport[]&amp;""</f>
        <v>Software Development II-2022-GEN</v>
      </c>
      <c r="G22" s="2" t="str">
        <f t="shared" ca="1" si="2"/>
        <v/>
      </c>
      <c r="H22" s="3" t="str">
        <f t="shared" ca="1" si="2"/>
        <v/>
      </c>
      <c r="I22" s="3" t="str">
        <f t="shared" ca="1" si="2"/>
        <v>Pull request not found using search query</v>
      </c>
      <c r="J22" s="3" t="str">
        <f t="shared" ca="1" si="2"/>
        <v/>
      </c>
      <c r="K22" s="3" t="str">
        <f t="shared" ca="1" si="2"/>
        <v/>
      </c>
    </row>
    <row r="23" spans="1:11">
      <c r="A23" s="134" t="str">
        <f>UlwaziExport[]&amp;""</f>
        <v>Daras, Maria</v>
      </c>
      <c r="B23" s="134" t="str">
        <f>UlwaziExport[]&amp;""</f>
        <v>24157</v>
      </c>
      <c r="C23" s="134" t="str">
        <f>UlwaziExport[]&amp;""</f>
        <v>2118894@students.wits.ac.za</v>
      </c>
      <c r="D23" s="134" t="str">
        <f>UlwaziExport[]&amp;""</f>
        <v>2118894@students.wits.ac.za</v>
      </c>
      <c r="E23" s="134" t="str">
        <f>UlwaziExport[]&amp;""</f>
        <v>2118894</v>
      </c>
      <c r="F23" s="134" t="str">
        <f>UlwaziExport[]&amp;""</f>
        <v>Software Development II-2022-GEN</v>
      </c>
      <c r="G23" s="2" t="str">
        <f t="shared" ca="1" si="2"/>
        <v/>
      </c>
      <c r="H23" s="3" t="str">
        <f t="shared" ca="1" si="2"/>
        <v>1</v>
      </c>
      <c r="I23" s="3" t="str">
        <f t="shared" ca="1" si="2"/>
        <v/>
      </c>
      <c r="J23" s="3" t="str">
        <f t="shared" ca="1" si="2"/>
        <v/>
      </c>
      <c r="K23" s="3" t="str">
        <f t="shared" ca="1" si="2"/>
        <v/>
      </c>
    </row>
    <row r="24" spans="1:11">
      <c r="A24" s="134" t="str">
        <f>UlwaziExport[]&amp;""</f>
        <v>Dibakoane, Tebogo</v>
      </c>
      <c r="B24" s="134" t="str">
        <f>UlwaziExport[]&amp;""</f>
        <v>25241</v>
      </c>
      <c r="C24" s="134" t="str">
        <f>UlwaziExport[]&amp;""</f>
        <v>2199951@students.wits.ac.za</v>
      </c>
      <c r="D24" s="134" t="str">
        <f>UlwaziExport[]&amp;""</f>
        <v>2199951@students.wits.ac.za</v>
      </c>
      <c r="E24" s="134" t="str">
        <f>UlwaziExport[]&amp;""</f>
        <v>2199951</v>
      </c>
      <c r="F24" s="134" t="str">
        <f>UlwaziExport[]&amp;""</f>
        <v>Software Development II-2022-GEN</v>
      </c>
      <c r="G24" s="2" t="str">
        <f t="shared" ca="1" si="2"/>
        <v/>
      </c>
      <c r="H24" s="3" t="str">
        <f t="shared" ca="1" si="2"/>
        <v>1</v>
      </c>
      <c r="I24" s="3" t="str">
        <f t="shared" ca="1" si="2"/>
        <v/>
      </c>
      <c r="J24" s="3" t="str">
        <f t="shared" ca="1" si="2"/>
        <v/>
      </c>
      <c r="K24" s="3" t="str">
        <f t="shared" ca="1" si="2"/>
        <v/>
      </c>
    </row>
    <row r="25" spans="1:11">
      <c r="A25" s="134" t="str">
        <f>UlwaziExport[]&amp;""</f>
        <v>Dladla, Fanelesibonge</v>
      </c>
      <c r="B25" s="134" t="str">
        <f>UlwaziExport[]&amp;""</f>
        <v>38019</v>
      </c>
      <c r="C25" s="134" t="str">
        <f>UlwaziExport[]&amp;""</f>
        <v>1278510@students.wits.ac.za</v>
      </c>
      <c r="D25" s="134" t="str">
        <f>UlwaziExport[]&amp;""</f>
        <v>1278510@students.wits.ac.za</v>
      </c>
      <c r="E25" s="134" t="str">
        <f>UlwaziExport[]&amp;""</f>
        <v>1278510</v>
      </c>
      <c r="F25" s="134" t="str">
        <f>UlwaziExport[]&amp;""</f>
        <v>Software Development II-2022-GEN</v>
      </c>
      <c r="G25" s="2" t="str">
        <f t="shared" ca="1" si="2"/>
        <v/>
      </c>
      <c r="H25" s="3" t="str">
        <f t="shared" ca="1" si="2"/>
        <v>1</v>
      </c>
      <c r="I25" s="3" t="str">
        <f t="shared" ca="1" si="2"/>
        <v/>
      </c>
      <c r="J25" s="3" t="str">
        <f t="shared" ca="1" si="2"/>
        <v/>
      </c>
      <c r="K25" s="3" t="str">
        <f t="shared" ca="1" si="2"/>
        <v/>
      </c>
    </row>
    <row r="26" spans="1:11">
      <c r="A26" s="134" t="str">
        <f>UlwaziExport[]&amp;""</f>
        <v>Dlamini, Njabulo</v>
      </c>
      <c r="B26" s="134" t="str">
        <f>UlwaziExport[]&amp;""</f>
        <v>42226</v>
      </c>
      <c r="C26" s="134" t="str">
        <f>UlwaziExport[]&amp;""</f>
        <v>1610736@students.wits.ac.za</v>
      </c>
      <c r="D26" s="134" t="str">
        <f>UlwaziExport[]&amp;""</f>
        <v>1610736@students.wits.ac.za</v>
      </c>
      <c r="E26" s="134" t="str">
        <f>UlwaziExport[]&amp;""</f>
        <v>1610736</v>
      </c>
      <c r="F26" s="134" t="str">
        <f>UlwaziExport[]&amp;""</f>
        <v>Software Development II-2022-GEN</v>
      </c>
      <c r="G26" s="2" t="str">
        <f t="shared" ca="1" si="2"/>
        <v/>
      </c>
      <c r="H26" s="3" t="str">
        <f t="shared" ca="1" si="2"/>
        <v>0</v>
      </c>
      <c r="I26" s="3" t="str">
        <f t="shared" ca="1" si="2"/>
        <v>Missing or partial/inadequate solution</v>
      </c>
      <c r="J26" s="3" t="str">
        <f t="shared" ca="1" si="2"/>
        <v/>
      </c>
      <c r="K26" s="3" t="str">
        <f t="shared" ca="1" si="2"/>
        <v/>
      </c>
    </row>
    <row r="27" spans="1:11">
      <c r="A27" s="134" t="str">
        <f>UlwaziExport[]&amp;""</f>
        <v>Dlamini, Nolwazi</v>
      </c>
      <c r="B27" s="134" t="str">
        <f>UlwaziExport[]&amp;""</f>
        <v>41162</v>
      </c>
      <c r="C27" s="134" t="str">
        <f>UlwaziExport[]&amp;""</f>
        <v>2090845@students.wits.ac.za</v>
      </c>
      <c r="D27" s="134" t="str">
        <f>UlwaziExport[]&amp;""</f>
        <v>2090845@students.wits.ac.za</v>
      </c>
      <c r="E27" s="134" t="str">
        <f>UlwaziExport[]&amp;""</f>
        <v>2090845</v>
      </c>
      <c r="F27" s="134" t="str">
        <f>UlwaziExport[]&amp;""</f>
        <v>Software Development II-2022-GEN</v>
      </c>
      <c r="G27" s="2" t="str">
        <f t="shared" ca="1" si="2"/>
        <v/>
      </c>
      <c r="H27" s="3" t="str">
        <f t="shared" ca="1" si="2"/>
        <v>0</v>
      </c>
      <c r="I27" s="3" t="str">
        <f t="shared" ca="1" si="2"/>
        <v>Pull request not found using search query</v>
      </c>
      <c r="J27" s="3" t="str">
        <f t="shared" ca="1" si="2"/>
        <v/>
      </c>
      <c r="K27" s="3" t="str">
        <f t="shared" ca="1" si="2"/>
        <v/>
      </c>
    </row>
    <row r="28" spans="1:11">
      <c r="A28" s="134" t="str">
        <f>UlwaziExport[]&amp;""</f>
        <v>Dlezi, Thuthukani</v>
      </c>
      <c r="B28" s="134" t="str">
        <f>UlwaziExport[]&amp;""</f>
        <v>45985</v>
      </c>
      <c r="C28" s="134" t="str">
        <f>UlwaziExport[]&amp;""</f>
        <v>1660819@students.wits.ac.za</v>
      </c>
      <c r="D28" s="134" t="str">
        <f>UlwaziExport[]&amp;""</f>
        <v>1660819@students.wits.ac.za</v>
      </c>
      <c r="E28" s="134" t="str">
        <f>UlwaziExport[]&amp;""</f>
        <v>1660819</v>
      </c>
      <c r="F28" s="134" t="str">
        <f>UlwaziExport[]&amp;""</f>
        <v>Software Development II-2022-GEN</v>
      </c>
      <c r="G28" s="2" t="str">
        <f t="shared" ca="1" si="2"/>
        <v/>
      </c>
      <c r="H28" s="3" t="str">
        <f t="shared" ca="1" si="2"/>
        <v>0</v>
      </c>
      <c r="I28" s="3" t="str">
        <f t="shared" ca="1" si="2"/>
        <v>Pull request not found using search query</v>
      </c>
      <c r="J28" s="3" t="str">
        <f t="shared" ca="1" si="2"/>
        <v/>
      </c>
      <c r="K28" s="3" t="str">
        <f t="shared" ca="1" si="2"/>
        <v/>
      </c>
    </row>
    <row r="29" spans="1:11">
      <c r="A29" s="134" t="str">
        <f>UlwaziExport[]&amp;""</f>
        <v>Docrat, Hamzah</v>
      </c>
      <c r="B29" s="134" t="str">
        <f>UlwaziExport[]&amp;""</f>
        <v>30231</v>
      </c>
      <c r="C29" s="134" t="str">
        <f>UlwaziExport[]&amp;""</f>
        <v>2366542@students.wits.ac.za</v>
      </c>
      <c r="D29" s="134" t="str">
        <f>UlwaziExport[]&amp;""</f>
        <v>2366542@students.wits.ac.za</v>
      </c>
      <c r="E29" s="134" t="str">
        <f>UlwaziExport[]&amp;""</f>
        <v>2366542</v>
      </c>
      <c r="F29" s="134" t="str">
        <f>UlwaziExport[]&amp;""</f>
        <v>Software Development II-2022-GEN</v>
      </c>
      <c r="G29" s="2" t="str">
        <f t="shared" ca="1" si="2"/>
        <v/>
      </c>
      <c r="H29" s="3" t="str">
        <f t="shared" ca="1" si="2"/>
        <v>0</v>
      </c>
      <c r="I29" s="3" t="str">
        <f t="shared" ca="1" si="2"/>
        <v>Missing or partial/inadequate solution</v>
      </c>
      <c r="J29" s="3" t="str">
        <f t="shared" ca="1" si="2"/>
        <v/>
      </c>
      <c r="K29" s="3" t="str">
        <f t="shared" ca="1" si="2"/>
        <v/>
      </c>
    </row>
    <row r="30" spans="1:11">
      <c r="A30" s="134" t="str">
        <f>UlwaziExport[]&amp;""</f>
        <v>Dworcan, Jess</v>
      </c>
      <c r="B30" s="134" t="str">
        <f>UlwaziExport[]&amp;""</f>
        <v>37610</v>
      </c>
      <c r="C30" s="134" t="str">
        <f>UlwaziExport[]&amp;""</f>
        <v>1924564@students.wits.ac.za</v>
      </c>
      <c r="D30" s="134" t="str">
        <f>UlwaziExport[]&amp;""</f>
        <v>1924564@students.wits.ac.za</v>
      </c>
      <c r="E30" s="134" t="str">
        <f>UlwaziExport[]&amp;""</f>
        <v>1924564</v>
      </c>
      <c r="F30" s="134" t="str">
        <f>UlwaziExport[]&amp;""</f>
        <v>Software Development II-2022-GEN</v>
      </c>
      <c r="G30" s="2" t="str">
        <f t="shared" ca="1" si="2"/>
        <v/>
      </c>
      <c r="H30" s="3" t="str">
        <f t="shared" ca="1" si="2"/>
        <v>1</v>
      </c>
      <c r="I30" s="3" t="str">
        <f t="shared" ca="1" si="2"/>
        <v/>
      </c>
      <c r="J30" s="3" t="str">
        <f t="shared" ca="1" si="2"/>
        <v/>
      </c>
      <c r="K30" s="3" t="str">
        <f t="shared" ca="1" si="2"/>
        <v/>
      </c>
    </row>
    <row r="31" spans="1:11">
      <c r="A31" s="134" t="str">
        <f>UlwaziExport[]&amp;""</f>
        <v>Elliott, Taine</v>
      </c>
      <c r="B31" s="134" t="str">
        <f>UlwaziExport[]&amp;""</f>
        <v>24785</v>
      </c>
      <c r="C31" s="134" t="str">
        <f>UlwaziExport[]&amp;""</f>
        <v>2129200@students.wits.ac.za</v>
      </c>
      <c r="D31" s="134" t="str">
        <f>UlwaziExport[]&amp;""</f>
        <v>2129200@students.wits.ac.za</v>
      </c>
      <c r="E31" s="134" t="str">
        <f>UlwaziExport[]&amp;""</f>
        <v>2129200</v>
      </c>
      <c r="F31" s="134" t="str">
        <f>UlwaziExport[]&amp;""</f>
        <v>Software Development II-2022-GEN</v>
      </c>
      <c r="G31" s="2" t="str">
        <f t="shared" ca="1" si="2"/>
        <v/>
      </c>
      <c r="H31" s="3" t="str">
        <f t="shared" ca="1" si="2"/>
        <v>0</v>
      </c>
      <c r="I31" s="3" t="str">
        <f t="shared" ca="1" si="2"/>
        <v>Pull request not found using search query</v>
      </c>
      <c r="J31" s="3" t="str">
        <f t="shared" ca="1" si="2"/>
        <v/>
      </c>
      <c r="K31" s="3" t="str">
        <f t="shared" ca="1" si="2"/>
        <v/>
      </c>
    </row>
    <row r="32" spans="1:11">
      <c r="A32" s="134" t="str">
        <f>UlwaziExport[]&amp;""</f>
        <v>Ellis, Reuben</v>
      </c>
      <c r="B32" s="134" t="str">
        <f>UlwaziExport[]&amp;""</f>
        <v>24210</v>
      </c>
      <c r="C32" s="134" t="str">
        <f>UlwaziExport[]&amp;""</f>
        <v>2173105@students.wits.ac.za</v>
      </c>
      <c r="D32" s="134" t="str">
        <f>UlwaziExport[]&amp;""</f>
        <v>2173105@students.wits.ac.za</v>
      </c>
      <c r="E32" s="134" t="str">
        <f>UlwaziExport[]&amp;""</f>
        <v>2173105</v>
      </c>
      <c r="F32" s="134" t="str">
        <f>UlwaziExport[]&amp;""</f>
        <v>Software Development II-2022-GEN</v>
      </c>
      <c r="G32" s="2" t="str">
        <f t="shared" ca="1" si="2"/>
        <v/>
      </c>
      <c r="H32" s="3" t="str">
        <f t="shared" ca="1" si="2"/>
        <v>1</v>
      </c>
      <c r="I32" s="3" t="str">
        <f t="shared" ca="1" si="2"/>
        <v/>
      </c>
      <c r="J32" s="3" t="str">
        <f t="shared" ca="1" si="2"/>
        <v/>
      </c>
      <c r="K32" s="3" t="str">
        <f t="shared" ca="1" si="2"/>
        <v/>
      </c>
    </row>
    <row r="33" spans="1:11">
      <c r="A33" s="134" t="str">
        <f>UlwaziExport[]&amp;""</f>
        <v>Feldman, Tyrique</v>
      </c>
      <c r="B33" s="134" t="str">
        <f>UlwaziExport[]&amp;""</f>
        <v>26255</v>
      </c>
      <c r="C33" s="134" t="str">
        <f>UlwaziExport[]&amp;""</f>
        <v>2231460@students.wits.ac.za</v>
      </c>
      <c r="D33" s="134" t="str">
        <f>UlwaziExport[]&amp;""</f>
        <v>2231460@students.wits.ac.za</v>
      </c>
      <c r="E33" s="134" t="str">
        <f>UlwaziExport[]&amp;""</f>
        <v>2231460</v>
      </c>
      <c r="F33" s="134" t="str">
        <f>UlwaziExport[]&amp;""</f>
        <v>Software Development II-2022-GEN</v>
      </c>
      <c r="G33" s="2" t="str">
        <f t="shared" ca="1" si="2"/>
        <v/>
      </c>
      <c r="H33" s="3" t="str">
        <f t="shared" ca="1" si="2"/>
        <v>0</v>
      </c>
      <c r="I33" s="3" t="str">
        <f t="shared" ca="1" si="2"/>
        <v>Pull request not found using search query</v>
      </c>
      <c r="J33" s="3" t="str">
        <f t="shared" ca="1" si="2"/>
        <v/>
      </c>
      <c r="K33" s="3" t="str">
        <f t="shared" ca="1" si="2"/>
        <v/>
      </c>
    </row>
    <row r="34" spans="1:11">
      <c r="A34" s="134" t="str">
        <f>UlwaziExport[]&amp;""</f>
        <v>Finger, Shehwar</v>
      </c>
      <c r="B34" s="134" t="str">
        <f>UlwaziExport[]&amp;""</f>
        <v>20638</v>
      </c>
      <c r="C34" s="134" t="str">
        <f>UlwaziExport[]&amp;""</f>
        <v>1830380@students.wits.ac.za</v>
      </c>
      <c r="D34" s="134" t="str">
        <f>UlwaziExport[]&amp;""</f>
        <v>1830380@students.wits.ac.za</v>
      </c>
      <c r="E34" s="134" t="str">
        <f>UlwaziExport[]&amp;""</f>
        <v>1830380</v>
      </c>
      <c r="F34" s="134" t="str">
        <f>UlwaziExport[]&amp;""</f>
        <v>Software Development II-2022-GEN</v>
      </c>
      <c r="G34" s="2" t="str">
        <f t="shared" ca="1" si="2"/>
        <v/>
      </c>
      <c r="H34" s="3" t="str">
        <f t="shared" ca="1" si="2"/>
        <v>0</v>
      </c>
      <c r="I34" s="3" t="str">
        <f t="shared" ca="1" si="2"/>
        <v>Pull request not found using search query</v>
      </c>
      <c r="J34" s="3" t="str">
        <f t="shared" ca="1" si="2"/>
        <v/>
      </c>
      <c r="K34" s="3" t="str">
        <f t="shared" ca="1" si="2"/>
        <v/>
      </c>
    </row>
    <row r="35" spans="1:11">
      <c r="A35" s="134" t="str">
        <f>UlwaziExport[]&amp;""</f>
        <v>Fipaza, Olwethu</v>
      </c>
      <c r="B35" s="134" t="str">
        <f>UlwaziExport[]&amp;""</f>
        <v>35683</v>
      </c>
      <c r="C35" s="134" t="str">
        <f>UlwaziExport[]&amp;""</f>
        <v>1877695@students.wits.ac.za</v>
      </c>
      <c r="D35" s="134" t="str">
        <f>UlwaziExport[]&amp;""</f>
        <v>1877695@students.wits.ac.za</v>
      </c>
      <c r="E35" s="134" t="str">
        <f>UlwaziExport[]&amp;""</f>
        <v>1877695</v>
      </c>
      <c r="F35" s="134" t="str">
        <f>UlwaziExport[]&amp;""</f>
        <v>Software Development II-2022-GEN</v>
      </c>
      <c r="G35" s="2" t="str">
        <f t="shared" ca="1" si="2"/>
        <v/>
      </c>
      <c r="H35" s="3" t="str">
        <f t="shared" ca="1" si="2"/>
        <v>1</v>
      </c>
      <c r="I35" s="3" t="str">
        <f t="shared" ca="1" si="2"/>
        <v/>
      </c>
      <c r="J35" s="3" t="str">
        <f t="shared" ca="1" si="2"/>
        <v/>
      </c>
      <c r="K35" s="3" t="str">
        <f t="shared" ca="1" si="2"/>
        <v/>
      </c>
    </row>
    <row r="36" spans="1:11">
      <c r="A36" s="134" t="str">
        <f>UlwaziExport[]&amp;""</f>
        <v>Fisher, Clint</v>
      </c>
      <c r="B36" s="134" t="str">
        <f>UlwaziExport[]&amp;""</f>
        <v>27095</v>
      </c>
      <c r="C36" s="134" t="str">
        <f>UlwaziExport[]&amp;""</f>
        <v>2323162@students.wits.ac.za</v>
      </c>
      <c r="D36" s="134" t="str">
        <f>UlwaziExport[]&amp;""</f>
        <v>2323162@students.wits.ac.za</v>
      </c>
      <c r="E36" s="134" t="str">
        <f>UlwaziExport[]&amp;""</f>
        <v>2323162</v>
      </c>
      <c r="F36" s="134" t="str">
        <f>UlwaziExport[]&amp;""</f>
        <v>Software Development II-2022-GEN</v>
      </c>
      <c r="G36" s="2" t="str">
        <f t="shared" ca="1" si="2"/>
        <v/>
      </c>
      <c r="H36" s="3" t="str">
        <f t="shared" ca="1" si="2"/>
        <v>0</v>
      </c>
      <c r="I36" s="3" t="str">
        <f t="shared" ca="1" si="2"/>
        <v>Pull request not found using search query</v>
      </c>
      <c r="J36" s="3" t="str">
        <f t="shared" ca="1" si="2"/>
        <v/>
      </c>
      <c r="K36" s="3" t="str">
        <f t="shared" ref="K36:K66" ca="1" si="3">IF(AND(K$1&lt;&gt;"",$A36&lt;&gt;""),_xlfn.IFNA(INDEX(INDIRECT($G$3&amp;"["&amp;K$1&amp;"]"),MATCH(TRIM(LEFT($D36,FIND("@",$D36)-1)),INDIRECT($G$3&amp;"[[Student No.]:[Student No.]]"),0))&amp;"","Missing!"),"")</f>
        <v/>
      </c>
    </row>
    <row r="37" spans="1:11">
      <c r="A37" s="134" t="str">
        <f>UlwaziExport[]&amp;""</f>
        <v>Gcanga, Tsietsi</v>
      </c>
      <c r="B37" s="134" t="str">
        <f>UlwaziExport[]&amp;""</f>
        <v>25757</v>
      </c>
      <c r="C37" s="134" t="str">
        <f>UlwaziExport[]&amp;""</f>
        <v>2104199@students.wits.ac.za</v>
      </c>
      <c r="D37" s="134" t="str">
        <f>UlwaziExport[]&amp;""</f>
        <v>2104199@students.wits.ac.za</v>
      </c>
      <c r="E37" s="134" t="str">
        <f>UlwaziExport[]&amp;""</f>
        <v>2104199</v>
      </c>
      <c r="F37" s="134" t="str">
        <f>UlwaziExport[]&amp;""</f>
        <v>Software Development II-2022-GEN</v>
      </c>
      <c r="G37" s="2" t="str">
        <f t="shared" ca="1" si="2"/>
        <v/>
      </c>
      <c r="H37" s="3" t="str">
        <f t="shared" ca="1" si="2"/>
        <v>1</v>
      </c>
      <c r="I37" s="3" t="str">
        <f t="shared" ca="1" si="2"/>
        <v/>
      </c>
      <c r="J37" s="3" t="str">
        <f t="shared" ca="1" si="2"/>
        <v/>
      </c>
      <c r="K37" s="3" t="str">
        <f t="shared" ca="1" si="3"/>
        <v/>
      </c>
    </row>
    <row r="38" spans="1:11">
      <c r="A38" s="134" t="str">
        <f>UlwaziExport[]&amp;""</f>
        <v>Ginster, Philip</v>
      </c>
      <c r="B38" s="134" t="str">
        <f>UlwaziExport[]&amp;""</f>
        <v>29673</v>
      </c>
      <c r="C38" s="134" t="str">
        <f>UlwaziExport[]&amp;""</f>
        <v>2335476@students.wits.ac.za</v>
      </c>
      <c r="D38" s="134" t="str">
        <f>UlwaziExport[]&amp;""</f>
        <v>2335476@students.wits.ac.za</v>
      </c>
      <c r="E38" s="134" t="str">
        <f>UlwaziExport[]&amp;""</f>
        <v>2335476</v>
      </c>
      <c r="F38" s="134" t="str">
        <f>UlwaziExport[]&amp;""</f>
        <v>Software Development II-2022-GEN</v>
      </c>
      <c r="G38" s="2" t="str">
        <f t="shared" ca="1" si="2"/>
        <v/>
      </c>
      <c r="H38" s="3" t="str">
        <f t="shared" ca="1" si="2"/>
        <v>0</v>
      </c>
      <c r="I38" s="3" t="str">
        <f t="shared" ca="1" si="2"/>
        <v>Missing or partial/inadequate solution</v>
      </c>
      <c r="J38" s="3" t="str">
        <f t="shared" ca="1" si="2"/>
        <v/>
      </c>
      <c r="K38" s="3" t="str">
        <f t="shared" ca="1" si="3"/>
        <v/>
      </c>
    </row>
    <row r="39" spans="1:11">
      <c r="A39" s="134" t="str">
        <f>UlwaziExport[]&amp;""</f>
        <v>Goldblatt, Hannah</v>
      </c>
      <c r="B39" s="134" t="str">
        <f>UlwaziExport[]&amp;""</f>
        <v>24782</v>
      </c>
      <c r="C39" s="134" t="str">
        <f>UlwaziExport[]&amp;""</f>
        <v>2095374@students.wits.ac.za</v>
      </c>
      <c r="D39" s="134" t="str">
        <f>UlwaziExport[]&amp;""</f>
        <v>2095374@students.wits.ac.za</v>
      </c>
      <c r="E39" s="134" t="str">
        <f>UlwaziExport[]&amp;""</f>
        <v>2095374</v>
      </c>
      <c r="F39" s="134" t="str">
        <f>UlwaziExport[]&amp;""</f>
        <v>Software Development II-2022-GEN</v>
      </c>
      <c r="G39" s="2" t="str">
        <f t="shared" ca="1" si="2"/>
        <v/>
      </c>
      <c r="H39" s="3" t="str">
        <f t="shared" ca="1" si="2"/>
        <v>1</v>
      </c>
      <c r="I39" s="3" t="str">
        <f t="shared" ca="1" si="2"/>
        <v/>
      </c>
      <c r="J39" s="3" t="str">
        <f t="shared" ca="1" si="2"/>
        <v/>
      </c>
      <c r="K39" s="3" t="str">
        <f t="shared" ca="1" si="3"/>
        <v/>
      </c>
    </row>
    <row r="40" spans="1:11">
      <c r="A40" s="134" t="str">
        <f>UlwaziExport[]&amp;""</f>
        <v>Gowan, Sudheer</v>
      </c>
      <c r="B40" s="134" t="str">
        <f>UlwaziExport[]&amp;""</f>
        <v>36443</v>
      </c>
      <c r="C40" s="134" t="str">
        <f>UlwaziExport[]&amp;""</f>
        <v>2050175@students.wits.ac.za</v>
      </c>
      <c r="D40" s="134" t="str">
        <f>UlwaziExport[]&amp;""</f>
        <v>2050175@students.wits.ac.za</v>
      </c>
      <c r="E40" s="134" t="str">
        <f>UlwaziExport[]&amp;""</f>
        <v>2050175</v>
      </c>
      <c r="F40" s="134" t="str">
        <f>UlwaziExport[]&amp;""</f>
        <v>Software Development II-2022-GEN</v>
      </c>
      <c r="G40" s="2" t="str">
        <f t="shared" ca="1" si="2"/>
        <v/>
      </c>
      <c r="H40" s="3" t="str">
        <f t="shared" ca="1" si="2"/>
        <v>1</v>
      </c>
      <c r="I40" s="3" t="str">
        <f t="shared" ca="1" si="2"/>
        <v/>
      </c>
      <c r="J40" s="3" t="str">
        <f t="shared" ca="1" si="2"/>
        <v/>
      </c>
      <c r="K40" s="3" t="str">
        <f t="shared" ca="1" si="3"/>
        <v/>
      </c>
    </row>
    <row r="41" spans="1:11">
      <c r="A41" s="134" t="str">
        <f>UlwaziExport[]&amp;""</f>
        <v>Grahn, Bryce</v>
      </c>
      <c r="B41" s="134" t="str">
        <f>UlwaziExport[]&amp;""</f>
        <v>25632</v>
      </c>
      <c r="C41" s="134" t="str">
        <f>UlwaziExport[]&amp;""</f>
        <v>2138347@students.wits.ac.za</v>
      </c>
      <c r="D41" s="134" t="str">
        <f>UlwaziExport[]&amp;""</f>
        <v>2138347@students.wits.ac.za</v>
      </c>
      <c r="E41" s="134" t="str">
        <f>UlwaziExport[]&amp;""</f>
        <v>2138347</v>
      </c>
      <c r="F41" s="134" t="str">
        <f>UlwaziExport[]&amp;""</f>
        <v>Software Development II-2022-GEN</v>
      </c>
      <c r="G41" s="2" t="str">
        <f t="shared" ca="1" si="2"/>
        <v/>
      </c>
      <c r="H41" s="3" t="str">
        <f t="shared" ca="1" si="2"/>
        <v>1</v>
      </c>
      <c r="I41" s="3" t="str">
        <f t="shared" ca="1" si="2"/>
        <v/>
      </c>
      <c r="J41" s="3" t="str">
        <f t="shared" ca="1" si="2"/>
        <v/>
      </c>
      <c r="K41" s="3" t="str">
        <f t="shared" ca="1" si="3"/>
        <v/>
      </c>
    </row>
    <row r="42" spans="1:11">
      <c r="A42" s="134" t="str">
        <f>UlwaziExport[]&amp;""</f>
        <v>Grayman, Natan</v>
      </c>
      <c r="B42" s="134" t="str">
        <f>UlwaziExport[]&amp;""</f>
        <v>30533</v>
      </c>
      <c r="C42" s="134" t="str">
        <f>UlwaziExport[]&amp;""</f>
        <v>2344104@students.wits.ac.za</v>
      </c>
      <c r="D42" s="134" t="str">
        <f>UlwaziExport[]&amp;""</f>
        <v>2344104@students.wits.ac.za</v>
      </c>
      <c r="E42" s="134" t="str">
        <f>UlwaziExport[]&amp;""</f>
        <v>2344104</v>
      </c>
      <c r="F42" s="134" t="str">
        <f>UlwaziExport[]&amp;""</f>
        <v>Software Development II-2022-GEN</v>
      </c>
      <c r="G42" s="2" t="str">
        <f t="shared" ca="1" si="2"/>
        <v/>
      </c>
      <c r="H42" s="3" t="str">
        <f t="shared" ca="1" si="2"/>
        <v>0</v>
      </c>
      <c r="I42" s="3" t="str">
        <f t="shared" ca="1" si="2"/>
        <v>Pull request not found using search query</v>
      </c>
      <c r="J42" s="3" t="str">
        <f t="shared" ca="1" si="2"/>
        <v/>
      </c>
      <c r="K42" s="3" t="str">
        <f t="shared" ca="1" si="3"/>
        <v/>
      </c>
    </row>
    <row r="43" spans="1:11">
      <c r="A43" s="134" t="str">
        <f>UlwaziExport[]&amp;""</f>
        <v>Gurahoo, Jashna</v>
      </c>
      <c r="B43" s="134" t="str">
        <f>UlwaziExport[]&amp;""</f>
        <v>25758</v>
      </c>
      <c r="C43" s="134" t="str">
        <f>UlwaziExport[]&amp;""</f>
        <v>2309262@students.wits.ac.za</v>
      </c>
      <c r="D43" s="134" t="str">
        <f>UlwaziExport[]&amp;""</f>
        <v>2309262@students.wits.ac.za</v>
      </c>
      <c r="E43" s="134" t="str">
        <f>UlwaziExport[]&amp;""</f>
        <v>2309262</v>
      </c>
      <c r="F43" s="134" t="str">
        <f>UlwaziExport[]&amp;""</f>
        <v>Software Development II-2022-GEN</v>
      </c>
      <c r="G43" s="2" t="str">
        <f t="shared" ca="1" si="2"/>
        <v/>
      </c>
      <c r="H43" s="3" t="str">
        <f t="shared" ca="1" si="2"/>
        <v>1</v>
      </c>
      <c r="I43" s="3" t="str">
        <f t="shared" ca="1" si="2"/>
        <v/>
      </c>
      <c r="J43" s="3" t="str">
        <f t="shared" ca="1" si="2"/>
        <v/>
      </c>
      <c r="K43" s="3" t="str">
        <f t="shared" ca="1" si="3"/>
        <v/>
      </c>
    </row>
    <row r="44" spans="1:11">
      <c r="A44" s="134" t="str">
        <f>UlwaziExport[]&amp;""</f>
        <v>Hammond, Meg</v>
      </c>
      <c r="B44" s="134" t="str">
        <f>UlwaziExport[]&amp;""</f>
        <v>22519</v>
      </c>
      <c r="C44" s="134" t="str">
        <f>UlwaziExport[]&amp;""</f>
        <v>1876127@students.wits.ac.za</v>
      </c>
      <c r="D44" s="134" t="str">
        <f>UlwaziExport[]&amp;""</f>
        <v>1876127@students.wits.ac.za</v>
      </c>
      <c r="E44" s="134" t="str">
        <f>UlwaziExport[]&amp;""</f>
        <v>1876127</v>
      </c>
      <c r="F44" s="134" t="str">
        <f>UlwaziExport[]&amp;""</f>
        <v>Software Development II-2022-GEN</v>
      </c>
      <c r="G44" s="2" t="str">
        <f t="shared" ca="1" si="2"/>
        <v/>
      </c>
      <c r="H44" s="3" t="str">
        <f t="shared" ca="1" si="2"/>
        <v>1</v>
      </c>
      <c r="I44" s="3" t="str">
        <f t="shared" ca="1" si="2"/>
        <v/>
      </c>
      <c r="J44" s="3" t="str">
        <f t="shared" ca="1" si="2"/>
        <v/>
      </c>
      <c r="K44" s="3" t="str">
        <f t="shared" ca="1" si="3"/>
        <v/>
      </c>
    </row>
    <row r="45" spans="1:11">
      <c r="A45" s="134" t="str">
        <f>UlwaziExport[]&amp;""</f>
        <v>Hand, Brayden</v>
      </c>
      <c r="B45" s="134" t="str">
        <f>UlwaziExport[]&amp;""</f>
        <v>25028</v>
      </c>
      <c r="C45" s="134" t="str">
        <f>UlwaziExport[]&amp;""</f>
        <v>2194051@students.wits.ac.za</v>
      </c>
      <c r="D45" s="134" t="str">
        <f>UlwaziExport[]&amp;""</f>
        <v>2194051@students.wits.ac.za</v>
      </c>
      <c r="E45" s="134" t="str">
        <f>UlwaziExport[]&amp;""</f>
        <v>2194051</v>
      </c>
      <c r="F45" s="134" t="str">
        <f>UlwaziExport[]&amp;""</f>
        <v>Software Development II-2022-GEN</v>
      </c>
      <c r="G45" s="2" t="str">
        <f t="shared" ca="1" si="2"/>
        <v/>
      </c>
      <c r="H45" s="3" t="str">
        <f t="shared" ca="1" si="2"/>
        <v>1</v>
      </c>
      <c r="I45" s="3" t="str">
        <f t="shared" ca="1" si="2"/>
        <v/>
      </c>
      <c r="J45" s="3" t="str">
        <f t="shared" ca="1" si="2"/>
        <v/>
      </c>
      <c r="K45" s="3" t="str">
        <f t="shared" ca="1" si="3"/>
        <v/>
      </c>
    </row>
    <row r="46" spans="1:11">
      <c r="A46" s="134" t="str">
        <f>UlwaziExport[]&amp;""</f>
        <v>Harrar, Saudah</v>
      </c>
      <c r="B46" s="134" t="str">
        <f>UlwaziExport[]&amp;""</f>
        <v>28499</v>
      </c>
      <c r="C46" s="134" t="str">
        <f>UlwaziExport[]&amp;""</f>
        <v>2355933@students.wits.ac.za</v>
      </c>
      <c r="D46" s="134" t="str">
        <f>UlwaziExport[]&amp;""</f>
        <v>2355933@students.wits.ac.za</v>
      </c>
      <c r="E46" s="134" t="str">
        <f>UlwaziExport[]&amp;""</f>
        <v>2355933</v>
      </c>
      <c r="F46" s="134" t="str">
        <f>UlwaziExport[]&amp;""</f>
        <v>Software Development II-2022-GEN</v>
      </c>
      <c r="G46" s="2" t="str">
        <f t="shared" ca="1" si="2"/>
        <v/>
      </c>
      <c r="H46" s="3" t="str">
        <f t="shared" ca="1" si="2"/>
        <v>1</v>
      </c>
      <c r="I46" s="3" t="str">
        <f t="shared" ca="1" si="2"/>
        <v/>
      </c>
      <c r="J46" s="3" t="str">
        <f t="shared" ca="1" si="2"/>
        <v/>
      </c>
      <c r="K46" s="3" t="str">
        <f t="shared" ca="1" si="3"/>
        <v/>
      </c>
    </row>
    <row r="47" spans="1:11">
      <c r="A47" s="134" t="str">
        <f>UlwaziExport[]&amp;""</f>
        <v>Hunter, Miguel</v>
      </c>
      <c r="B47" s="134" t="str">
        <f>UlwaziExport[]&amp;""</f>
        <v>26324</v>
      </c>
      <c r="C47" s="134" t="str">
        <f>UlwaziExport[]&amp;""</f>
        <v>2143227@students.wits.ac.za</v>
      </c>
      <c r="D47" s="134" t="str">
        <f>UlwaziExport[]&amp;""</f>
        <v>2143227@students.wits.ac.za</v>
      </c>
      <c r="E47" s="134" t="str">
        <f>UlwaziExport[]&amp;""</f>
        <v>2143227</v>
      </c>
      <c r="F47" s="134" t="str">
        <f>UlwaziExport[]&amp;""</f>
        <v>Software Development II-2022-GEN</v>
      </c>
      <c r="G47" s="2" t="str">
        <f t="shared" ca="1" si="2"/>
        <v/>
      </c>
      <c r="H47" s="3" t="str">
        <f t="shared" ca="1" si="2"/>
        <v>1</v>
      </c>
      <c r="I47" s="3" t="str">
        <f t="shared" ca="1" si="2"/>
        <v/>
      </c>
      <c r="J47" s="3" t="str">
        <f t="shared" ca="1" si="2"/>
        <v/>
      </c>
      <c r="K47" s="3" t="str">
        <f t="shared" ca="1" si="3"/>
        <v/>
      </c>
    </row>
    <row r="48" spans="1:11">
      <c r="A48" s="134" t="str">
        <f>UlwaziExport[]&amp;""</f>
        <v>Jali, Thabani</v>
      </c>
      <c r="B48" s="134" t="str">
        <f>UlwaziExport[]&amp;""</f>
        <v>22535</v>
      </c>
      <c r="C48" s="134" t="str">
        <f>UlwaziExport[]&amp;""</f>
        <v>1876297@students.wits.ac.za</v>
      </c>
      <c r="D48" s="134" t="str">
        <f>UlwaziExport[]&amp;""</f>
        <v>1876297@students.wits.ac.za</v>
      </c>
      <c r="E48" s="134" t="str">
        <f>UlwaziExport[]&amp;""</f>
        <v>1876297</v>
      </c>
      <c r="F48" s="134" t="str">
        <f>UlwaziExport[]&amp;""</f>
        <v>Software Development II-2022-GEN</v>
      </c>
      <c r="G48" s="2" t="str">
        <f t="shared" ca="1" si="2"/>
        <v/>
      </c>
      <c r="H48" s="3" t="str">
        <f t="shared" ca="1" si="2"/>
        <v>1</v>
      </c>
      <c r="I48" s="3" t="str">
        <f t="shared" ca="1" si="2"/>
        <v/>
      </c>
      <c r="J48" s="3" t="str">
        <f t="shared" ca="1" si="2"/>
        <v/>
      </c>
      <c r="K48" s="3" t="str">
        <f t="shared" ca="1" si="3"/>
        <v/>
      </c>
    </row>
    <row r="49" spans="1:11">
      <c r="A49" s="134" t="str">
        <f>UlwaziExport[]&amp;""</f>
        <v>Jamaloodien, Hamzah</v>
      </c>
      <c r="B49" s="134" t="str">
        <f>UlwaziExport[]&amp;""</f>
        <v>30529</v>
      </c>
      <c r="C49" s="134" t="str">
        <f>UlwaziExport[]&amp;""</f>
        <v>2344063@students.wits.ac.za</v>
      </c>
      <c r="D49" s="134" t="str">
        <f>UlwaziExport[]&amp;""</f>
        <v>2344063@students.wits.ac.za</v>
      </c>
      <c r="E49" s="134" t="str">
        <f>UlwaziExport[]&amp;""</f>
        <v>2344063</v>
      </c>
      <c r="F49" s="134" t="str">
        <f>UlwaziExport[]&amp;""</f>
        <v>Software Development II-2022-GEN</v>
      </c>
      <c r="G49" s="2" t="str">
        <f t="shared" ref="G49:G112" ca="1" si="4">IF(AND(G$1&lt;&gt;"",$A49&lt;&gt;""),_xlfn.IFNA(INDEX(INDIRECT($G$3&amp;"["&amp;G$1&amp;"]"),MATCH(TRIM(LEFT($D49,FIND("@",$D49)-1)),INDIRECT($G$3&amp;"[[Student No.]:[Student No.]]"),0))&amp;"","Missing!"),"")</f>
        <v/>
      </c>
      <c r="H49" s="3" t="str">
        <f t="shared" ref="H49:K80" ca="1" si="5">IF(AND(H$1&lt;&gt;"",$A49&lt;&gt;""),_xlfn.IFNA(INDEX(INDIRECT($G$3&amp;"["&amp;H$1&amp;"]"),MATCH(TRIM(LEFT($D49,FIND("@",$D49)-1)),INDIRECT($G$3&amp;"[[Student No.]:[Student No.]]"),0))&amp;"","Missing!"),"")</f>
        <v>1</v>
      </c>
      <c r="I49" s="3" t="str">
        <f t="shared" ca="1" si="5"/>
        <v/>
      </c>
      <c r="J49" s="3" t="str">
        <f t="shared" ca="1" si="5"/>
        <v/>
      </c>
      <c r="K49" s="3" t="str">
        <f t="shared" ca="1" si="3"/>
        <v/>
      </c>
    </row>
    <row r="50" spans="1:11">
      <c r="A50" s="134" t="str">
        <f>UlwaziExport[]&amp;""</f>
        <v>Jiyane, Sibongiseni</v>
      </c>
      <c r="B50" s="134" t="str">
        <f>UlwaziExport[]&amp;""</f>
        <v>28817</v>
      </c>
      <c r="C50" s="134" t="str">
        <f>UlwaziExport[]&amp;""</f>
        <v>2331132@students.wits.ac.za</v>
      </c>
      <c r="D50" s="134" t="str">
        <f>UlwaziExport[]&amp;""</f>
        <v>2331132@students.wits.ac.za</v>
      </c>
      <c r="E50" s="134" t="str">
        <f>UlwaziExport[]&amp;""</f>
        <v>2331132</v>
      </c>
      <c r="F50" s="134" t="str">
        <f>UlwaziExport[]&amp;""</f>
        <v>Software Development II-2022-GEN</v>
      </c>
      <c r="G50" s="2" t="str">
        <f t="shared" ca="1" si="4"/>
        <v/>
      </c>
      <c r="H50" s="3" t="str">
        <f t="shared" ca="1" si="5"/>
        <v>0</v>
      </c>
      <c r="I50" s="3" t="str">
        <f t="shared" ca="1" si="5"/>
        <v>Missing or partial/inadequate solution</v>
      </c>
      <c r="J50" s="3" t="str">
        <f t="shared" ca="1" si="5"/>
        <v/>
      </c>
      <c r="K50" s="3" t="str">
        <f t="shared" ca="1" si="3"/>
        <v/>
      </c>
    </row>
    <row r="51" spans="1:11">
      <c r="A51" s="134" t="str">
        <f>UlwaziExport[]&amp;""</f>
        <v>Joffe, Ellie</v>
      </c>
      <c r="B51" s="134" t="str">
        <f>UlwaziExport[]&amp;""</f>
        <v>38510</v>
      </c>
      <c r="C51" s="134" t="str">
        <f>UlwaziExport[]&amp;""</f>
        <v>2330797@students.wits.ac.za</v>
      </c>
      <c r="D51" s="134" t="str">
        <f>UlwaziExport[]&amp;""</f>
        <v>2330797@students.wits.ac.za</v>
      </c>
      <c r="E51" s="134" t="str">
        <f>UlwaziExport[]&amp;""</f>
        <v>2330797</v>
      </c>
      <c r="F51" s="134" t="str">
        <f>UlwaziExport[]&amp;""</f>
        <v>Software Development II-2022-GEN</v>
      </c>
      <c r="G51" s="2" t="str">
        <f t="shared" ca="1" si="4"/>
        <v/>
      </c>
      <c r="H51" s="3" t="str">
        <f t="shared" ca="1" si="5"/>
        <v>1</v>
      </c>
      <c r="I51" s="3" t="str">
        <f t="shared" ca="1" si="5"/>
        <v/>
      </c>
      <c r="J51" s="3" t="str">
        <f t="shared" ca="1" si="5"/>
        <v/>
      </c>
      <c r="K51" s="3" t="str">
        <f t="shared" ca="1" si="3"/>
        <v/>
      </c>
    </row>
    <row r="52" spans="1:11">
      <c r="A52" s="134" t="str">
        <f>UlwaziExport[]&amp;""</f>
        <v>Johannes, Zewuwel</v>
      </c>
      <c r="B52" s="134" t="str">
        <f>UlwaziExport[]&amp;""</f>
        <v>39127</v>
      </c>
      <c r="C52" s="134" t="str">
        <f>UlwaziExport[]&amp;""</f>
        <v>2094978@students.wits.ac.za</v>
      </c>
      <c r="D52" s="134" t="str">
        <f>UlwaziExport[]&amp;""</f>
        <v>2094978@students.wits.ac.za</v>
      </c>
      <c r="E52" s="134" t="str">
        <f>UlwaziExport[]&amp;""</f>
        <v>2094978</v>
      </c>
      <c r="F52" s="134" t="str">
        <f>UlwaziExport[]&amp;""</f>
        <v>Software Development II-2022-GEN</v>
      </c>
      <c r="G52" s="2" t="str">
        <f t="shared" ca="1" si="4"/>
        <v/>
      </c>
      <c r="H52" s="3" t="str">
        <f t="shared" ca="1" si="5"/>
        <v>1</v>
      </c>
      <c r="I52" s="3" t="str">
        <f t="shared" ca="1" si="5"/>
        <v/>
      </c>
      <c r="J52" s="3" t="str">
        <f t="shared" ca="1" si="5"/>
        <v/>
      </c>
      <c r="K52" s="3" t="str">
        <f t="shared" ca="1" si="3"/>
        <v/>
      </c>
    </row>
    <row r="53" spans="1:11">
      <c r="A53" s="134" t="str">
        <f>UlwaziExport[]&amp;""</f>
        <v>Johari, Mannan</v>
      </c>
      <c r="B53" s="134" t="str">
        <f>UlwaziExport[]&amp;""</f>
        <v>48273</v>
      </c>
      <c r="C53" s="134" t="str">
        <f>UlwaziExport[]&amp;""</f>
        <v>1832991@students.wits.ac.za</v>
      </c>
      <c r="D53" s="134" t="str">
        <f>UlwaziExport[]&amp;""</f>
        <v>1832991@students.wits.ac.za</v>
      </c>
      <c r="E53" s="134" t="str">
        <f>UlwaziExport[]&amp;""</f>
        <v>1832991</v>
      </c>
      <c r="F53" s="134" t="str">
        <f>UlwaziExport[]&amp;""</f>
        <v>Software Development II-2022-GEN</v>
      </c>
      <c r="G53" s="2" t="str">
        <f t="shared" ca="1" si="4"/>
        <v/>
      </c>
      <c r="H53" s="3" t="str">
        <f t="shared" ca="1" si="5"/>
        <v>0</v>
      </c>
      <c r="I53" s="3" t="str">
        <f t="shared" ca="1" si="5"/>
        <v>No commits from this group member</v>
      </c>
      <c r="J53" s="3" t="str">
        <f t="shared" ca="1" si="5"/>
        <v/>
      </c>
      <c r="K53" s="3" t="str">
        <f t="shared" ca="1" si="3"/>
        <v/>
      </c>
    </row>
    <row r="54" spans="1:11">
      <c r="A54" s="134" t="str">
        <f>UlwaziExport[]&amp;""</f>
        <v>Kala, Priyanka</v>
      </c>
      <c r="B54" s="134" t="str">
        <f>UlwaziExport[]&amp;""</f>
        <v>17090</v>
      </c>
      <c r="C54" s="134" t="str">
        <f>UlwaziExport[]&amp;""</f>
        <v>1146648@students.wits.ac.za</v>
      </c>
      <c r="D54" s="134" t="str">
        <f>UlwaziExport[]&amp;""</f>
        <v>1146648@students.wits.ac.za</v>
      </c>
      <c r="E54" s="134" t="str">
        <f>UlwaziExport[]&amp;""</f>
        <v>1146648</v>
      </c>
      <c r="F54" s="134" t="str">
        <f>UlwaziExport[]&amp;""</f>
        <v>Software Development II-2022-GEN</v>
      </c>
      <c r="G54" s="2" t="str">
        <f t="shared" ca="1" si="4"/>
        <v/>
      </c>
      <c r="H54" s="3" t="str">
        <f t="shared" ca="1" si="5"/>
        <v>1</v>
      </c>
      <c r="I54" s="3" t="str">
        <f t="shared" ca="1" si="5"/>
        <v/>
      </c>
      <c r="J54" s="3" t="str">
        <f t="shared" ca="1" si="5"/>
        <v/>
      </c>
      <c r="K54" s="3" t="str">
        <f t="shared" ca="1" si="3"/>
        <v/>
      </c>
    </row>
    <row r="55" spans="1:11">
      <c r="A55" s="134" t="str">
        <f>UlwaziExport[]&amp;""</f>
        <v>Kangisser, Gilad</v>
      </c>
      <c r="B55" s="134" t="str">
        <f>UlwaziExport[]&amp;""</f>
        <v>30283</v>
      </c>
      <c r="C55" s="134" t="str">
        <f>UlwaziExport[]&amp;""</f>
        <v>2367017@students.wits.ac.za</v>
      </c>
      <c r="D55" s="134" t="str">
        <f>UlwaziExport[]&amp;""</f>
        <v>2367017@students.wits.ac.za</v>
      </c>
      <c r="E55" s="134" t="str">
        <f>UlwaziExport[]&amp;""</f>
        <v>2367017</v>
      </c>
      <c r="F55" s="134" t="str">
        <f>UlwaziExport[]&amp;""</f>
        <v>Software Development II-2022-GEN</v>
      </c>
      <c r="G55" s="2" t="str">
        <f t="shared" ca="1" si="4"/>
        <v/>
      </c>
      <c r="H55" s="3" t="str">
        <f t="shared" ca="1" si="5"/>
        <v>0</v>
      </c>
      <c r="I55" s="3" t="str">
        <f t="shared" ca="1" si="5"/>
        <v>Pull request not found using search query</v>
      </c>
      <c r="J55" s="3" t="str">
        <f t="shared" ca="1" si="5"/>
        <v/>
      </c>
      <c r="K55" s="3" t="str">
        <f t="shared" ca="1" si="3"/>
        <v/>
      </c>
    </row>
    <row r="56" spans="1:11">
      <c r="A56" s="134" t="str">
        <f>UlwaziExport[]&amp;""</f>
        <v>Katz, Jonathan</v>
      </c>
      <c r="B56" s="134" t="str">
        <f>UlwaziExport[]&amp;""</f>
        <v>25645</v>
      </c>
      <c r="C56" s="134" t="str">
        <f>UlwaziExport[]&amp;""</f>
        <v>2209317@students.wits.ac.za</v>
      </c>
      <c r="D56" s="134" t="str">
        <f>UlwaziExport[]&amp;""</f>
        <v>2209317@students.wits.ac.za</v>
      </c>
      <c r="E56" s="134" t="str">
        <f>UlwaziExport[]&amp;""</f>
        <v>2209317</v>
      </c>
      <c r="F56" s="134" t="str">
        <f>UlwaziExport[]&amp;""</f>
        <v>Software Development II-2022-GEN</v>
      </c>
      <c r="G56" s="2" t="str">
        <f t="shared" ca="1" si="4"/>
        <v/>
      </c>
      <c r="H56" s="3" t="str">
        <f t="shared" ca="1" si="5"/>
        <v>1</v>
      </c>
      <c r="I56" s="3" t="str">
        <f t="shared" ca="1" si="5"/>
        <v/>
      </c>
      <c r="J56" s="3" t="str">
        <f t="shared" ca="1" si="5"/>
        <v/>
      </c>
      <c r="K56" s="3" t="str">
        <f t="shared" ca="1" si="3"/>
        <v/>
      </c>
    </row>
    <row r="57" spans="1:11">
      <c r="A57" s="134" t="str">
        <f>UlwaziExport[]&amp;""</f>
        <v>Katz, Kira</v>
      </c>
      <c r="B57" s="134" t="str">
        <f>UlwaziExport[]&amp;""</f>
        <v>27931</v>
      </c>
      <c r="C57" s="134" t="str">
        <f>UlwaziExport[]&amp;""</f>
        <v>2351913@students.wits.ac.za</v>
      </c>
      <c r="D57" s="134" t="str">
        <f>UlwaziExport[]&amp;""</f>
        <v>2351913@students.wits.ac.za</v>
      </c>
      <c r="E57" s="134" t="str">
        <f>UlwaziExport[]&amp;""</f>
        <v>2351913</v>
      </c>
      <c r="F57" s="134" t="str">
        <f>UlwaziExport[]&amp;""</f>
        <v>Software Development II-2022-GEN</v>
      </c>
      <c r="G57" s="2" t="str">
        <f t="shared" ca="1" si="4"/>
        <v/>
      </c>
      <c r="H57" s="3" t="str">
        <f t="shared" ca="1" si="5"/>
        <v>0</v>
      </c>
      <c r="I57" s="3" t="str">
        <f t="shared" ca="1" si="5"/>
        <v>Missing or partial/inadequate solution</v>
      </c>
      <c r="J57" s="3" t="str">
        <f t="shared" ca="1" si="5"/>
        <v/>
      </c>
      <c r="K57" s="3" t="str">
        <f t="shared" ca="1" si="3"/>
        <v/>
      </c>
    </row>
    <row r="58" spans="1:11">
      <c r="A58" s="134" t="str">
        <f>UlwaziExport[]&amp;""</f>
        <v>Kemraj, Caitlin</v>
      </c>
      <c r="B58" s="134" t="str">
        <f>UlwaziExport[]&amp;""</f>
        <v>24437</v>
      </c>
      <c r="C58" s="134" t="str">
        <f>UlwaziExport[]&amp;""</f>
        <v>2127000@students.wits.ac.za</v>
      </c>
      <c r="D58" s="134" t="str">
        <f>UlwaziExport[]&amp;""</f>
        <v>2127000@students.wits.ac.za</v>
      </c>
      <c r="E58" s="134" t="str">
        <f>UlwaziExport[]&amp;""</f>
        <v>2127000</v>
      </c>
      <c r="F58" s="134" t="str">
        <f>UlwaziExport[]&amp;""</f>
        <v>Software Development II-2022-GEN</v>
      </c>
      <c r="G58" s="2" t="str">
        <f t="shared" ca="1" si="4"/>
        <v/>
      </c>
      <c r="H58" s="3" t="str">
        <f t="shared" ca="1" si="5"/>
        <v>1</v>
      </c>
      <c r="I58" s="3" t="str">
        <f t="shared" ca="1" si="5"/>
        <v/>
      </c>
      <c r="J58" s="3" t="str">
        <f t="shared" ca="1" si="5"/>
        <v/>
      </c>
      <c r="K58" s="3" t="str">
        <f t="shared" ca="1" si="3"/>
        <v/>
      </c>
    </row>
    <row r="59" spans="1:11">
      <c r="A59" s="134" t="str">
        <f>UlwaziExport[]&amp;""</f>
        <v>Khoza, Abram</v>
      </c>
      <c r="B59" s="134" t="str">
        <f>UlwaziExport[]&amp;""</f>
        <v>25880</v>
      </c>
      <c r="C59" s="134" t="str">
        <f>UlwaziExport[]&amp;""</f>
        <v>2105080@students.wits.ac.za</v>
      </c>
      <c r="D59" s="134" t="str">
        <f>UlwaziExport[]&amp;""</f>
        <v>2105080@students.wits.ac.za</v>
      </c>
      <c r="E59" s="134" t="str">
        <f>UlwaziExport[]&amp;""</f>
        <v>2105080</v>
      </c>
      <c r="F59" s="134" t="str">
        <f>UlwaziExport[]&amp;""</f>
        <v>Software Development II-2022-GEN</v>
      </c>
      <c r="G59" s="2" t="str">
        <f t="shared" ca="1" si="4"/>
        <v/>
      </c>
      <c r="H59" s="3" t="str">
        <f t="shared" ca="1" si="5"/>
        <v>1</v>
      </c>
      <c r="I59" s="3" t="str">
        <f t="shared" ca="1" si="5"/>
        <v/>
      </c>
      <c r="J59" s="3" t="str">
        <f t="shared" ca="1" si="5"/>
        <v/>
      </c>
      <c r="K59" s="3" t="str">
        <f t="shared" ca="1" si="3"/>
        <v/>
      </c>
    </row>
    <row r="60" spans="1:11">
      <c r="A60" s="134" t="str">
        <f>UlwaziExport[]&amp;""</f>
        <v>Khumalo, Dumisani</v>
      </c>
      <c r="B60" s="134" t="str">
        <f>UlwaziExport[]&amp;""</f>
        <v>24794</v>
      </c>
      <c r="C60" s="134" t="str">
        <f>UlwaziExport[]&amp;""</f>
        <v>2095396@students.wits.ac.za</v>
      </c>
      <c r="D60" s="134" t="str">
        <f>UlwaziExport[]&amp;""</f>
        <v>2095396@students.wits.ac.za</v>
      </c>
      <c r="E60" s="134" t="str">
        <f>UlwaziExport[]&amp;""</f>
        <v>2095396</v>
      </c>
      <c r="F60" s="134" t="str">
        <f>UlwaziExport[]&amp;""</f>
        <v>Software Development II-2022-GEN</v>
      </c>
      <c r="G60" s="2" t="str">
        <f t="shared" ca="1" si="4"/>
        <v/>
      </c>
      <c r="H60" s="3" t="str">
        <f t="shared" ca="1" si="5"/>
        <v>1</v>
      </c>
      <c r="I60" s="3" t="str">
        <f t="shared" ca="1" si="5"/>
        <v/>
      </c>
      <c r="J60" s="3" t="str">
        <f t="shared" ca="1" si="5"/>
        <v/>
      </c>
      <c r="K60" s="3" t="str">
        <f t="shared" ca="1" si="3"/>
        <v/>
      </c>
    </row>
    <row r="61" spans="1:11">
      <c r="A61" s="134" t="str">
        <f>UlwaziExport[]&amp;""</f>
        <v>Khuzwayo, Siyanda</v>
      </c>
      <c r="B61" s="134" t="str">
        <f>UlwaziExport[]&amp;""</f>
        <v>34831</v>
      </c>
      <c r="C61" s="134" t="str">
        <f>UlwaziExport[]&amp;""</f>
        <v>2242940@students.wits.ac.za</v>
      </c>
      <c r="D61" s="134" t="str">
        <f>UlwaziExport[]&amp;""</f>
        <v>2242940@students.wits.ac.za</v>
      </c>
      <c r="E61" s="134" t="str">
        <f>UlwaziExport[]&amp;""</f>
        <v>2242940</v>
      </c>
      <c r="F61" s="134" t="str">
        <f>UlwaziExport[]&amp;""</f>
        <v>Software Development II-2022-GEN</v>
      </c>
      <c r="G61" s="2" t="str">
        <f t="shared" ca="1" si="4"/>
        <v/>
      </c>
      <c r="H61" s="3" t="str">
        <f t="shared" ca="1" si="5"/>
        <v>1</v>
      </c>
      <c r="I61" s="3" t="str">
        <f t="shared" ca="1" si="5"/>
        <v/>
      </c>
      <c r="J61" s="3" t="str">
        <f t="shared" ca="1" si="5"/>
        <v/>
      </c>
      <c r="K61" s="3" t="str">
        <f t="shared" ca="1" si="3"/>
        <v/>
      </c>
    </row>
    <row r="62" spans="1:11">
      <c r="A62" s="134" t="str">
        <f>UlwaziExport[]&amp;""</f>
        <v>Kipruto, Bradley</v>
      </c>
      <c r="B62" s="134" t="str">
        <f>UlwaziExport[]&amp;""</f>
        <v>41694</v>
      </c>
      <c r="C62" s="134" t="str">
        <f>UlwaziExport[]&amp;""</f>
        <v>2172968@students.wits.ac.za</v>
      </c>
      <c r="D62" s="134" t="str">
        <f>UlwaziExport[]&amp;""</f>
        <v>2172968@students.wits.ac.za</v>
      </c>
      <c r="E62" s="134" t="str">
        <f>UlwaziExport[]&amp;""</f>
        <v>2172968</v>
      </c>
      <c r="F62" s="134" t="str">
        <f>UlwaziExport[]&amp;""</f>
        <v>Software Development II-2022-GEN</v>
      </c>
      <c r="G62" s="2" t="str">
        <f t="shared" ca="1" si="4"/>
        <v/>
      </c>
      <c r="H62" s="3" t="str">
        <f t="shared" ca="1" si="5"/>
        <v>0</v>
      </c>
      <c r="I62" s="3" t="str">
        <f t="shared" ca="1" si="5"/>
        <v>Missing or partial/inadequate solution</v>
      </c>
      <c r="J62" s="3" t="str">
        <f t="shared" ca="1" si="5"/>
        <v/>
      </c>
      <c r="K62" s="3" t="str">
        <f t="shared" ca="1" si="3"/>
        <v/>
      </c>
    </row>
    <row r="63" spans="1:11">
      <c r="A63" s="134" t="str">
        <f>UlwaziExport[]&amp;""</f>
        <v>Konyane, Kgothatso</v>
      </c>
      <c r="B63" s="134" t="str">
        <f>UlwaziExport[]&amp;""</f>
        <v>38410</v>
      </c>
      <c r="C63" s="134" t="str">
        <f>UlwaziExport[]&amp;""</f>
        <v>2117841@students.wits.ac.za</v>
      </c>
      <c r="D63" s="134" t="str">
        <f>UlwaziExport[]&amp;""</f>
        <v>2117841@students.wits.ac.za</v>
      </c>
      <c r="E63" s="134" t="str">
        <f>UlwaziExport[]&amp;""</f>
        <v>2117841</v>
      </c>
      <c r="F63" s="134" t="str">
        <f>UlwaziExport[]&amp;""</f>
        <v>Software Development II-2022-GEN</v>
      </c>
      <c r="G63" s="2" t="str">
        <f t="shared" ca="1" si="4"/>
        <v/>
      </c>
      <c r="H63" s="3" t="str">
        <f t="shared" ca="1" si="5"/>
        <v>1</v>
      </c>
      <c r="I63" s="3" t="str">
        <f t="shared" ca="1" si="5"/>
        <v/>
      </c>
      <c r="J63" s="3" t="str">
        <f t="shared" ca="1" si="5"/>
        <v/>
      </c>
      <c r="K63" s="3" t="str">
        <f t="shared" ca="1" si="3"/>
        <v/>
      </c>
    </row>
    <row r="64" spans="1:11">
      <c r="A64" s="134" t="str">
        <f>UlwaziExport[]&amp;""</f>
        <v>Kouassi, Ogou John Marlon Rich</v>
      </c>
      <c r="B64" s="134" t="str">
        <f>UlwaziExport[]&amp;""</f>
        <v>54661</v>
      </c>
      <c r="C64" s="134" t="str">
        <f>UlwaziExport[]&amp;""</f>
        <v>2341547@students.wits.ac.za</v>
      </c>
      <c r="D64" s="134" t="str">
        <f>UlwaziExport[]&amp;""</f>
        <v>2341547@students.wits.ac.za</v>
      </c>
      <c r="E64" s="134" t="str">
        <f>UlwaziExport[]&amp;""</f>
        <v>2341547</v>
      </c>
      <c r="F64" s="134" t="str">
        <f>UlwaziExport[]&amp;""</f>
        <v>Software Development II-2022-GEN</v>
      </c>
      <c r="G64" s="2" t="str">
        <f t="shared" ca="1" si="4"/>
        <v/>
      </c>
      <c r="H64" s="3" t="str">
        <f t="shared" ca="1" si="5"/>
        <v>1</v>
      </c>
      <c r="I64" s="3" t="str">
        <f t="shared" ca="1" si="5"/>
        <v/>
      </c>
      <c r="J64" s="3" t="str">
        <f t="shared" ca="1" si="5"/>
        <v/>
      </c>
      <c r="K64" s="3" t="str">
        <f t="shared" ca="1" si="3"/>
        <v/>
      </c>
    </row>
    <row r="65" spans="1:11">
      <c r="A65" s="134" t="str">
        <f>UlwaziExport[]&amp;""</f>
        <v>Krawe, Thulani</v>
      </c>
      <c r="B65" s="134" t="str">
        <f>UlwaziExport[]&amp;""</f>
        <v>37542</v>
      </c>
      <c r="C65" s="134" t="str">
        <f>UlwaziExport[]&amp;""</f>
        <v>1744150@students.wits.ac.za</v>
      </c>
      <c r="D65" s="134" t="str">
        <f>UlwaziExport[]&amp;""</f>
        <v>1744150@students.wits.ac.za</v>
      </c>
      <c r="E65" s="134" t="str">
        <f>UlwaziExport[]&amp;""</f>
        <v>1744150</v>
      </c>
      <c r="F65" s="134" t="str">
        <f>UlwaziExport[]&amp;""</f>
        <v>Software Development II-2022-GEN</v>
      </c>
      <c r="G65" s="2" t="str">
        <f t="shared" ca="1" si="4"/>
        <v/>
      </c>
      <c r="H65" s="3" t="str">
        <f t="shared" ca="1" si="5"/>
        <v>1</v>
      </c>
      <c r="I65" s="3" t="str">
        <f t="shared" ca="1" si="5"/>
        <v/>
      </c>
      <c r="J65" s="3" t="str">
        <f t="shared" ca="1" si="5"/>
        <v/>
      </c>
      <c r="K65" s="3" t="str">
        <f t="shared" ca="1" si="3"/>
        <v/>
      </c>
    </row>
    <row r="66" spans="1:11">
      <c r="A66" s="134" t="str">
        <f>UlwaziExport[]&amp;""</f>
        <v>Krishanlall, Shekhar</v>
      </c>
      <c r="B66" s="134" t="str">
        <f>UlwaziExport[]&amp;""</f>
        <v>38381</v>
      </c>
      <c r="C66" s="134" t="str">
        <f>UlwaziExport[]&amp;""</f>
        <v>1919247@students.wits.ac.za</v>
      </c>
      <c r="D66" s="134" t="str">
        <f>UlwaziExport[]&amp;""</f>
        <v>1919247@students.wits.ac.za</v>
      </c>
      <c r="E66" s="134" t="str">
        <f>UlwaziExport[]&amp;""</f>
        <v>1919247</v>
      </c>
      <c r="F66" s="134" t="str">
        <f>UlwaziExport[]&amp;""</f>
        <v>Software Development II-2022-GEN</v>
      </c>
      <c r="G66" s="2" t="str">
        <f t="shared" ca="1" si="4"/>
        <v/>
      </c>
      <c r="H66" s="3" t="str">
        <f t="shared" ca="1" si="5"/>
        <v>1</v>
      </c>
      <c r="I66" s="3" t="str">
        <f t="shared" ca="1" si="5"/>
        <v/>
      </c>
      <c r="J66" s="3" t="str">
        <f t="shared" ca="1" si="5"/>
        <v/>
      </c>
      <c r="K66" s="3" t="str">
        <f t="shared" ca="1" si="3"/>
        <v/>
      </c>
    </row>
    <row r="67" spans="1:11">
      <c r="A67" s="134" t="str">
        <f>UlwaziExport[]&amp;""</f>
        <v>Kunene, Mbali</v>
      </c>
      <c r="B67" s="134" t="str">
        <f>UlwaziExport[]&amp;""</f>
        <v>21238</v>
      </c>
      <c r="C67" s="134" t="str">
        <f>UlwaziExport[]&amp;""</f>
        <v>1834022@students.wits.ac.za</v>
      </c>
      <c r="D67" s="134" t="str">
        <f>UlwaziExport[]&amp;""</f>
        <v>1834022@students.wits.ac.za</v>
      </c>
      <c r="E67" s="134" t="str">
        <f>UlwaziExport[]&amp;""</f>
        <v>1834022</v>
      </c>
      <c r="F67" s="134" t="str">
        <f>UlwaziExport[]&amp;""</f>
        <v>Software Development II-2022-GEN</v>
      </c>
      <c r="G67" s="2" t="str">
        <f t="shared" ca="1" si="4"/>
        <v/>
      </c>
      <c r="H67" s="3" t="str">
        <f t="shared" ca="1" si="5"/>
        <v>1</v>
      </c>
      <c r="I67" s="3" t="str">
        <f t="shared" ca="1" si="5"/>
        <v/>
      </c>
      <c r="J67" s="3" t="str">
        <f t="shared" ca="1" si="5"/>
        <v/>
      </c>
      <c r="K67" s="3" t="str">
        <f t="shared" ca="1" si="5"/>
        <v/>
      </c>
    </row>
    <row r="68" spans="1:11">
      <c r="A68" s="134" t="str">
        <f>UlwaziExport[]&amp;""</f>
        <v>Landgrebe, Michael</v>
      </c>
      <c r="B68" s="134" t="str">
        <f>UlwaziExport[]&amp;""</f>
        <v>34953</v>
      </c>
      <c r="C68" s="134" t="str">
        <f>UlwaziExport[]&amp;""</f>
        <v>704140@students.wits.ac.za</v>
      </c>
      <c r="D68" s="134" t="str">
        <f>UlwaziExport[]&amp;""</f>
        <v>704140@students.wits.ac.za</v>
      </c>
      <c r="E68" s="134" t="str">
        <f>UlwaziExport[]&amp;""</f>
        <v>704140</v>
      </c>
      <c r="F68" s="134" t="str">
        <f>UlwaziExport[]&amp;""</f>
        <v>Software Development II-2022-GEN</v>
      </c>
      <c r="G68" s="2" t="str">
        <f t="shared" ca="1" si="4"/>
        <v/>
      </c>
      <c r="H68" s="3" t="str">
        <f t="shared" ca="1" si="5"/>
        <v>1</v>
      </c>
      <c r="I68" s="3" t="str">
        <f t="shared" ca="1" si="5"/>
        <v/>
      </c>
      <c r="J68" s="3" t="str">
        <f t="shared" ca="1" si="5"/>
        <v/>
      </c>
      <c r="K68" s="3" t="str">
        <f t="shared" ca="1" si="5"/>
        <v/>
      </c>
    </row>
    <row r="69" spans="1:11">
      <c r="A69" s="134" t="str">
        <f>UlwaziExport[]&amp;""</f>
        <v>Legoabe, Tebogo</v>
      </c>
      <c r="B69" s="134" t="str">
        <f>UlwaziExport[]&amp;""</f>
        <v>25203</v>
      </c>
      <c r="C69" s="134" t="str">
        <f>UlwaziExport[]&amp;""</f>
        <v>2307157@students.wits.ac.za</v>
      </c>
      <c r="D69" s="134" t="str">
        <f>UlwaziExport[]&amp;""</f>
        <v>2307157@students.wits.ac.za</v>
      </c>
      <c r="E69" s="134" t="str">
        <f>UlwaziExport[]&amp;""</f>
        <v>2307157</v>
      </c>
      <c r="F69" s="134" t="str">
        <f>UlwaziExport[]&amp;""</f>
        <v>Software Development II-2022-GEN</v>
      </c>
      <c r="G69" s="2" t="str">
        <f t="shared" ca="1" si="4"/>
        <v/>
      </c>
      <c r="H69" s="3" t="str">
        <f t="shared" ca="1" si="5"/>
        <v>1</v>
      </c>
      <c r="I69" s="3" t="str">
        <f t="shared" ca="1" si="5"/>
        <v/>
      </c>
      <c r="J69" s="3" t="str">
        <f t="shared" ca="1" si="5"/>
        <v/>
      </c>
      <c r="K69" s="3" t="str">
        <f t="shared" ca="1" si="5"/>
        <v/>
      </c>
    </row>
    <row r="70" spans="1:11">
      <c r="A70" s="134" t="str">
        <f>UlwaziExport[]&amp;""</f>
        <v>Lepako, Mahlatse</v>
      </c>
      <c r="B70" s="134" t="str">
        <f>UlwaziExport[]&amp;""</f>
        <v>38986</v>
      </c>
      <c r="C70" s="134" t="str">
        <f>UlwaziExport[]&amp;""</f>
        <v>1827340@students.wits.ac.za</v>
      </c>
      <c r="D70" s="134" t="str">
        <f>UlwaziExport[]&amp;""</f>
        <v>1827340@students.wits.ac.za</v>
      </c>
      <c r="E70" s="134" t="str">
        <f>UlwaziExport[]&amp;""</f>
        <v>1827340</v>
      </c>
      <c r="F70" s="134" t="str">
        <f>UlwaziExport[]&amp;""</f>
        <v>Software Development II-2022-GEN</v>
      </c>
      <c r="G70" s="2" t="str">
        <f t="shared" ca="1" si="4"/>
        <v/>
      </c>
      <c r="H70" s="3" t="str">
        <f t="shared" ca="1" si="5"/>
        <v>0</v>
      </c>
      <c r="I70" s="3" t="str">
        <f t="shared" ca="1" si="5"/>
        <v>No commits from this group member</v>
      </c>
      <c r="J70" s="3" t="str">
        <f t="shared" ca="1" si="5"/>
        <v/>
      </c>
      <c r="K70" s="3" t="str">
        <f t="shared" ca="1" si="5"/>
        <v/>
      </c>
    </row>
    <row r="71" spans="1:11">
      <c r="A71" s="134" t="str">
        <f>UlwaziExport[]&amp;""</f>
        <v>Lorgat, Sameer</v>
      </c>
      <c r="B71" s="134" t="str">
        <f>UlwaziExport[]&amp;""</f>
        <v>25069</v>
      </c>
      <c r="C71" s="134" t="str">
        <f>UlwaziExport[]&amp;""</f>
        <v>2306202@students.wits.ac.za</v>
      </c>
      <c r="D71" s="134" t="str">
        <f>UlwaziExport[]&amp;""</f>
        <v>2306202@students.wits.ac.za</v>
      </c>
      <c r="E71" s="134" t="str">
        <f>UlwaziExport[]&amp;""</f>
        <v>2306202</v>
      </c>
      <c r="F71" s="134" t="str">
        <f>UlwaziExport[]&amp;""</f>
        <v>Software Development II-2022-GEN</v>
      </c>
      <c r="G71" s="2" t="str">
        <f t="shared" ca="1" si="4"/>
        <v/>
      </c>
      <c r="H71" s="3" t="str">
        <f t="shared" ca="1" si="5"/>
        <v>1</v>
      </c>
      <c r="I71" s="3" t="str">
        <f t="shared" ca="1" si="5"/>
        <v/>
      </c>
      <c r="J71" s="3" t="str">
        <f t="shared" ca="1" si="5"/>
        <v/>
      </c>
      <c r="K71" s="3" t="str">
        <f t="shared" ca="1" si="5"/>
        <v/>
      </c>
    </row>
    <row r="72" spans="1:11">
      <c r="A72" s="134" t="str">
        <f>UlwaziExport[]&amp;""</f>
        <v>Luningo, Okuhle</v>
      </c>
      <c r="B72" s="134" t="str">
        <f>UlwaziExport[]&amp;""</f>
        <v>40611</v>
      </c>
      <c r="C72" s="134" t="str">
        <f>UlwaziExport[]&amp;""</f>
        <v>2108293@students.wits.ac.za</v>
      </c>
      <c r="D72" s="134" t="str">
        <f>UlwaziExport[]&amp;""</f>
        <v>2108293@students.wits.ac.za</v>
      </c>
      <c r="E72" s="134" t="str">
        <f>UlwaziExport[]&amp;""</f>
        <v>2108293</v>
      </c>
      <c r="F72" s="134" t="str">
        <f>UlwaziExport[]&amp;""</f>
        <v>Software Development II-2022-GEN</v>
      </c>
      <c r="G72" s="2" t="str">
        <f t="shared" ca="1" si="4"/>
        <v/>
      </c>
      <c r="H72" s="3" t="str">
        <f t="shared" ca="1" si="5"/>
        <v>1</v>
      </c>
      <c r="I72" s="3" t="str">
        <f t="shared" ca="1" si="5"/>
        <v/>
      </c>
      <c r="J72" s="3" t="str">
        <f t="shared" ca="1" si="5"/>
        <v/>
      </c>
      <c r="K72" s="3" t="str">
        <f t="shared" ca="1" si="5"/>
        <v/>
      </c>
    </row>
    <row r="73" spans="1:11">
      <c r="A73" s="134" t="str">
        <f>UlwaziExport[]&amp;""</f>
        <v>Mabula, Mosa</v>
      </c>
      <c r="B73" s="134" t="str">
        <f>UlwaziExport[]&amp;""</f>
        <v>28683</v>
      </c>
      <c r="C73" s="134" t="str">
        <f>UlwaziExport[]&amp;""</f>
        <v>2356839@students.wits.ac.za</v>
      </c>
      <c r="D73" s="134" t="str">
        <f>UlwaziExport[]&amp;""</f>
        <v>2356839@students.wits.ac.za</v>
      </c>
      <c r="E73" s="134" t="str">
        <f>UlwaziExport[]&amp;""</f>
        <v>2356839</v>
      </c>
      <c r="F73" s="134" t="str">
        <f>UlwaziExport[]&amp;""</f>
        <v>Software Development II-2022-GEN</v>
      </c>
      <c r="G73" s="2" t="str">
        <f t="shared" ca="1" si="4"/>
        <v/>
      </c>
      <c r="H73" s="3" t="str">
        <f t="shared" ca="1" si="5"/>
        <v>0</v>
      </c>
      <c r="I73" s="3" t="str">
        <f t="shared" ca="1" si="5"/>
        <v>Missing or partial/inadequate solution</v>
      </c>
      <c r="J73" s="3" t="str">
        <f t="shared" ca="1" si="5"/>
        <v/>
      </c>
      <c r="K73" s="3" t="str">
        <f t="shared" ca="1" si="5"/>
        <v/>
      </c>
    </row>
    <row r="74" spans="1:11">
      <c r="A74" s="134" t="str">
        <f>UlwaziExport[]&amp;""</f>
        <v>Magidi, Murendeni</v>
      </c>
      <c r="B74" s="134" t="str">
        <f>UlwaziExport[]&amp;""</f>
        <v>21584</v>
      </c>
      <c r="C74" s="134" t="str">
        <f>UlwaziExport[]&amp;""</f>
        <v>1864128@students.wits.ac.za</v>
      </c>
      <c r="D74" s="134" t="str">
        <f>UlwaziExport[]&amp;""</f>
        <v>1864128@students.wits.ac.za</v>
      </c>
      <c r="E74" s="134" t="str">
        <f>UlwaziExport[]&amp;""</f>
        <v>1864128</v>
      </c>
      <c r="F74" s="134" t="str">
        <f>UlwaziExport[]&amp;""</f>
        <v>Software Development II-2022-GEN</v>
      </c>
      <c r="G74" s="2" t="str">
        <f t="shared" ca="1" si="4"/>
        <v/>
      </c>
      <c r="H74" s="3" t="str">
        <f t="shared" ca="1" si="5"/>
        <v>1</v>
      </c>
      <c r="I74" s="3" t="str">
        <f t="shared" ca="1" si="5"/>
        <v/>
      </c>
      <c r="J74" s="3" t="str">
        <f t="shared" ca="1" si="5"/>
        <v/>
      </c>
      <c r="K74" s="3" t="str">
        <f t="shared" ca="1" si="5"/>
        <v/>
      </c>
    </row>
    <row r="75" spans="1:11">
      <c r="A75" s="134" t="str">
        <f>UlwaziExport[]&amp;""</f>
        <v>Mahlathi, Ntsikelelo</v>
      </c>
      <c r="B75" s="134" t="str">
        <f>UlwaziExport[]&amp;""</f>
        <v>55205</v>
      </c>
      <c r="C75" s="134" t="str">
        <f>UlwaziExport[]&amp;""</f>
        <v>1077227@students.wits.ac.za</v>
      </c>
      <c r="D75" s="134" t="str">
        <f>UlwaziExport[]&amp;""</f>
        <v>1077227@students.wits.ac.za</v>
      </c>
      <c r="E75" s="134" t="str">
        <f>UlwaziExport[]&amp;""</f>
        <v>1077227</v>
      </c>
      <c r="F75" s="134" t="str">
        <f>UlwaziExport[]&amp;""</f>
        <v>Software Development II-2022-GEN</v>
      </c>
      <c r="G75" s="2" t="str">
        <f t="shared" ca="1" si="4"/>
        <v/>
      </c>
      <c r="H75" s="3" t="str">
        <f t="shared" ca="1" si="5"/>
        <v>0</v>
      </c>
      <c r="I75" s="3" t="str">
        <f t="shared" ca="1" si="5"/>
        <v>Missing or partial/inadequate solution</v>
      </c>
      <c r="J75" s="3" t="str">
        <f t="shared" ca="1" si="5"/>
        <v/>
      </c>
      <c r="K75" s="3" t="str">
        <f t="shared" ca="1" si="5"/>
        <v/>
      </c>
    </row>
    <row r="76" spans="1:11">
      <c r="A76" s="134" t="str">
        <f>UlwaziExport[]&amp;""</f>
        <v>Makgwale, Mahlogonolo</v>
      </c>
      <c r="B76" s="134" t="str">
        <f>UlwaziExport[]&amp;""</f>
        <v>23720</v>
      </c>
      <c r="C76" s="134" t="str">
        <f>UlwaziExport[]&amp;""</f>
        <v>2165920@students.wits.ac.za</v>
      </c>
      <c r="D76" s="134" t="str">
        <f>UlwaziExport[]&amp;""</f>
        <v>2165920@students.wits.ac.za</v>
      </c>
      <c r="E76" s="134" t="str">
        <f>UlwaziExport[]&amp;""</f>
        <v>2165920</v>
      </c>
      <c r="F76" s="134" t="str">
        <f>UlwaziExport[]&amp;""</f>
        <v>Software Development II-2022-GEN</v>
      </c>
      <c r="G76" s="2" t="str">
        <f t="shared" ca="1" si="4"/>
        <v/>
      </c>
      <c r="H76" s="3" t="str">
        <f t="shared" ca="1" si="5"/>
        <v>0</v>
      </c>
      <c r="I76" s="3" t="str">
        <f t="shared" ca="1" si="5"/>
        <v>Pull request not found using search query</v>
      </c>
      <c r="J76" s="3" t="str">
        <f t="shared" ca="1" si="5"/>
        <v/>
      </c>
      <c r="K76" s="3" t="str">
        <f t="shared" ca="1" si="5"/>
        <v/>
      </c>
    </row>
    <row r="77" spans="1:11">
      <c r="A77" s="134" t="str">
        <f>UlwaziExport[]&amp;""</f>
        <v>Mamatlepa, Ignatious</v>
      </c>
      <c r="B77" s="134" t="str">
        <f>UlwaziExport[]&amp;""</f>
        <v>50612</v>
      </c>
      <c r="C77" s="134" t="str">
        <f>UlwaziExport[]&amp;""</f>
        <v>1775759@students.wits.ac.za</v>
      </c>
      <c r="D77" s="134" t="str">
        <f>UlwaziExport[]&amp;""</f>
        <v>1775759@students.wits.ac.za</v>
      </c>
      <c r="E77" s="134" t="str">
        <f>UlwaziExport[]&amp;""</f>
        <v>1775759</v>
      </c>
      <c r="F77" s="134" t="str">
        <f>UlwaziExport[]&amp;""</f>
        <v>Software Development II-2022-GEN</v>
      </c>
      <c r="G77" s="2" t="str">
        <f t="shared" ca="1" si="4"/>
        <v/>
      </c>
      <c r="H77" s="3" t="str">
        <f t="shared" ca="1" si="5"/>
        <v>0</v>
      </c>
      <c r="I77" s="3" t="str">
        <f t="shared" ca="1" si="5"/>
        <v>Pull request not found using search query</v>
      </c>
      <c r="J77" s="3" t="str">
        <f t="shared" ca="1" si="5"/>
        <v/>
      </c>
      <c r="K77" s="3" t="str">
        <f t="shared" ca="1" si="5"/>
        <v/>
      </c>
    </row>
    <row r="78" spans="1:11">
      <c r="A78" s="134" t="str">
        <f>UlwaziExport[]&amp;""</f>
        <v>Manjra, Ishak</v>
      </c>
      <c r="B78" s="134" t="str">
        <f>UlwaziExport[]&amp;""</f>
        <v>23263</v>
      </c>
      <c r="C78" s="134" t="str">
        <f>UlwaziExport[]&amp;""</f>
        <v>2088691@students.wits.ac.za</v>
      </c>
      <c r="D78" s="134" t="str">
        <f>UlwaziExport[]&amp;""</f>
        <v>2088691@students.wits.ac.za</v>
      </c>
      <c r="E78" s="134" t="str">
        <f>UlwaziExport[]&amp;""</f>
        <v>2088691</v>
      </c>
      <c r="F78" s="134" t="str">
        <f>UlwaziExport[]&amp;""</f>
        <v>Software Development II-2022-GEN</v>
      </c>
      <c r="G78" s="2" t="str">
        <f t="shared" ca="1" si="4"/>
        <v/>
      </c>
      <c r="H78" s="3" t="str">
        <f t="shared" ca="1" si="5"/>
        <v>1</v>
      </c>
      <c r="I78" s="3" t="str">
        <f t="shared" ca="1" si="5"/>
        <v/>
      </c>
      <c r="J78" s="3" t="str">
        <f t="shared" ca="1" si="5"/>
        <v/>
      </c>
      <c r="K78" s="3" t="str">
        <f t="shared" ca="1" si="5"/>
        <v/>
      </c>
    </row>
    <row r="79" spans="1:11">
      <c r="A79" s="134" t="str">
        <f>UlwaziExport[]&amp;""</f>
        <v>Manone, Martha</v>
      </c>
      <c r="B79" s="134" t="str">
        <f>UlwaziExport[]&amp;""</f>
        <v>39754</v>
      </c>
      <c r="C79" s="134" t="str">
        <f>UlwaziExport[]&amp;""</f>
        <v>1832762@students.wits.ac.za</v>
      </c>
      <c r="D79" s="134" t="str">
        <f>UlwaziExport[]&amp;""</f>
        <v>1832762@students.wits.ac.za</v>
      </c>
      <c r="E79" s="134" t="str">
        <f>UlwaziExport[]&amp;""</f>
        <v>1832762</v>
      </c>
      <c r="F79" s="134" t="str">
        <f>UlwaziExport[]&amp;""</f>
        <v>Software Development II-2022-GEN</v>
      </c>
      <c r="G79" s="2" t="str">
        <f t="shared" ca="1" si="4"/>
        <v/>
      </c>
      <c r="H79" s="3" t="str">
        <f t="shared" ca="1" si="5"/>
        <v>0</v>
      </c>
      <c r="I79" s="3" t="str">
        <f t="shared" ca="1" si="5"/>
        <v>A commit includes solutions to multiple exercises</v>
      </c>
      <c r="J79" s="3" t="str">
        <f t="shared" ca="1" si="5"/>
        <v/>
      </c>
      <c r="K79" s="3" t="str">
        <f t="shared" ca="1" si="5"/>
        <v/>
      </c>
    </row>
    <row r="80" spans="1:11">
      <c r="A80" s="134" t="str">
        <f>UlwaziExport[]&amp;""</f>
        <v>Manqele, Anele Pretty</v>
      </c>
      <c r="B80" s="134" t="str">
        <f>UlwaziExport[]&amp;""</f>
        <v>25490</v>
      </c>
      <c r="C80" s="134" t="str">
        <f>UlwaziExport[]&amp;""</f>
        <v>2136569@students.wits.ac.za</v>
      </c>
      <c r="D80" s="134" t="str">
        <f>UlwaziExport[]&amp;""</f>
        <v>2136569@students.wits.ac.za</v>
      </c>
      <c r="E80" s="134" t="str">
        <f>UlwaziExport[]&amp;""</f>
        <v>2136569</v>
      </c>
      <c r="F80" s="134" t="str">
        <f>UlwaziExport[]&amp;""</f>
        <v>Software Development II-2022-GEN</v>
      </c>
      <c r="G80" s="2" t="str">
        <f t="shared" ca="1" si="4"/>
        <v/>
      </c>
      <c r="H80" s="3" t="str">
        <f t="shared" ca="1" si="5"/>
        <v>0</v>
      </c>
      <c r="I80" s="3" t="str">
        <f t="shared" ca="1" si="5"/>
        <v>Missing or partial/inadequate solution</v>
      </c>
      <c r="J80" s="3" t="str">
        <f t="shared" ca="1" si="5"/>
        <v/>
      </c>
      <c r="K80" s="3" t="str">
        <f t="shared" ca="1" si="5"/>
        <v/>
      </c>
    </row>
    <row r="81" spans="1:11">
      <c r="A81" s="134" t="str">
        <f>UlwaziExport[]&amp;""</f>
        <v>Mantsha, Rotenda</v>
      </c>
      <c r="B81" s="134" t="str">
        <f>UlwaziExport[]&amp;""</f>
        <v>24862</v>
      </c>
      <c r="C81" s="134" t="str">
        <f>UlwaziExport[]&amp;""</f>
        <v>2305164@students.wits.ac.za</v>
      </c>
      <c r="D81" s="134" t="str">
        <f>UlwaziExport[]&amp;""</f>
        <v>2305164@students.wits.ac.za</v>
      </c>
      <c r="E81" s="134" t="str">
        <f>UlwaziExport[]&amp;""</f>
        <v>2305164</v>
      </c>
      <c r="F81" s="134" t="str">
        <f>UlwaziExport[]&amp;""</f>
        <v>Software Development II-2022-GEN</v>
      </c>
      <c r="G81" s="2" t="str">
        <f t="shared" ca="1" si="4"/>
        <v/>
      </c>
      <c r="H81" s="3" t="str">
        <f t="shared" ref="H81:K112" ca="1" si="6">IF(AND(H$1&lt;&gt;"",$A81&lt;&gt;""),_xlfn.IFNA(INDEX(INDIRECT($G$3&amp;"["&amp;H$1&amp;"]"),MATCH(TRIM(LEFT($D81,FIND("@",$D81)-1)),INDIRECT($G$3&amp;"[[Student No.]:[Student No.]]"),0))&amp;"","Missing!"),"")</f>
        <v>0</v>
      </c>
      <c r="I81" s="3" t="str">
        <f t="shared" ca="1" si="6"/>
        <v>Incorrect commit history</v>
      </c>
      <c r="J81" s="3" t="str">
        <f t="shared" ca="1" si="6"/>
        <v/>
      </c>
      <c r="K81" s="3" t="str">
        <f t="shared" ca="1" si="6"/>
        <v/>
      </c>
    </row>
    <row r="82" spans="1:11">
      <c r="A82" s="134" t="str">
        <f>UlwaziExport[]&amp;""</f>
        <v>Marantos, George</v>
      </c>
      <c r="B82" s="134" t="str">
        <f>UlwaziExport[]&amp;""</f>
        <v>23756</v>
      </c>
      <c r="C82" s="134" t="str">
        <f>UlwaziExport[]&amp;""</f>
        <v>2116287@students.wits.ac.za</v>
      </c>
      <c r="D82" s="134" t="str">
        <f>UlwaziExport[]&amp;""</f>
        <v>2116287@students.wits.ac.za</v>
      </c>
      <c r="E82" s="134" t="str">
        <f>UlwaziExport[]&amp;""</f>
        <v>2116287</v>
      </c>
      <c r="F82" s="134" t="str">
        <f>UlwaziExport[]&amp;""</f>
        <v>Software Development II-2022-GEN</v>
      </c>
      <c r="G82" s="2" t="str">
        <f t="shared" ca="1" si="4"/>
        <v/>
      </c>
      <c r="H82" s="3" t="str">
        <f t="shared" ca="1" si="6"/>
        <v>1</v>
      </c>
      <c r="I82" s="3" t="str">
        <f t="shared" ca="1" si="6"/>
        <v/>
      </c>
      <c r="J82" s="3" t="str">
        <f t="shared" ca="1" si="6"/>
        <v/>
      </c>
      <c r="K82" s="3" t="str">
        <f t="shared" ca="1" si="6"/>
        <v/>
      </c>
    </row>
    <row r="83" spans="1:11">
      <c r="A83" s="134" t="str">
        <f>UlwaziExport[]&amp;""</f>
        <v>Maseko, Koketso</v>
      </c>
      <c r="B83" s="134" t="str">
        <f>UlwaziExport[]&amp;""</f>
        <v>42444</v>
      </c>
      <c r="C83" s="134" t="str">
        <f>UlwaziExport[]&amp;""</f>
        <v>2164579@students.wits.ac.za</v>
      </c>
      <c r="D83" s="134" t="str">
        <f>UlwaziExport[]&amp;""</f>
        <v>2164579@students.wits.ac.za</v>
      </c>
      <c r="E83" s="134" t="str">
        <f>UlwaziExport[]&amp;""</f>
        <v>2164579</v>
      </c>
      <c r="F83" s="134" t="str">
        <f>UlwaziExport[]&amp;""</f>
        <v>Software Development II-2022-GEN</v>
      </c>
      <c r="G83" s="2" t="str">
        <f t="shared" ca="1" si="4"/>
        <v/>
      </c>
      <c r="H83" s="3" t="str">
        <f t="shared" ca="1" si="6"/>
        <v>0</v>
      </c>
      <c r="I83" s="3" t="str">
        <f t="shared" ca="1" si="6"/>
        <v>A commit includes solutions to multiple exercises</v>
      </c>
      <c r="J83" s="3" t="str">
        <f t="shared" ca="1" si="6"/>
        <v/>
      </c>
      <c r="K83" s="3" t="str">
        <f t="shared" ca="1" si="6"/>
        <v/>
      </c>
    </row>
    <row r="84" spans="1:11">
      <c r="A84" s="134" t="str">
        <f>UlwaziExport[]&amp;""</f>
        <v>Mashinini, Thamsanqa</v>
      </c>
      <c r="B84" s="134" t="str">
        <f>UlwaziExport[]&amp;""</f>
        <v>42458</v>
      </c>
      <c r="C84" s="134" t="str">
        <f>UlwaziExport[]&amp;""</f>
        <v>2107610@students.wits.ac.za</v>
      </c>
      <c r="D84" s="134" t="str">
        <f>UlwaziExport[]&amp;""</f>
        <v>2107610@students.wits.ac.za</v>
      </c>
      <c r="E84" s="134" t="str">
        <f>UlwaziExport[]&amp;""</f>
        <v>2107610</v>
      </c>
      <c r="F84" s="134" t="str">
        <f>UlwaziExport[]&amp;""</f>
        <v>Software Development II-2022-GEN</v>
      </c>
      <c r="G84" s="2" t="str">
        <f t="shared" ca="1" si="4"/>
        <v/>
      </c>
      <c r="H84" s="3" t="str">
        <f t="shared" ca="1" si="6"/>
        <v>0</v>
      </c>
      <c r="I84" s="3" t="str">
        <f t="shared" ca="1" si="6"/>
        <v>Pull request not found using search query</v>
      </c>
      <c r="J84" s="3" t="str">
        <f t="shared" ca="1" si="6"/>
        <v/>
      </c>
      <c r="K84" s="3" t="str">
        <f t="shared" ca="1" si="6"/>
        <v/>
      </c>
    </row>
    <row r="85" spans="1:11">
      <c r="A85" s="134" t="str">
        <f>UlwaziExport[]&amp;""</f>
        <v>Masilela, Kabelo</v>
      </c>
      <c r="B85" s="134" t="str">
        <f>UlwaziExport[]&amp;""</f>
        <v>30310</v>
      </c>
      <c r="C85" s="134" t="str">
        <f>UlwaziExport[]&amp;""</f>
        <v>2367318@students.wits.ac.za</v>
      </c>
      <c r="D85" s="134" t="str">
        <f>UlwaziExport[]&amp;""</f>
        <v>2367318@students.wits.ac.za</v>
      </c>
      <c r="E85" s="134" t="str">
        <f>UlwaziExport[]&amp;""</f>
        <v>2367318</v>
      </c>
      <c r="F85" s="134" t="str">
        <f>UlwaziExport[]&amp;""</f>
        <v>Software Development II-2022-GEN</v>
      </c>
      <c r="G85" s="2" t="str">
        <f t="shared" ca="1" si="4"/>
        <v/>
      </c>
      <c r="H85" s="3" t="str">
        <f t="shared" ca="1" si="6"/>
        <v>0</v>
      </c>
      <c r="I85" s="3" t="str">
        <f t="shared" ca="1" si="6"/>
        <v>Pull request not found using search query</v>
      </c>
      <c r="J85" s="3" t="str">
        <f t="shared" ca="1" si="6"/>
        <v/>
      </c>
      <c r="K85" s="3" t="str">
        <f t="shared" ca="1" si="6"/>
        <v/>
      </c>
    </row>
    <row r="86" spans="1:11">
      <c r="A86" s="134" t="str">
        <f>UlwaziExport[]&amp;""</f>
        <v>Mathebula, Vukosi</v>
      </c>
      <c r="B86" s="134" t="str">
        <f>UlwaziExport[]&amp;""</f>
        <v>27939</v>
      </c>
      <c r="C86" s="134" t="str">
        <f>UlwaziExport[]&amp;""</f>
        <v>2352044@students.wits.ac.za</v>
      </c>
      <c r="D86" s="134" t="str">
        <f>UlwaziExport[]&amp;""</f>
        <v>2352044@students.wits.ac.za</v>
      </c>
      <c r="E86" s="134" t="str">
        <f>UlwaziExport[]&amp;""</f>
        <v>2352044</v>
      </c>
      <c r="F86" s="134" t="str">
        <f>UlwaziExport[]&amp;""</f>
        <v>Software Development II-2022-GEN</v>
      </c>
      <c r="G86" s="2" t="str">
        <f t="shared" ca="1" si="4"/>
        <v/>
      </c>
      <c r="H86" s="3" t="str">
        <f t="shared" ca="1" si="6"/>
        <v>0</v>
      </c>
      <c r="I86" s="3" t="str">
        <f t="shared" ca="1" si="6"/>
        <v>Pull request not found using search query</v>
      </c>
      <c r="J86" s="3" t="str">
        <f t="shared" ca="1" si="6"/>
        <v/>
      </c>
      <c r="K86" s="3" t="str">
        <f t="shared" ca="1" si="6"/>
        <v/>
      </c>
    </row>
    <row r="87" spans="1:11">
      <c r="A87" s="134" t="str">
        <f>UlwaziExport[]&amp;""</f>
        <v>Mbonani, Sfiso</v>
      </c>
      <c r="B87" s="134" t="str">
        <f>UlwaziExport[]&amp;""</f>
        <v>40547</v>
      </c>
      <c r="C87" s="134" t="str">
        <f>UlwaziExport[]&amp;""</f>
        <v>2089948@students.wits.ac.za</v>
      </c>
      <c r="D87" s="134" t="str">
        <f>UlwaziExport[]&amp;""</f>
        <v>2089948@students.wits.ac.za</v>
      </c>
      <c r="E87" s="134" t="str">
        <f>UlwaziExport[]&amp;""</f>
        <v>2089948</v>
      </c>
      <c r="F87" s="134" t="str">
        <f>UlwaziExport[]&amp;""</f>
        <v>Software Development II-2022-GEN</v>
      </c>
      <c r="G87" s="2" t="str">
        <f t="shared" ca="1" si="4"/>
        <v/>
      </c>
      <c r="H87" s="3" t="str">
        <f t="shared" ca="1" si="6"/>
        <v>0</v>
      </c>
      <c r="I87" s="3" t="str">
        <f t="shared" ca="1" si="6"/>
        <v>Missing or partial/inadequate solution</v>
      </c>
      <c r="J87" s="3" t="str">
        <f t="shared" ca="1" si="6"/>
        <v/>
      </c>
      <c r="K87" s="3" t="str">
        <f t="shared" ca="1" si="6"/>
        <v/>
      </c>
    </row>
    <row r="88" spans="1:11">
      <c r="A88" s="134" t="str">
        <f>UlwaziExport[]&amp;""</f>
        <v>Menon, Rohit</v>
      </c>
      <c r="B88" s="134" t="str">
        <f>UlwaziExport[]&amp;""</f>
        <v>26008</v>
      </c>
      <c r="C88" s="134" t="str">
        <f>UlwaziExport[]&amp;""</f>
        <v>2313178@students.wits.ac.za</v>
      </c>
      <c r="D88" s="134" t="str">
        <f>UlwaziExport[]&amp;""</f>
        <v>2313178@students.wits.ac.za</v>
      </c>
      <c r="E88" s="134" t="str">
        <f>UlwaziExport[]&amp;""</f>
        <v>2313178</v>
      </c>
      <c r="F88" s="134" t="str">
        <f>UlwaziExport[]&amp;""</f>
        <v>Software Development II-2022-GEN</v>
      </c>
      <c r="G88" s="2" t="str">
        <f t="shared" ca="1" si="4"/>
        <v/>
      </c>
      <c r="H88" s="3" t="str">
        <f t="shared" ca="1" si="6"/>
        <v>1</v>
      </c>
      <c r="I88" s="3" t="str">
        <f t="shared" ca="1" si="6"/>
        <v/>
      </c>
      <c r="J88" s="3" t="str">
        <f t="shared" ca="1" si="6"/>
        <v/>
      </c>
      <c r="K88" s="3" t="str">
        <f t="shared" ca="1" si="6"/>
        <v/>
      </c>
    </row>
    <row r="89" spans="1:11">
      <c r="A89" s="134" t="str">
        <f>UlwaziExport[]&amp;""</f>
        <v>Mgano, Siphesihle</v>
      </c>
      <c r="B89" s="134" t="str">
        <f>UlwaziExport[]&amp;""</f>
        <v>26261</v>
      </c>
      <c r="C89" s="134" t="str">
        <f>UlwaziExport[]&amp;""</f>
        <v>2142882@students.wits.ac.za</v>
      </c>
      <c r="D89" s="134" t="str">
        <f>UlwaziExport[]&amp;""</f>
        <v>2142882@students.wits.ac.za</v>
      </c>
      <c r="E89" s="134" t="str">
        <f>UlwaziExport[]&amp;""</f>
        <v>2142882</v>
      </c>
      <c r="F89" s="134" t="str">
        <f>UlwaziExport[]&amp;""</f>
        <v>Software Development II-2022-GEN</v>
      </c>
      <c r="G89" s="2" t="str">
        <f t="shared" ca="1" si="4"/>
        <v/>
      </c>
      <c r="H89" s="3" t="str">
        <f t="shared" ca="1" si="6"/>
        <v>1</v>
      </c>
      <c r="I89" s="3" t="str">
        <f t="shared" ca="1" si="6"/>
        <v/>
      </c>
      <c r="J89" s="3" t="str">
        <f t="shared" ca="1" si="6"/>
        <v/>
      </c>
      <c r="K89" s="3" t="str">
        <f t="shared" ca="1" si="6"/>
        <v/>
      </c>
    </row>
    <row r="90" spans="1:11">
      <c r="A90" s="134" t="str">
        <f>UlwaziExport[]&amp;""</f>
        <v>Mkhize, Bhekanani</v>
      </c>
      <c r="B90" s="134" t="str">
        <f>UlwaziExport[]&amp;""</f>
        <v>34815</v>
      </c>
      <c r="C90" s="134" t="str">
        <f>UlwaziExport[]&amp;""</f>
        <v>2141245@students.wits.ac.za</v>
      </c>
      <c r="D90" s="134" t="str">
        <f>UlwaziExport[]&amp;""</f>
        <v>2141245@students.wits.ac.za</v>
      </c>
      <c r="E90" s="134" t="str">
        <f>UlwaziExport[]&amp;""</f>
        <v>2141245</v>
      </c>
      <c r="F90" s="134" t="str">
        <f>UlwaziExport[]&amp;""</f>
        <v>Software Development II-2022-GEN</v>
      </c>
      <c r="G90" s="2" t="str">
        <f t="shared" ca="1" si="4"/>
        <v/>
      </c>
      <c r="H90" s="3" t="str">
        <f t="shared" ca="1" si="6"/>
        <v>1</v>
      </c>
      <c r="I90" s="3" t="str">
        <f t="shared" ca="1" si="6"/>
        <v/>
      </c>
      <c r="J90" s="3" t="str">
        <f t="shared" ca="1" si="6"/>
        <v/>
      </c>
      <c r="K90" s="3" t="str">
        <f t="shared" ca="1" si="6"/>
        <v/>
      </c>
    </row>
    <row r="91" spans="1:11">
      <c r="A91" s="134" t="str">
        <f>UlwaziExport[]&amp;""</f>
        <v>Mkhize, Zethembe</v>
      </c>
      <c r="B91" s="134" t="str">
        <f>UlwaziExport[]&amp;""</f>
        <v>20636</v>
      </c>
      <c r="C91" s="134" t="str">
        <f>UlwaziExport[]&amp;""</f>
        <v>1854920@students.wits.ac.za</v>
      </c>
      <c r="D91" s="134" t="str">
        <f>UlwaziExport[]&amp;""</f>
        <v>1854920@students.wits.ac.za</v>
      </c>
      <c r="E91" s="134" t="str">
        <f>UlwaziExport[]&amp;""</f>
        <v>1854920</v>
      </c>
      <c r="F91" s="134" t="str">
        <f>UlwaziExport[]&amp;""</f>
        <v>Software Development II-2022-GEN</v>
      </c>
      <c r="G91" s="2" t="str">
        <f t="shared" ca="1" si="4"/>
        <v/>
      </c>
      <c r="H91" s="3" t="str">
        <f t="shared" ca="1" si="6"/>
        <v>1</v>
      </c>
      <c r="I91" s="3" t="str">
        <f t="shared" ca="1" si="6"/>
        <v/>
      </c>
      <c r="J91" s="3" t="str">
        <f t="shared" ca="1" si="6"/>
        <v/>
      </c>
      <c r="K91" s="3" t="str">
        <f t="shared" ca="1" si="6"/>
        <v/>
      </c>
    </row>
    <row r="92" spans="1:11">
      <c r="A92" s="134" t="str">
        <f>UlwaziExport[]&amp;""</f>
        <v>Mlaba, Zamaswazi</v>
      </c>
      <c r="B92" s="134" t="str">
        <f>UlwaziExport[]&amp;""</f>
        <v>30770</v>
      </c>
      <c r="C92" s="134" t="str">
        <f>UlwaziExport[]&amp;""</f>
        <v>2345339@students.wits.ac.za</v>
      </c>
      <c r="D92" s="134" t="str">
        <f>UlwaziExport[]&amp;""</f>
        <v>2345339@students.wits.ac.za</v>
      </c>
      <c r="E92" s="134" t="str">
        <f>UlwaziExport[]&amp;""</f>
        <v>2345339</v>
      </c>
      <c r="F92" s="134" t="str">
        <f>UlwaziExport[]&amp;""</f>
        <v>Software Development II-2022-GEN</v>
      </c>
      <c r="G92" s="2" t="str">
        <f t="shared" ca="1" si="4"/>
        <v/>
      </c>
      <c r="H92" s="3" t="str">
        <f t="shared" ca="1" si="6"/>
        <v>1</v>
      </c>
      <c r="I92" s="3" t="str">
        <f t="shared" ca="1" si="6"/>
        <v/>
      </c>
      <c r="J92" s="3" t="str">
        <f t="shared" ca="1" si="6"/>
        <v/>
      </c>
      <c r="K92" s="3" t="str">
        <f t="shared" ca="1" si="6"/>
        <v/>
      </c>
    </row>
    <row r="93" spans="1:11">
      <c r="A93" s="134" t="str">
        <f>UlwaziExport[]&amp;""</f>
        <v>Mlambo, Bongani</v>
      </c>
      <c r="B93" s="134" t="str">
        <f>UlwaziExport[]&amp;""</f>
        <v>50198</v>
      </c>
      <c r="C93" s="134" t="str">
        <f>UlwaziExport[]&amp;""</f>
        <v>1284667@students.wits.ac.za</v>
      </c>
      <c r="D93" s="134" t="str">
        <f>UlwaziExport[]&amp;""</f>
        <v>1284667@students.wits.ac.za</v>
      </c>
      <c r="E93" s="134" t="str">
        <f>UlwaziExport[]&amp;""</f>
        <v>1284667</v>
      </c>
      <c r="F93" s="134" t="str">
        <f>UlwaziExport[]&amp;""</f>
        <v>Software Development II-2022-GEN</v>
      </c>
      <c r="G93" s="2" t="str">
        <f t="shared" ca="1" si="4"/>
        <v/>
      </c>
      <c r="H93" s="3" t="str">
        <f t="shared" ca="1" si="6"/>
        <v>Missing!</v>
      </c>
      <c r="I93" s="3" t="str">
        <f t="shared" ca="1" si="6"/>
        <v>Missing!</v>
      </c>
      <c r="J93" s="3" t="str">
        <f t="shared" ca="1" si="6"/>
        <v/>
      </c>
      <c r="K93" s="3" t="str">
        <f t="shared" ca="1" si="6"/>
        <v/>
      </c>
    </row>
    <row r="94" spans="1:11">
      <c r="A94" s="134" t="str">
        <f>UlwaziExport[]&amp;""</f>
        <v>Mngomeni, Nompumelelo</v>
      </c>
      <c r="B94" s="134" t="str">
        <f>UlwaziExport[]&amp;""</f>
        <v>24865</v>
      </c>
      <c r="C94" s="134" t="str">
        <f>UlwaziExport[]&amp;""</f>
        <v>2129606@students.wits.ac.za</v>
      </c>
      <c r="D94" s="134" t="str">
        <f>UlwaziExport[]&amp;""</f>
        <v>2129606@students.wits.ac.za</v>
      </c>
      <c r="E94" s="134" t="str">
        <f>UlwaziExport[]&amp;""</f>
        <v>2129606</v>
      </c>
      <c r="F94" s="134" t="str">
        <f>UlwaziExport[]&amp;""</f>
        <v>Software Development II-2022-GEN</v>
      </c>
      <c r="G94" s="2" t="str">
        <f t="shared" ca="1" si="4"/>
        <v/>
      </c>
      <c r="H94" s="3" t="str">
        <f t="shared" ca="1" si="6"/>
        <v>0</v>
      </c>
      <c r="I94" s="3" t="str">
        <f t="shared" ca="1" si="6"/>
        <v>Missing or partial/inadequate solution</v>
      </c>
      <c r="J94" s="3" t="str">
        <f t="shared" ca="1" si="6"/>
        <v/>
      </c>
      <c r="K94" s="3" t="str">
        <f t="shared" ca="1" si="6"/>
        <v/>
      </c>
    </row>
    <row r="95" spans="1:11">
      <c r="A95" s="134" t="str">
        <f>UlwaziExport[]&amp;""</f>
        <v>Mngomezulu, Nhlakanipho</v>
      </c>
      <c r="B95" s="134" t="str">
        <f>UlwaziExport[]&amp;""</f>
        <v>29866</v>
      </c>
      <c r="C95" s="134" t="str">
        <f>UlwaziExport[]&amp;""</f>
        <v>2363523@students.wits.ac.za</v>
      </c>
      <c r="D95" s="134" t="str">
        <f>UlwaziExport[]&amp;""</f>
        <v>2363523@students.wits.ac.za</v>
      </c>
      <c r="E95" s="134" t="str">
        <f>UlwaziExport[]&amp;""</f>
        <v>2363523</v>
      </c>
      <c r="F95" s="134" t="str">
        <f>UlwaziExport[]&amp;""</f>
        <v>Software Development II-2022-GEN</v>
      </c>
      <c r="G95" s="2" t="str">
        <f t="shared" ca="1" si="4"/>
        <v/>
      </c>
      <c r="H95" s="3" t="str">
        <f t="shared" ca="1" si="6"/>
        <v>0</v>
      </c>
      <c r="I95" s="3" t="str">
        <f t="shared" ca="1" si="6"/>
        <v>Missing or partial/inadequate solution</v>
      </c>
      <c r="J95" s="3" t="str">
        <f t="shared" ca="1" si="6"/>
        <v/>
      </c>
      <c r="K95" s="3" t="str">
        <f t="shared" ca="1" si="6"/>
        <v/>
      </c>
    </row>
    <row r="96" spans="1:11">
      <c r="A96" s="134" t="str">
        <f>UlwaziExport[]&amp;""</f>
        <v>Moagi, Thapelo</v>
      </c>
      <c r="B96" s="134" t="str">
        <f>UlwaziExport[]&amp;""</f>
        <v>27204</v>
      </c>
      <c r="C96" s="134" t="str">
        <f>UlwaziExport[]&amp;""</f>
        <v>2347976@students.wits.ac.za</v>
      </c>
      <c r="D96" s="134" t="str">
        <f>UlwaziExport[]&amp;""</f>
        <v>2347976@students.wits.ac.za</v>
      </c>
      <c r="E96" s="134" t="str">
        <f>UlwaziExport[]&amp;""</f>
        <v>2347976</v>
      </c>
      <c r="F96" s="134" t="str">
        <f>UlwaziExport[]&amp;""</f>
        <v>Software Development II-2022-GEN</v>
      </c>
      <c r="G96" s="2" t="str">
        <f t="shared" ca="1" si="4"/>
        <v/>
      </c>
      <c r="H96" s="3" t="str">
        <f t="shared" ca="1" si="6"/>
        <v>0</v>
      </c>
      <c r="I96" s="3" t="str">
        <f t="shared" ca="1" si="6"/>
        <v>Pull request not found using search query</v>
      </c>
      <c r="J96" s="3" t="str">
        <f t="shared" ca="1" si="6"/>
        <v/>
      </c>
      <c r="K96" s="3" t="str">
        <f t="shared" ca="1" si="6"/>
        <v/>
      </c>
    </row>
    <row r="97" spans="1:11">
      <c r="A97" s="134" t="str">
        <f>UlwaziExport[]&amp;""</f>
        <v>Modise, Thokozani</v>
      </c>
      <c r="B97" s="134" t="str">
        <f>UlwaziExport[]&amp;""</f>
        <v>39624</v>
      </c>
      <c r="C97" s="134" t="str">
        <f>UlwaziExport[]&amp;""</f>
        <v>1132593@students.wits.ac.za</v>
      </c>
      <c r="D97" s="134" t="str">
        <f>UlwaziExport[]&amp;""</f>
        <v>1132593@students.wits.ac.za</v>
      </c>
      <c r="E97" s="134" t="str">
        <f>UlwaziExport[]&amp;""</f>
        <v>1132593</v>
      </c>
      <c r="F97" s="134" t="str">
        <f>UlwaziExport[]&amp;""</f>
        <v>Software Development II-2022-GEN</v>
      </c>
      <c r="G97" s="2" t="str">
        <f t="shared" ca="1" si="4"/>
        <v/>
      </c>
      <c r="H97" s="3" t="str">
        <f t="shared" ca="1" si="6"/>
        <v>0</v>
      </c>
      <c r="I97" s="3" t="str">
        <f t="shared" ca="1" si="6"/>
        <v>Pull request not found using search query</v>
      </c>
      <c r="J97" s="3" t="str">
        <f t="shared" ca="1" si="6"/>
        <v/>
      </c>
      <c r="K97" s="3" t="str">
        <f t="shared" ref="K97:K128" ca="1" si="7">IF(AND(K$1&lt;&gt;"",$A97&lt;&gt;""),_xlfn.IFNA(INDEX(INDIRECT($G$3&amp;"["&amp;K$1&amp;"]"),MATCH(TRIM(LEFT($D97,FIND("@",$D97)-1)),INDIRECT($G$3&amp;"[[Student No.]:[Student No.]]"),0))&amp;"","Missing!"),"")</f>
        <v/>
      </c>
    </row>
    <row r="98" spans="1:11">
      <c r="A98" s="134" t="str">
        <f>UlwaziExport[]&amp;""</f>
        <v>Mofokeng, Lefa</v>
      </c>
      <c r="B98" s="134" t="str">
        <f>UlwaziExport[]&amp;""</f>
        <v>41468</v>
      </c>
      <c r="C98" s="134" t="str">
        <f>UlwaziExport[]&amp;""</f>
        <v>1501646@students.wits.ac.za</v>
      </c>
      <c r="D98" s="134" t="str">
        <f>UlwaziExport[]&amp;""</f>
        <v>1501646@students.wits.ac.za</v>
      </c>
      <c r="E98" s="134" t="str">
        <f>UlwaziExport[]&amp;""</f>
        <v>1501646</v>
      </c>
      <c r="F98" s="134" t="str">
        <f>UlwaziExport[]&amp;""</f>
        <v>Software Development II-2022-GEN</v>
      </c>
      <c r="G98" s="2" t="str">
        <f t="shared" ca="1" si="4"/>
        <v/>
      </c>
      <c r="H98" s="3" t="str">
        <f t="shared" ca="1" si="6"/>
        <v>1</v>
      </c>
      <c r="I98" s="3" t="str">
        <f t="shared" ca="1" si="6"/>
        <v/>
      </c>
      <c r="J98" s="3" t="str">
        <f t="shared" ca="1" si="6"/>
        <v/>
      </c>
      <c r="K98" s="3" t="str">
        <f t="shared" ca="1" si="7"/>
        <v/>
      </c>
    </row>
    <row r="99" spans="1:11">
      <c r="A99" s="134" t="str">
        <f>UlwaziExport[]&amp;""</f>
        <v>Mohamed, Faadhil</v>
      </c>
      <c r="B99" s="134" t="str">
        <f>UlwaziExport[]&amp;""</f>
        <v>25482</v>
      </c>
      <c r="C99" s="134" t="str">
        <f>UlwaziExport[]&amp;""</f>
        <v>2103173@students.wits.ac.za</v>
      </c>
      <c r="D99" s="134" t="str">
        <f>UlwaziExport[]&amp;""</f>
        <v>2103173@students.wits.ac.za</v>
      </c>
      <c r="E99" s="134" t="str">
        <f>UlwaziExport[]&amp;""</f>
        <v>2103173</v>
      </c>
      <c r="F99" s="134" t="str">
        <f>UlwaziExport[]&amp;""</f>
        <v>Software Development II-2022-GEN</v>
      </c>
      <c r="G99" s="2" t="str">
        <f t="shared" ca="1" si="4"/>
        <v/>
      </c>
      <c r="H99" s="3" t="str">
        <f t="shared" ca="1" si="6"/>
        <v>1</v>
      </c>
      <c r="I99" s="3" t="str">
        <f t="shared" ca="1" si="6"/>
        <v/>
      </c>
      <c r="J99" s="3" t="str">
        <f t="shared" ca="1" si="6"/>
        <v/>
      </c>
      <c r="K99" s="3" t="str">
        <f t="shared" ca="1" si="7"/>
        <v/>
      </c>
    </row>
    <row r="100" spans="1:11">
      <c r="A100" s="134" t="str">
        <f>UlwaziExport[]&amp;""</f>
        <v>Mokgehle, Phuti</v>
      </c>
      <c r="B100" s="134" t="str">
        <f>UlwaziExport[]&amp;""</f>
        <v>20277</v>
      </c>
      <c r="C100" s="134" t="str">
        <f>UlwaziExport[]&amp;""</f>
        <v>1852217@students.wits.ac.za</v>
      </c>
      <c r="D100" s="134" t="str">
        <f>UlwaziExport[]&amp;""</f>
        <v>1852217@students.wits.ac.za</v>
      </c>
      <c r="E100" s="134" t="str">
        <f>UlwaziExport[]&amp;""</f>
        <v>1852217</v>
      </c>
      <c r="F100" s="134" t="str">
        <f>UlwaziExport[]&amp;""</f>
        <v>Software Development II-2022-GEN</v>
      </c>
      <c r="G100" s="2" t="str">
        <f t="shared" ca="1" si="4"/>
        <v/>
      </c>
      <c r="H100" s="3" t="str">
        <f t="shared" ca="1" si="6"/>
        <v>1</v>
      </c>
      <c r="I100" s="3" t="str">
        <f t="shared" ca="1" si="6"/>
        <v/>
      </c>
      <c r="J100" s="3" t="str">
        <f t="shared" ca="1" si="6"/>
        <v/>
      </c>
      <c r="K100" s="3" t="str">
        <f t="shared" ca="1" si="7"/>
        <v/>
      </c>
    </row>
    <row r="101" spans="1:11">
      <c r="A101" s="134" t="str">
        <f>UlwaziExport[]&amp;""</f>
        <v>Moloi, Maphale</v>
      </c>
      <c r="B101" s="134" t="str">
        <f>UlwaziExport[]&amp;""</f>
        <v>39235</v>
      </c>
      <c r="C101" s="134" t="str">
        <f>UlwaziExport[]&amp;""</f>
        <v>2172598@students.wits.ac.za</v>
      </c>
      <c r="D101" s="134" t="str">
        <f>UlwaziExport[]&amp;""</f>
        <v>2172598@students.wits.ac.za</v>
      </c>
      <c r="E101" s="134" t="str">
        <f>UlwaziExport[]&amp;""</f>
        <v>2172598</v>
      </c>
      <c r="F101" s="134" t="str">
        <f>UlwaziExport[]&amp;""</f>
        <v>Software Development II-2022-GEN</v>
      </c>
      <c r="G101" s="2" t="str">
        <f t="shared" ca="1" si="4"/>
        <v/>
      </c>
      <c r="H101" s="3" t="str">
        <f t="shared" ca="1" si="6"/>
        <v>1</v>
      </c>
      <c r="I101" s="3" t="str">
        <f t="shared" ca="1" si="6"/>
        <v/>
      </c>
      <c r="J101" s="3" t="str">
        <f t="shared" ca="1" si="6"/>
        <v/>
      </c>
      <c r="K101" s="3" t="str">
        <f t="shared" ca="1" si="7"/>
        <v/>
      </c>
    </row>
    <row r="102" spans="1:11">
      <c r="A102" s="134" t="str">
        <f>UlwaziExport[]&amp;""</f>
        <v>Moloto, Revinah</v>
      </c>
      <c r="B102" s="134" t="str">
        <f>UlwaziExport[]&amp;""</f>
        <v>30851</v>
      </c>
      <c r="C102" s="134" t="str">
        <f>UlwaziExport[]&amp;""</f>
        <v>2345892@students.wits.ac.za</v>
      </c>
      <c r="D102" s="134" t="str">
        <f>UlwaziExport[]&amp;""</f>
        <v>2345892@students.wits.ac.za</v>
      </c>
      <c r="E102" s="134" t="str">
        <f>UlwaziExport[]&amp;""</f>
        <v>2345892</v>
      </c>
      <c r="F102" s="134" t="str">
        <f>UlwaziExport[]&amp;""</f>
        <v>Software Development II-2022-GEN</v>
      </c>
      <c r="G102" s="2" t="str">
        <f t="shared" ca="1" si="4"/>
        <v/>
      </c>
      <c r="H102" s="3" t="str">
        <f t="shared" ca="1" si="6"/>
        <v>1</v>
      </c>
      <c r="I102" s="3" t="str">
        <f t="shared" ca="1" si="6"/>
        <v/>
      </c>
      <c r="J102" s="3" t="str">
        <f t="shared" ca="1" si="6"/>
        <v/>
      </c>
      <c r="K102" s="3" t="str">
        <f t="shared" ca="1" si="7"/>
        <v/>
      </c>
    </row>
    <row r="103" spans="1:11">
      <c r="A103" s="134" t="str">
        <f>UlwaziExport[]&amp;""</f>
        <v>Mongalo, Neo</v>
      </c>
      <c r="B103" s="134" t="str">
        <f>UlwaziExport[]&amp;""</f>
        <v>39847</v>
      </c>
      <c r="C103" s="134" t="str">
        <f>UlwaziExport[]&amp;""</f>
        <v>1864879@students.wits.ac.za</v>
      </c>
      <c r="D103" s="134" t="str">
        <f>UlwaziExport[]&amp;""</f>
        <v>1864879@students.wits.ac.za</v>
      </c>
      <c r="E103" s="134" t="str">
        <f>UlwaziExport[]&amp;""</f>
        <v>1864879</v>
      </c>
      <c r="F103" s="134" t="str">
        <f>UlwaziExport[]&amp;""</f>
        <v>Software Development II-2022-GEN</v>
      </c>
      <c r="G103" s="2" t="str">
        <f t="shared" ca="1" si="4"/>
        <v/>
      </c>
      <c r="H103" s="3" t="str">
        <f t="shared" ca="1" si="6"/>
        <v>1</v>
      </c>
      <c r="I103" s="3" t="str">
        <f t="shared" ca="1" si="6"/>
        <v/>
      </c>
      <c r="J103" s="3" t="str">
        <f t="shared" ca="1" si="6"/>
        <v/>
      </c>
      <c r="K103" s="3" t="str">
        <f t="shared" ca="1" si="7"/>
        <v/>
      </c>
    </row>
    <row r="104" spans="1:11">
      <c r="A104" s="134" t="str">
        <f>UlwaziExport[]&amp;""</f>
        <v>Moodie, Donato</v>
      </c>
      <c r="B104" s="134" t="str">
        <f>UlwaziExport[]&amp;""</f>
        <v>23617</v>
      </c>
      <c r="C104" s="134" t="str">
        <f>UlwaziExport[]&amp;""</f>
        <v>2089978@students.wits.ac.za</v>
      </c>
      <c r="D104" s="134" t="str">
        <f>UlwaziExport[]&amp;""</f>
        <v>2089978@students.wits.ac.za</v>
      </c>
      <c r="E104" s="134" t="str">
        <f>UlwaziExport[]&amp;""</f>
        <v>2089978</v>
      </c>
      <c r="F104" s="134" t="str">
        <f>UlwaziExport[]&amp;""</f>
        <v>Software Development II-2022-GEN</v>
      </c>
      <c r="G104" s="2" t="str">
        <f t="shared" ca="1" si="4"/>
        <v/>
      </c>
      <c r="H104" s="3" t="str">
        <f t="shared" ca="1" si="6"/>
        <v>1</v>
      </c>
      <c r="I104" s="3" t="str">
        <f t="shared" ca="1" si="6"/>
        <v/>
      </c>
      <c r="J104" s="3" t="str">
        <f t="shared" ca="1" si="6"/>
        <v/>
      </c>
      <c r="K104" s="3" t="str">
        <f t="shared" ca="1" si="7"/>
        <v/>
      </c>
    </row>
    <row r="105" spans="1:11">
      <c r="A105" s="134" t="str">
        <f>UlwaziExport[]&amp;""</f>
        <v>Moolla, Ahmad</v>
      </c>
      <c r="B105" s="134" t="str">
        <f>UlwaziExport[]&amp;""</f>
        <v>27873</v>
      </c>
      <c r="C105" s="134" t="str">
        <f>UlwaziExport[]&amp;""</f>
        <v>2327728@students.wits.ac.za</v>
      </c>
      <c r="D105" s="134" t="str">
        <f>UlwaziExport[]&amp;""</f>
        <v>2327728@students.wits.ac.za</v>
      </c>
      <c r="E105" s="134" t="str">
        <f>UlwaziExport[]&amp;""</f>
        <v>2327728</v>
      </c>
      <c r="F105" s="134" t="str">
        <f>UlwaziExport[]&amp;""</f>
        <v>Software Development II-2022-GEN</v>
      </c>
      <c r="G105" s="2" t="str">
        <f t="shared" ca="1" si="4"/>
        <v/>
      </c>
      <c r="H105" s="3" t="str">
        <f t="shared" ca="1" si="6"/>
        <v>1</v>
      </c>
      <c r="I105" s="3" t="str">
        <f t="shared" ca="1" si="6"/>
        <v/>
      </c>
      <c r="J105" s="3" t="str">
        <f t="shared" ca="1" si="6"/>
        <v/>
      </c>
      <c r="K105" s="3" t="str">
        <f t="shared" ca="1" si="7"/>
        <v/>
      </c>
    </row>
    <row r="106" spans="1:11">
      <c r="A106" s="134" t="str">
        <f>UlwaziExport[]&amp;""</f>
        <v>Moore, Michael</v>
      </c>
      <c r="B106" s="134" t="str">
        <f>UlwaziExport[]&amp;""</f>
        <v>24071</v>
      </c>
      <c r="C106" s="134" t="str">
        <f>UlwaziExport[]&amp;""</f>
        <v>2118213@students.wits.ac.za</v>
      </c>
      <c r="D106" s="134" t="str">
        <f>UlwaziExport[]&amp;""</f>
        <v>2118213@students.wits.ac.za</v>
      </c>
      <c r="E106" s="134" t="str">
        <f>UlwaziExport[]&amp;""</f>
        <v>2118213</v>
      </c>
      <c r="F106" s="134" t="str">
        <f>UlwaziExport[]&amp;""</f>
        <v>Software Development II-2022-GEN</v>
      </c>
      <c r="G106" s="2" t="str">
        <f t="shared" ca="1" si="4"/>
        <v/>
      </c>
      <c r="H106" s="3" t="str">
        <f t="shared" ca="1" si="6"/>
        <v>0</v>
      </c>
      <c r="I106" s="3" t="str">
        <f t="shared" ca="1" si="6"/>
        <v>Pull request not found using search query</v>
      </c>
      <c r="J106" s="3" t="str">
        <f t="shared" ca="1" si="6"/>
        <v/>
      </c>
      <c r="K106" s="3" t="str">
        <f t="shared" ca="1" si="7"/>
        <v/>
      </c>
    </row>
    <row r="107" spans="1:11">
      <c r="A107" s="134" t="str">
        <f>UlwaziExport[]&amp;""</f>
        <v>Morukhu, Matome</v>
      </c>
      <c r="B107" s="134" t="str">
        <f>UlwaziExport[]&amp;""</f>
        <v>23021</v>
      </c>
      <c r="C107" s="134" t="str">
        <f>UlwaziExport[]&amp;""</f>
        <v>1844501@students.wits.ac.za</v>
      </c>
      <c r="D107" s="134" t="str">
        <f>UlwaziExport[]&amp;""</f>
        <v>1844501@students.wits.ac.za</v>
      </c>
      <c r="E107" s="134" t="str">
        <f>UlwaziExport[]&amp;""</f>
        <v>1844501</v>
      </c>
      <c r="F107" s="134" t="str">
        <f>UlwaziExport[]&amp;""</f>
        <v>Software Development II-2022-GEN</v>
      </c>
      <c r="G107" s="2" t="str">
        <f t="shared" ca="1" si="4"/>
        <v/>
      </c>
      <c r="H107" s="3" t="str">
        <f t="shared" ca="1" si="6"/>
        <v>1</v>
      </c>
      <c r="I107" s="3" t="str">
        <f t="shared" ca="1" si="6"/>
        <v/>
      </c>
      <c r="J107" s="3" t="str">
        <f t="shared" ca="1" si="6"/>
        <v/>
      </c>
      <c r="K107" s="3" t="str">
        <f t="shared" ca="1" si="7"/>
        <v/>
      </c>
    </row>
    <row r="108" spans="1:11">
      <c r="A108" s="134" t="str">
        <f>UlwaziExport[]&amp;""</f>
        <v>Mosoeu, Mashudu</v>
      </c>
      <c r="B108" s="134" t="str">
        <f>UlwaziExport[]&amp;""</f>
        <v>37588</v>
      </c>
      <c r="C108" s="134" t="str">
        <f>UlwaziExport[]&amp;""</f>
        <v>2112071@students.wits.ac.za</v>
      </c>
      <c r="D108" s="134" t="str">
        <f>UlwaziExport[]&amp;""</f>
        <v>2112071@students.wits.ac.za</v>
      </c>
      <c r="E108" s="134" t="str">
        <f>UlwaziExport[]&amp;""</f>
        <v>2112071</v>
      </c>
      <c r="F108" s="134" t="str">
        <f>UlwaziExport[]&amp;""</f>
        <v>Software Development II-2022-GEN</v>
      </c>
      <c r="G108" s="2" t="str">
        <f t="shared" ca="1" si="4"/>
        <v/>
      </c>
      <c r="H108" s="3" t="str">
        <f t="shared" ca="1" si="6"/>
        <v>0</v>
      </c>
      <c r="I108" s="3" t="str">
        <f t="shared" ca="1" si="6"/>
        <v>Pull request not found using search query</v>
      </c>
      <c r="J108" s="3" t="str">
        <f t="shared" ca="1" si="6"/>
        <v/>
      </c>
      <c r="K108" s="3" t="str">
        <f t="shared" ca="1" si="7"/>
        <v/>
      </c>
    </row>
    <row r="109" spans="1:11">
      <c r="A109" s="134" t="str">
        <f>UlwaziExport[]&amp;""</f>
        <v>Moteane, Bonolo</v>
      </c>
      <c r="B109" s="134" t="str">
        <f>UlwaziExport[]&amp;""</f>
        <v>26700</v>
      </c>
      <c r="C109" s="134" t="str">
        <f>UlwaziExport[]&amp;""</f>
        <v>2109796@students.wits.ac.za</v>
      </c>
      <c r="D109" s="134" t="str">
        <f>UlwaziExport[]&amp;""</f>
        <v>2109796@students.wits.ac.za</v>
      </c>
      <c r="E109" s="134" t="str">
        <f>UlwaziExport[]&amp;""</f>
        <v>2109796</v>
      </c>
      <c r="F109" s="134" t="str">
        <f>UlwaziExport[]&amp;""</f>
        <v>Software Development II-2022-GEN</v>
      </c>
      <c r="G109" s="2" t="str">
        <f t="shared" ca="1" si="4"/>
        <v/>
      </c>
      <c r="H109" s="3" t="str">
        <f t="shared" ca="1" si="6"/>
        <v>0</v>
      </c>
      <c r="I109" s="3" t="str">
        <f t="shared" ca="1" si="6"/>
        <v>Missing or partial/inadequate solution</v>
      </c>
      <c r="J109" s="3" t="str">
        <f t="shared" ca="1" si="6"/>
        <v/>
      </c>
      <c r="K109" s="3" t="str">
        <f t="shared" ca="1" si="7"/>
        <v/>
      </c>
    </row>
    <row r="110" spans="1:11">
      <c r="A110" s="134" t="str">
        <f>UlwaziExport[]&amp;""</f>
        <v>Moustafa, Umar</v>
      </c>
      <c r="B110" s="134" t="str">
        <f>UlwaziExport[]&amp;""</f>
        <v>23165</v>
      </c>
      <c r="C110" s="134" t="str">
        <f>UlwaziExport[]&amp;""</f>
        <v>2088077@students.wits.ac.za</v>
      </c>
      <c r="D110" s="134" t="str">
        <f>UlwaziExport[]&amp;""</f>
        <v>2088077@students.wits.ac.za</v>
      </c>
      <c r="E110" s="134" t="str">
        <f>UlwaziExport[]&amp;""</f>
        <v>2088077</v>
      </c>
      <c r="F110" s="134" t="str">
        <f>UlwaziExport[]&amp;""</f>
        <v>Software Development II-2022-GEN</v>
      </c>
      <c r="G110" s="2" t="str">
        <f t="shared" ca="1" si="4"/>
        <v/>
      </c>
      <c r="H110" s="3" t="str">
        <f t="shared" ca="1" si="6"/>
        <v>1</v>
      </c>
      <c r="I110" s="3" t="str">
        <f t="shared" ca="1" si="6"/>
        <v/>
      </c>
      <c r="J110" s="3" t="str">
        <f t="shared" ca="1" si="6"/>
        <v/>
      </c>
      <c r="K110" s="3" t="str">
        <f t="shared" ca="1" si="7"/>
        <v/>
      </c>
    </row>
    <row r="111" spans="1:11">
      <c r="A111" s="134" t="str">
        <f>UlwaziExport[]&amp;""</f>
        <v>Mpano, Iverson</v>
      </c>
      <c r="B111" s="134" t="str">
        <f>UlwaziExport[]&amp;""</f>
        <v>33689</v>
      </c>
      <c r="C111" s="134" t="str">
        <f>UlwaziExport[]&amp;""</f>
        <v>2320484@students.wits.ac.za</v>
      </c>
      <c r="D111" s="134" t="str">
        <f>UlwaziExport[]&amp;""</f>
        <v>2320484@students.wits.ac.za</v>
      </c>
      <c r="E111" s="134" t="str">
        <f>UlwaziExport[]&amp;""</f>
        <v>2320484</v>
      </c>
      <c r="F111" s="134" t="str">
        <f>UlwaziExport[]&amp;""</f>
        <v>Software Development II-2022-GEN</v>
      </c>
      <c r="G111" s="2" t="str">
        <f t="shared" ca="1" si="4"/>
        <v/>
      </c>
      <c r="H111" s="3" t="str">
        <f t="shared" ca="1" si="6"/>
        <v>0</v>
      </c>
      <c r="I111" s="3" t="str">
        <f t="shared" ca="1" si="6"/>
        <v>Pull request not found using search query</v>
      </c>
      <c r="J111" s="3" t="str">
        <f t="shared" ca="1" si="6"/>
        <v/>
      </c>
      <c r="K111" s="3" t="str">
        <f t="shared" ca="1" si="7"/>
        <v/>
      </c>
    </row>
    <row r="112" spans="1:11">
      <c r="A112" s="134" t="str">
        <f>UlwaziExport[]&amp;""</f>
        <v>Mphahlele, Tokelo</v>
      </c>
      <c r="B112" s="134" t="str">
        <f>UlwaziExport[]&amp;""</f>
        <v>33313</v>
      </c>
      <c r="C112" s="134" t="str">
        <f>UlwaziExport[]&amp;""</f>
        <v>2347343@students.wits.ac.za</v>
      </c>
      <c r="D112" s="134" t="str">
        <f>UlwaziExport[]&amp;""</f>
        <v>2347343@students.wits.ac.za</v>
      </c>
      <c r="E112" s="134" t="str">
        <f>UlwaziExport[]&amp;""</f>
        <v>2347343</v>
      </c>
      <c r="F112" s="134" t="str">
        <f>UlwaziExport[]&amp;""</f>
        <v>Software Development II-2022-GEN</v>
      </c>
      <c r="G112" s="2" t="str">
        <f t="shared" ca="1" si="4"/>
        <v/>
      </c>
      <c r="H112" s="3" t="str">
        <f t="shared" ca="1" si="6"/>
        <v>0</v>
      </c>
      <c r="I112" s="3" t="str">
        <f t="shared" ca="1" si="6"/>
        <v>Incorrect commit history</v>
      </c>
      <c r="J112" s="3" t="str">
        <f t="shared" ca="1" si="6"/>
        <v/>
      </c>
      <c r="K112" s="3" t="str">
        <f t="shared" ca="1" si="7"/>
        <v/>
      </c>
    </row>
    <row r="113" spans="1:11">
      <c r="A113" s="134" t="str">
        <f>UlwaziExport[]&amp;""</f>
        <v>Mpinga, Bonginkosi</v>
      </c>
      <c r="B113" s="134" t="str">
        <f>UlwaziExport[]&amp;""</f>
        <v>38900</v>
      </c>
      <c r="C113" s="134" t="str">
        <f>UlwaziExport[]&amp;""</f>
        <v>1455713@students.wits.ac.za</v>
      </c>
      <c r="D113" s="134" t="str">
        <f>UlwaziExport[]&amp;""</f>
        <v>1455713@students.wits.ac.za</v>
      </c>
      <c r="E113" s="134" t="str">
        <f>UlwaziExport[]&amp;""</f>
        <v>1455713</v>
      </c>
      <c r="F113" s="134" t="str">
        <f>UlwaziExport[]&amp;""</f>
        <v>Software Development II-2022-GEN</v>
      </c>
      <c r="G113" s="2" t="str">
        <f t="shared" ref="G113:G176" ca="1" si="8">IF(AND(G$1&lt;&gt;"",$A113&lt;&gt;""),_xlfn.IFNA(INDEX(INDIRECT($G$3&amp;"["&amp;G$1&amp;"]"),MATCH(TRIM(LEFT($D113,FIND("@",$D113)-1)),INDIRECT($G$3&amp;"[[Student No.]:[Student No.]]"),0))&amp;"","Missing!"),"")</f>
        <v/>
      </c>
      <c r="H113" s="3" t="str">
        <f t="shared" ref="H113:J144" ca="1" si="9">IF(AND(H$1&lt;&gt;"",$A113&lt;&gt;""),_xlfn.IFNA(INDEX(INDIRECT($G$3&amp;"["&amp;H$1&amp;"]"),MATCH(TRIM(LEFT($D113,FIND("@",$D113)-1)),INDIRECT($G$3&amp;"[[Student No.]:[Student No.]]"),0))&amp;"","Missing!"),"")</f>
        <v>1</v>
      </c>
      <c r="I113" s="3" t="str">
        <f t="shared" ca="1" si="9"/>
        <v/>
      </c>
      <c r="J113" s="3" t="str">
        <f t="shared" ca="1" si="9"/>
        <v/>
      </c>
      <c r="K113" s="3" t="str">
        <f t="shared" ca="1" si="7"/>
        <v/>
      </c>
    </row>
    <row r="114" spans="1:11">
      <c r="A114" s="134" t="str">
        <f>UlwaziExport[]&amp;""</f>
        <v>Msele, Mnelisi</v>
      </c>
      <c r="B114" s="134" t="str">
        <f>UlwaziExport[]&amp;""</f>
        <v>41106</v>
      </c>
      <c r="C114" s="134" t="str">
        <f>UlwaziExport[]&amp;""</f>
        <v>1815772@students.wits.ac.za</v>
      </c>
      <c r="D114" s="134" t="str">
        <f>UlwaziExport[]&amp;""</f>
        <v>1815772@students.wits.ac.za</v>
      </c>
      <c r="E114" s="134" t="str">
        <f>UlwaziExport[]&amp;""</f>
        <v>1815772</v>
      </c>
      <c r="F114" s="134" t="str">
        <f>UlwaziExport[]&amp;""</f>
        <v>Software Development II-2022-GEN</v>
      </c>
      <c r="G114" s="2" t="str">
        <f t="shared" ca="1" si="8"/>
        <v/>
      </c>
      <c r="H114" s="3" t="str">
        <f t="shared" ca="1" si="9"/>
        <v>1</v>
      </c>
      <c r="I114" s="3" t="str">
        <f t="shared" ca="1" si="9"/>
        <v/>
      </c>
      <c r="J114" s="3" t="str">
        <f t="shared" ca="1" si="9"/>
        <v/>
      </c>
      <c r="K114" s="3" t="str">
        <f t="shared" ca="1" si="7"/>
        <v/>
      </c>
    </row>
    <row r="115" spans="1:11">
      <c r="A115" s="134" t="str">
        <f>UlwaziExport[]&amp;""</f>
        <v>Mthethwa, Dumisani</v>
      </c>
      <c r="B115" s="134" t="str">
        <f>UlwaziExport[]&amp;""</f>
        <v>30245</v>
      </c>
      <c r="C115" s="134" t="str">
        <f>UlwaziExport[]&amp;""</f>
        <v>2341407@students.wits.ac.za</v>
      </c>
      <c r="D115" s="134" t="str">
        <f>UlwaziExport[]&amp;""</f>
        <v>2341407@students.wits.ac.za</v>
      </c>
      <c r="E115" s="134" t="str">
        <f>UlwaziExport[]&amp;""</f>
        <v>2341407</v>
      </c>
      <c r="F115" s="134" t="str">
        <f>UlwaziExport[]&amp;""</f>
        <v>Software Development II-2022-GEN</v>
      </c>
      <c r="G115" s="2" t="str">
        <f t="shared" ca="1" si="8"/>
        <v/>
      </c>
      <c r="H115" s="3" t="str">
        <f t="shared" ca="1" si="9"/>
        <v>0</v>
      </c>
      <c r="I115" s="3" t="str">
        <f t="shared" ca="1" si="9"/>
        <v>Pull request not found using search query</v>
      </c>
      <c r="J115" s="3" t="str">
        <f t="shared" ca="1" si="9"/>
        <v/>
      </c>
      <c r="K115" s="3" t="str">
        <f t="shared" ca="1" si="7"/>
        <v/>
      </c>
    </row>
    <row r="116" spans="1:11">
      <c r="A116" s="134" t="str">
        <f>UlwaziExport[]&amp;""</f>
        <v>Mugawazi, Taziva</v>
      </c>
      <c r="B116" s="134" t="str">
        <f>UlwaziExport[]&amp;""</f>
        <v>20158</v>
      </c>
      <c r="C116" s="134" t="str">
        <f>UlwaziExport[]&amp;""</f>
        <v>1851387@students.wits.ac.za</v>
      </c>
      <c r="D116" s="134" t="str">
        <f>UlwaziExport[]&amp;""</f>
        <v>1851387@students.wits.ac.za</v>
      </c>
      <c r="E116" s="134" t="str">
        <f>UlwaziExport[]&amp;""</f>
        <v>1851387</v>
      </c>
      <c r="F116" s="134" t="str">
        <f>UlwaziExport[]&amp;""</f>
        <v>Software Development II-2022-GEN</v>
      </c>
      <c r="G116" s="2" t="str">
        <f t="shared" ca="1" si="8"/>
        <v/>
      </c>
      <c r="H116" s="3" t="str">
        <f t="shared" ca="1" si="9"/>
        <v>0</v>
      </c>
      <c r="I116" s="3" t="str">
        <f t="shared" ca="1" si="9"/>
        <v>Missing or partial/inadequate solution</v>
      </c>
      <c r="J116" s="3" t="str">
        <f t="shared" ca="1" si="9"/>
        <v/>
      </c>
      <c r="K116" s="3" t="str">
        <f t="shared" ca="1" si="7"/>
        <v/>
      </c>
    </row>
    <row r="117" spans="1:11">
      <c r="A117" s="134" t="str">
        <f>UlwaziExport[]&amp;""</f>
        <v>Muller, David</v>
      </c>
      <c r="B117" s="134" t="str">
        <f>UlwaziExport[]&amp;""</f>
        <v>38712</v>
      </c>
      <c r="C117" s="134" t="str">
        <f>UlwaziExport[]&amp;""</f>
        <v>957850@students.wits.ac.za</v>
      </c>
      <c r="D117" s="134" t="str">
        <f>UlwaziExport[]&amp;""</f>
        <v>957850@students.wits.ac.za</v>
      </c>
      <c r="E117" s="134" t="str">
        <f>UlwaziExport[]&amp;""</f>
        <v>957850</v>
      </c>
      <c r="F117" s="134" t="str">
        <f>UlwaziExport[]&amp;""</f>
        <v>Software Development II-2022-GEN</v>
      </c>
      <c r="G117" s="2" t="str">
        <f t="shared" ca="1" si="8"/>
        <v/>
      </c>
      <c r="H117" s="3" t="str">
        <f t="shared" ca="1" si="9"/>
        <v>1</v>
      </c>
      <c r="I117" s="3" t="str">
        <f t="shared" ca="1" si="9"/>
        <v/>
      </c>
      <c r="J117" s="3" t="str">
        <f t="shared" ca="1" si="9"/>
        <v/>
      </c>
      <c r="K117" s="3" t="str">
        <f t="shared" ca="1" si="7"/>
        <v/>
      </c>
    </row>
    <row r="118" spans="1:11">
      <c r="A118" s="134" t="str">
        <f>UlwaziExport[]&amp;""</f>
        <v>Muradya, Anotidaishe</v>
      </c>
      <c r="B118" s="134" t="str">
        <f>UlwaziExport[]&amp;""</f>
        <v>49385</v>
      </c>
      <c r="C118" s="134" t="str">
        <f>UlwaziExport[]&amp;""</f>
        <v>2388404@students.wits.ac.za</v>
      </c>
      <c r="D118" s="134" t="str">
        <f>UlwaziExport[]&amp;""</f>
        <v>2388404@students.wits.ac.za</v>
      </c>
      <c r="E118" s="134" t="str">
        <f>UlwaziExport[]&amp;""</f>
        <v>2388404</v>
      </c>
      <c r="F118" s="134" t="str">
        <f>UlwaziExport[]&amp;""</f>
        <v>Software Development II-2022-GEN</v>
      </c>
      <c r="G118" s="2" t="str">
        <f t="shared" ca="1" si="8"/>
        <v/>
      </c>
      <c r="H118" s="3" t="str">
        <f t="shared" ca="1" si="9"/>
        <v>1</v>
      </c>
      <c r="I118" s="3" t="str">
        <f t="shared" ca="1" si="9"/>
        <v/>
      </c>
      <c r="J118" s="3" t="str">
        <f t="shared" ca="1" si="9"/>
        <v/>
      </c>
      <c r="K118" s="3" t="str">
        <f t="shared" ca="1" si="7"/>
        <v/>
      </c>
    </row>
    <row r="119" spans="1:11">
      <c r="A119" s="134" t="str">
        <f>UlwaziExport[]&amp;""</f>
        <v>Muthaphuli, Phathutshedzo</v>
      </c>
      <c r="B119" s="134" t="str">
        <f>UlwaziExport[]&amp;""</f>
        <v>25320</v>
      </c>
      <c r="C119" s="134" t="str">
        <f>UlwaziExport[]&amp;""</f>
        <v>2201238@students.wits.ac.za</v>
      </c>
      <c r="D119" s="134" t="str">
        <f>UlwaziExport[]&amp;""</f>
        <v>2201238@students.wits.ac.za</v>
      </c>
      <c r="E119" s="134" t="str">
        <f>UlwaziExport[]&amp;""</f>
        <v>2201238</v>
      </c>
      <c r="F119" s="134" t="str">
        <f>UlwaziExport[]&amp;""</f>
        <v>Software Development II-2022-GEN</v>
      </c>
      <c r="G119" s="2" t="str">
        <f t="shared" ca="1" si="8"/>
        <v/>
      </c>
      <c r="H119" s="3" t="str">
        <f t="shared" ca="1" si="9"/>
        <v>0</v>
      </c>
      <c r="I119" s="3" t="str">
        <f t="shared" ca="1" si="9"/>
        <v>Incorrect commit history</v>
      </c>
      <c r="J119" s="3" t="str">
        <f t="shared" ca="1" si="9"/>
        <v/>
      </c>
      <c r="K119" s="3" t="str">
        <f t="shared" ca="1" si="7"/>
        <v/>
      </c>
    </row>
    <row r="120" spans="1:11">
      <c r="A120" s="134" t="str">
        <f>UlwaziExport[]&amp;""</f>
        <v>Naidoo, Jaryd</v>
      </c>
      <c r="B120" s="134" t="str">
        <f>UlwaziExport[]&amp;""</f>
        <v>39964</v>
      </c>
      <c r="C120" s="134" t="str">
        <f>UlwaziExport[]&amp;""</f>
        <v>2305580@students.wits.ac.za</v>
      </c>
      <c r="D120" s="134" t="str">
        <f>UlwaziExport[]&amp;""</f>
        <v>2305580@students.wits.ac.za</v>
      </c>
      <c r="E120" s="134" t="str">
        <f>UlwaziExport[]&amp;""</f>
        <v>2305580</v>
      </c>
      <c r="F120" s="134" t="str">
        <f>UlwaziExport[]&amp;""</f>
        <v>Software Development II-2022-GEN</v>
      </c>
      <c r="G120" s="2" t="str">
        <f t="shared" ca="1" si="8"/>
        <v/>
      </c>
      <c r="H120" s="3" t="str">
        <f t="shared" ca="1" si="9"/>
        <v>0</v>
      </c>
      <c r="I120" s="3" t="str">
        <f t="shared" ca="1" si="9"/>
        <v>Pull request not found using search query</v>
      </c>
      <c r="J120" s="3" t="str">
        <f t="shared" ca="1" si="9"/>
        <v/>
      </c>
      <c r="K120" s="3" t="str">
        <f t="shared" ca="1" si="7"/>
        <v/>
      </c>
    </row>
    <row r="121" spans="1:11">
      <c r="A121" s="134" t="str">
        <f>UlwaziExport[]&amp;""</f>
        <v>Ncube, Joseph</v>
      </c>
      <c r="B121" s="134" t="str">
        <f>UlwaziExport[]&amp;""</f>
        <v>40068</v>
      </c>
      <c r="C121" s="134" t="str">
        <f>UlwaziExport[]&amp;""</f>
        <v>2416886@students.wits.ac.za</v>
      </c>
      <c r="D121" s="134" t="str">
        <f>UlwaziExport[]&amp;""</f>
        <v>2416886@students.wits.ac.za</v>
      </c>
      <c r="E121" s="134" t="str">
        <f>UlwaziExport[]&amp;""</f>
        <v>2416886</v>
      </c>
      <c r="F121" s="134" t="str">
        <f>UlwaziExport[]&amp;""</f>
        <v>Software Development II-2022-GEN</v>
      </c>
      <c r="G121" s="2" t="str">
        <f t="shared" ca="1" si="8"/>
        <v/>
      </c>
      <c r="H121" s="3" t="str">
        <f t="shared" ca="1" si="9"/>
        <v>Missing!</v>
      </c>
      <c r="I121" s="3" t="str">
        <f t="shared" ca="1" si="9"/>
        <v>Missing!</v>
      </c>
      <c r="J121" s="3" t="str">
        <f t="shared" ca="1" si="9"/>
        <v/>
      </c>
      <c r="K121" s="3" t="str">
        <f t="shared" ca="1" si="7"/>
        <v/>
      </c>
    </row>
    <row r="122" spans="1:11">
      <c r="A122" s="134" t="str">
        <f>UlwaziExport[]&amp;""</f>
        <v>Ndaba, Lungelo</v>
      </c>
      <c r="B122" s="134" t="str">
        <f>UlwaziExport[]&amp;""</f>
        <v>39805</v>
      </c>
      <c r="C122" s="134" t="str">
        <f>UlwaziExport[]&amp;""</f>
        <v>1767237@students.wits.ac.za</v>
      </c>
      <c r="D122" s="134" t="str">
        <f>UlwaziExport[]&amp;""</f>
        <v>1767237@students.wits.ac.za</v>
      </c>
      <c r="E122" s="134" t="str">
        <f>UlwaziExport[]&amp;""</f>
        <v>1767237</v>
      </c>
      <c r="F122" s="134" t="str">
        <f>UlwaziExport[]&amp;""</f>
        <v>Software Development II-2022-GEN</v>
      </c>
      <c r="G122" s="2" t="str">
        <f t="shared" ca="1" si="8"/>
        <v/>
      </c>
      <c r="H122" s="3" t="str">
        <f t="shared" ca="1" si="9"/>
        <v>0</v>
      </c>
      <c r="I122" s="3" t="str">
        <f t="shared" ca="1" si="9"/>
        <v>Incorrect commit history</v>
      </c>
      <c r="J122" s="3" t="str">
        <f t="shared" ca="1" si="9"/>
        <v/>
      </c>
      <c r="K122" s="3" t="str">
        <f t="shared" ca="1" si="7"/>
        <v/>
      </c>
    </row>
    <row r="123" spans="1:11">
      <c r="A123" s="134" t="str">
        <f>UlwaziExport[]&amp;""</f>
        <v>Ndhlovu, Michael</v>
      </c>
      <c r="B123" s="134" t="str">
        <f>UlwaziExport[]&amp;""</f>
        <v>36420</v>
      </c>
      <c r="C123" s="134" t="str">
        <f>UlwaziExport[]&amp;""</f>
        <v>2126340@students.wits.ac.za</v>
      </c>
      <c r="D123" s="134" t="str">
        <f>UlwaziExport[]&amp;""</f>
        <v>2126340@students.wits.ac.za</v>
      </c>
      <c r="E123" s="134" t="str">
        <f>UlwaziExport[]&amp;""</f>
        <v>2126340</v>
      </c>
      <c r="F123" s="134" t="str">
        <f>UlwaziExport[]&amp;""</f>
        <v>Software Development II-2022-GEN</v>
      </c>
      <c r="G123" s="2" t="str">
        <f t="shared" ca="1" si="8"/>
        <v/>
      </c>
      <c r="H123" s="3" t="str">
        <f t="shared" ca="1" si="9"/>
        <v>0</v>
      </c>
      <c r="I123" s="3" t="str">
        <f t="shared" ca="1" si="9"/>
        <v>Incorrect commit history</v>
      </c>
      <c r="J123" s="3" t="str">
        <f t="shared" ca="1" si="9"/>
        <v/>
      </c>
      <c r="K123" s="3" t="str">
        <f t="shared" ca="1" si="7"/>
        <v/>
      </c>
    </row>
    <row r="124" spans="1:11">
      <c r="A124" s="134" t="str">
        <f>UlwaziExport[]&amp;""</f>
        <v>Ndlambuzi, Mthandeki</v>
      </c>
      <c r="B124" s="134" t="str">
        <f>UlwaziExport[]&amp;""</f>
        <v>55693</v>
      </c>
      <c r="C124" s="134" t="str">
        <f>UlwaziExport[]&amp;""</f>
        <v>1818219@students.wits.ac.za</v>
      </c>
      <c r="D124" s="134" t="str">
        <f>UlwaziExport[]&amp;""</f>
        <v>1818219@students.wits.ac.za</v>
      </c>
      <c r="E124" s="134" t="str">
        <f>UlwaziExport[]&amp;""</f>
        <v>1818219</v>
      </c>
      <c r="F124" s="134" t="str">
        <f>UlwaziExport[]&amp;""</f>
        <v>Software Development II-2022-GEN</v>
      </c>
      <c r="G124" s="2" t="str">
        <f t="shared" ca="1" si="8"/>
        <v/>
      </c>
      <c r="H124" s="3" t="str">
        <f t="shared" ca="1" si="9"/>
        <v>1</v>
      </c>
      <c r="I124" s="3" t="str">
        <f t="shared" ca="1" si="9"/>
        <v/>
      </c>
      <c r="J124" s="3" t="str">
        <f t="shared" ca="1" si="9"/>
        <v/>
      </c>
      <c r="K124" s="3" t="str">
        <f t="shared" ca="1" si="7"/>
        <v/>
      </c>
    </row>
    <row r="125" spans="1:11">
      <c r="A125" s="134" t="str">
        <f>UlwaziExport[]&amp;""</f>
        <v>Ngirazi, Rutendo</v>
      </c>
      <c r="B125" s="134" t="str">
        <f>UlwaziExport[]&amp;""</f>
        <v>57483</v>
      </c>
      <c r="C125" s="134" t="str">
        <f>UlwaziExport[]&amp;""</f>
        <v>1848116@students.wits.ac.za</v>
      </c>
      <c r="D125" s="134" t="str">
        <f>UlwaziExport[]&amp;""</f>
        <v>1848116@students.wits.ac.za</v>
      </c>
      <c r="E125" s="134" t="str">
        <f>UlwaziExport[]&amp;""</f>
        <v>1848116</v>
      </c>
      <c r="F125" s="134" t="str">
        <f>UlwaziExport[]&amp;""</f>
        <v>Software Development II-2022-GEN</v>
      </c>
      <c r="G125" s="2" t="str">
        <f t="shared" ca="1" si="8"/>
        <v/>
      </c>
      <c r="H125" s="3" t="str">
        <f t="shared" ca="1" si="9"/>
        <v>1</v>
      </c>
      <c r="I125" s="3" t="str">
        <f t="shared" ca="1" si="9"/>
        <v/>
      </c>
      <c r="J125" s="3" t="str">
        <f t="shared" ca="1" si="9"/>
        <v/>
      </c>
      <c r="K125" s="3" t="str">
        <f t="shared" ca="1" si="7"/>
        <v/>
      </c>
    </row>
    <row r="126" spans="1:11">
      <c r="A126" s="134" t="str">
        <f>UlwaziExport[]&amp;""</f>
        <v>Ngoepe, Edgar</v>
      </c>
      <c r="B126" s="134" t="str">
        <f>UlwaziExport[]&amp;""</f>
        <v>25576</v>
      </c>
      <c r="C126" s="134" t="str">
        <f>UlwaziExport[]&amp;""</f>
        <v>2208622@students.wits.ac.za</v>
      </c>
      <c r="D126" s="134" t="str">
        <f>UlwaziExport[]&amp;""</f>
        <v>2208622@students.wits.ac.za</v>
      </c>
      <c r="E126" s="134" t="str">
        <f>UlwaziExport[]&amp;""</f>
        <v>2208622</v>
      </c>
      <c r="F126" s="134" t="str">
        <f>UlwaziExport[]&amp;""</f>
        <v>Software Development II-2022-GEN</v>
      </c>
      <c r="G126" s="2" t="str">
        <f t="shared" ca="1" si="8"/>
        <v/>
      </c>
      <c r="H126" s="3" t="str">
        <f t="shared" ca="1" si="9"/>
        <v>0</v>
      </c>
      <c r="I126" s="3" t="str">
        <f t="shared" ca="1" si="9"/>
        <v>No commits from this group member</v>
      </c>
      <c r="J126" s="3" t="str">
        <f t="shared" ca="1" si="9"/>
        <v/>
      </c>
      <c r="K126" s="3" t="str">
        <f t="shared" ca="1" si="7"/>
        <v/>
      </c>
    </row>
    <row r="127" spans="1:11">
      <c r="A127" s="134" t="str">
        <f>UlwaziExport[]&amp;""</f>
        <v>Ngomane, Emarantia</v>
      </c>
      <c r="B127" s="134" t="str">
        <f>UlwaziExport[]&amp;""</f>
        <v>17418</v>
      </c>
      <c r="C127" s="134" t="str">
        <f>UlwaziExport[]&amp;""</f>
        <v>1436500@students.wits.ac.za</v>
      </c>
      <c r="D127" s="134" t="str">
        <f>UlwaziExport[]&amp;""</f>
        <v>1436500@students.wits.ac.za</v>
      </c>
      <c r="E127" s="134" t="str">
        <f>UlwaziExport[]&amp;""</f>
        <v>1436500</v>
      </c>
      <c r="F127" s="134" t="str">
        <f>UlwaziExport[]&amp;""</f>
        <v>Software Development II-2022-GEN</v>
      </c>
      <c r="G127" s="2" t="str">
        <f t="shared" ca="1" si="8"/>
        <v/>
      </c>
      <c r="H127" s="3" t="str">
        <f t="shared" ca="1" si="9"/>
        <v>0</v>
      </c>
      <c r="I127" s="3" t="str">
        <f t="shared" ca="1" si="9"/>
        <v>A commit includes solutions to multiple exercises</v>
      </c>
      <c r="J127" s="3" t="str">
        <f t="shared" ca="1" si="9"/>
        <v/>
      </c>
      <c r="K127" s="3" t="str">
        <f t="shared" ca="1" si="7"/>
        <v/>
      </c>
    </row>
    <row r="128" spans="1:11">
      <c r="A128" s="134" t="str">
        <f>UlwaziExport[]&amp;""</f>
        <v>Ngutshane, Mandlenkosi</v>
      </c>
      <c r="B128" s="134" t="str">
        <f>UlwaziExport[]&amp;""</f>
        <v>47217</v>
      </c>
      <c r="C128" s="134" t="str">
        <f>UlwaziExport[]&amp;""</f>
        <v>2144205@students.wits.ac.za</v>
      </c>
      <c r="D128" s="134" t="str">
        <f>UlwaziExport[]&amp;""</f>
        <v>2144205@students.wits.ac.za</v>
      </c>
      <c r="E128" s="134" t="str">
        <f>UlwaziExport[]&amp;""</f>
        <v>2144205</v>
      </c>
      <c r="F128" s="134" t="str">
        <f>UlwaziExport[]&amp;""</f>
        <v>Software Development II-2022-GEN</v>
      </c>
      <c r="G128" s="2" t="str">
        <f t="shared" ca="1" si="8"/>
        <v/>
      </c>
      <c r="H128" s="3" t="str">
        <f t="shared" ca="1" si="9"/>
        <v>1</v>
      </c>
      <c r="I128" s="3" t="str">
        <f t="shared" ca="1" si="9"/>
        <v/>
      </c>
      <c r="J128" s="3" t="str">
        <f t="shared" ca="1" si="9"/>
        <v/>
      </c>
      <c r="K128" s="3" t="str">
        <f t="shared" ca="1" si="7"/>
        <v/>
      </c>
    </row>
    <row r="129" spans="1:11">
      <c r="A129" s="134" t="str">
        <f>UlwaziExport[]&amp;""</f>
        <v>Nomvela, Isabella</v>
      </c>
      <c r="B129" s="134" t="str">
        <f>UlwaziExport[]&amp;""</f>
        <v>47172</v>
      </c>
      <c r="C129" s="134" t="str">
        <f>UlwaziExport[]&amp;""</f>
        <v>1448040@students.wits.ac.za</v>
      </c>
      <c r="D129" s="134" t="str">
        <f>UlwaziExport[]&amp;""</f>
        <v>1448040@students.wits.ac.za</v>
      </c>
      <c r="E129" s="134" t="str">
        <f>UlwaziExport[]&amp;""</f>
        <v>1448040</v>
      </c>
      <c r="F129" s="134" t="str">
        <f>UlwaziExport[]&amp;""</f>
        <v>Software Development II-2022-GEN</v>
      </c>
      <c r="G129" s="2" t="str">
        <f t="shared" ca="1" si="8"/>
        <v/>
      </c>
      <c r="H129" s="3" t="str">
        <f t="shared" ca="1" si="9"/>
        <v>0</v>
      </c>
      <c r="I129" s="3" t="str">
        <f t="shared" ca="1" si="9"/>
        <v>Pull request not found using search query</v>
      </c>
      <c r="J129" s="3" t="str">
        <f t="shared" ca="1" si="9"/>
        <v/>
      </c>
      <c r="K129" s="3" t="str">
        <f t="shared" ref="K129:K160" ca="1" si="10">IF(AND(K$1&lt;&gt;"",$A129&lt;&gt;""),_xlfn.IFNA(INDEX(INDIRECT($G$3&amp;"["&amp;K$1&amp;"]"),MATCH(TRIM(LEFT($D129,FIND("@",$D129)-1)),INDIRECT($G$3&amp;"[[Student No.]:[Student No.]]"),0))&amp;"","Missing!"),"")</f>
        <v/>
      </c>
    </row>
    <row r="130" spans="1:11">
      <c r="A130" s="134" t="str">
        <f>UlwaziExport[]&amp;""</f>
        <v>Nthoroane, Samuel</v>
      </c>
      <c r="B130" s="134" t="str">
        <f>UlwaziExport[]&amp;""</f>
        <v>37125</v>
      </c>
      <c r="C130" s="134" t="str">
        <f>UlwaziExport[]&amp;""</f>
        <v>1832055@students.wits.ac.za</v>
      </c>
      <c r="D130" s="134" t="str">
        <f>UlwaziExport[]&amp;""</f>
        <v>1832055@students.wits.ac.za</v>
      </c>
      <c r="E130" s="134" t="str">
        <f>UlwaziExport[]&amp;""</f>
        <v>1832055</v>
      </c>
      <c r="F130" s="134" t="str">
        <f>UlwaziExport[]&amp;""</f>
        <v>Software Development II-2022-GEN</v>
      </c>
      <c r="G130" s="2" t="str">
        <f t="shared" ca="1" si="8"/>
        <v/>
      </c>
      <c r="H130" s="3" t="str">
        <f t="shared" ca="1" si="9"/>
        <v>0</v>
      </c>
      <c r="I130" s="3" t="str">
        <f t="shared" ca="1" si="9"/>
        <v>Missing or partial/inadequate solution</v>
      </c>
      <c r="J130" s="3" t="str">
        <f t="shared" ca="1" si="9"/>
        <v/>
      </c>
      <c r="K130" s="3" t="str">
        <f t="shared" ca="1" si="10"/>
        <v/>
      </c>
    </row>
    <row r="131" spans="1:11">
      <c r="A131" s="134" t="str">
        <f>UlwaziExport[]&amp;""</f>
        <v>Ntshangase, Noluthando</v>
      </c>
      <c r="B131" s="134" t="str">
        <f>UlwaziExport[]&amp;""</f>
        <v>38022</v>
      </c>
      <c r="C131" s="134" t="str">
        <f>UlwaziExport[]&amp;""</f>
        <v>1287323@students.wits.ac.za</v>
      </c>
      <c r="D131" s="134" t="str">
        <f>UlwaziExport[]&amp;""</f>
        <v>1287323@students.wits.ac.za</v>
      </c>
      <c r="E131" s="134" t="str">
        <f>UlwaziExport[]&amp;""</f>
        <v>1287323</v>
      </c>
      <c r="F131" s="134" t="str">
        <f>UlwaziExport[]&amp;""</f>
        <v>Software Development II-2022-GEN</v>
      </c>
      <c r="G131" s="2" t="str">
        <f t="shared" ca="1" si="8"/>
        <v/>
      </c>
      <c r="H131" s="3" t="str">
        <f t="shared" ca="1" si="9"/>
        <v>0</v>
      </c>
      <c r="I131" s="3" t="str">
        <f t="shared" ca="1" si="9"/>
        <v>Missing or partial/inadequate solution</v>
      </c>
      <c r="J131" s="3" t="str">
        <f t="shared" ca="1" si="9"/>
        <v/>
      </c>
      <c r="K131" s="3" t="str">
        <f t="shared" ca="1" si="10"/>
        <v/>
      </c>
    </row>
    <row r="132" spans="1:11">
      <c r="A132" s="134" t="str">
        <f>UlwaziExport[]&amp;""</f>
        <v>Ntshingila, Lwazi</v>
      </c>
      <c r="B132" s="134" t="str">
        <f>UlwaziExport[]&amp;""</f>
        <v>36797</v>
      </c>
      <c r="C132" s="134" t="str">
        <f>UlwaziExport[]&amp;""</f>
        <v>1445411@students.wits.ac.za</v>
      </c>
      <c r="D132" s="134" t="str">
        <f>UlwaziExport[]&amp;""</f>
        <v>1445411@students.wits.ac.za</v>
      </c>
      <c r="E132" s="134" t="str">
        <f>UlwaziExport[]&amp;""</f>
        <v>1445411</v>
      </c>
      <c r="F132" s="134" t="str">
        <f>UlwaziExport[]&amp;""</f>
        <v>Software Development II-2022-GEN</v>
      </c>
      <c r="G132" s="2" t="str">
        <f t="shared" ca="1" si="8"/>
        <v/>
      </c>
      <c r="H132" s="3" t="str">
        <f t="shared" ca="1" si="9"/>
        <v>0</v>
      </c>
      <c r="I132" s="3" t="str">
        <f t="shared" ca="1" si="9"/>
        <v>Pull request not found using search query</v>
      </c>
      <c r="J132" s="3" t="str">
        <f t="shared" ca="1" si="9"/>
        <v/>
      </c>
      <c r="K132" s="3" t="str">
        <f t="shared" ca="1" si="10"/>
        <v/>
      </c>
    </row>
    <row r="133" spans="1:11">
      <c r="A133" s="134" t="str">
        <f>UlwaziExport[]&amp;""</f>
        <v>Ntsooa, Refilwe</v>
      </c>
      <c r="B133" s="134" t="str">
        <f>UlwaziExport[]&amp;""</f>
        <v>25850</v>
      </c>
      <c r="C133" s="134" t="str">
        <f>UlwaziExport[]&amp;""</f>
        <v>2140390@students.wits.ac.za</v>
      </c>
      <c r="D133" s="134" t="str">
        <f>UlwaziExport[]&amp;""</f>
        <v>2140390@students.wits.ac.za</v>
      </c>
      <c r="E133" s="134" t="str">
        <f>UlwaziExport[]&amp;""</f>
        <v>2140390</v>
      </c>
      <c r="F133" s="134" t="str">
        <f>UlwaziExport[]&amp;""</f>
        <v>Software Development II-2022-GEN</v>
      </c>
      <c r="G133" s="2" t="str">
        <f t="shared" ca="1" si="8"/>
        <v/>
      </c>
      <c r="H133" s="3" t="str">
        <f t="shared" ca="1" si="9"/>
        <v>0</v>
      </c>
      <c r="I133" s="3" t="str">
        <f t="shared" ca="1" si="9"/>
        <v>Missing or partial/inadequate solution</v>
      </c>
      <c r="J133" s="3" t="str">
        <f t="shared" ca="1" si="9"/>
        <v/>
      </c>
      <c r="K133" s="3" t="str">
        <f t="shared" ca="1" si="10"/>
        <v/>
      </c>
    </row>
    <row r="134" spans="1:11">
      <c r="A134" s="134" t="str">
        <f>UlwaziExport[]&amp;""</f>
        <v>Nzama, Ziphokazizamagcugcwa</v>
      </c>
      <c r="B134" s="134" t="str">
        <f>UlwaziExport[]&amp;""</f>
        <v>20634</v>
      </c>
      <c r="C134" s="134" t="str">
        <f>UlwaziExport[]&amp;""</f>
        <v>1830373@students.wits.ac.za</v>
      </c>
      <c r="D134" s="134" t="str">
        <f>UlwaziExport[]&amp;""</f>
        <v>1830373@students.wits.ac.za</v>
      </c>
      <c r="E134" s="134" t="str">
        <f>UlwaziExport[]&amp;""</f>
        <v>1830373</v>
      </c>
      <c r="F134" s="134" t="str">
        <f>UlwaziExport[]&amp;""</f>
        <v>Software Development II-2022-GEN</v>
      </c>
      <c r="G134" s="2" t="str">
        <f t="shared" ca="1" si="8"/>
        <v/>
      </c>
      <c r="H134" s="3" t="str">
        <f t="shared" ca="1" si="9"/>
        <v>0</v>
      </c>
      <c r="I134" s="3" t="str">
        <f t="shared" ca="1" si="9"/>
        <v>Missing or partial/inadequate solution</v>
      </c>
      <c r="J134" s="3" t="str">
        <f t="shared" ca="1" si="9"/>
        <v/>
      </c>
      <c r="K134" s="3" t="str">
        <f t="shared" ca="1" si="10"/>
        <v/>
      </c>
    </row>
    <row r="135" spans="1:11">
      <c r="A135" s="134" t="str">
        <f>UlwaziExport[]&amp;""</f>
        <v>Olivier, Liam</v>
      </c>
      <c r="B135" s="134" t="str">
        <f>UlwaziExport[]&amp;""</f>
        <v>34859</v>
      </c>
      <c r="C135" s="134" t="str">
        <f>UlwaziExport[]&amp;""</f>
        <v>2347919@students.wits.ac.za</v>
      </c>
      <c r="D135" s="134" t="str">
        <f>UlwaziExport[]&amp;""</f>
        <v>2347919@students.wits.ac.za</v>
      </c>
      <c r="E135" s="134" t="str">
        <f>UlwaziExport[]&amp;""</f>
        <v>2347919</v>
      </c>
      <c r="F135" s="134" t="str">
        <f>UlwaziExport[]&amp;""</f>
        <v>Software Development II-2022-GEN</v>
      </c>
      <c r="G135" s="2" t="str">
        <f t="shared" ca="1" si="8"/>
        <v/>
      </c>
      <c r="H135" s="3" t="str">
        <f t="shared" ca="1" si="9"/>
        <v>0</v>
      </c>
      <c r="I135" s="3" t="str">
        <f t="shared" ca="1" si="9"/>
        <v>Pull request not found using search query</v>
      </c>
      <c r="J135" s="3" t="str">
        <f t="shared" ca="1" si="9"/>
        <v/>
      </c>
      <c r="K135" s="3" t="str">
        <f t="shared" ca="1" si="10"/>
        <v/>
      </c>
    </row>
    <row r="136" spans="1:11">
      <c r="A136" s="134" t="str">
        <f>UlwaziExport[]&amp;""</f>
        <v>Omar, Meezaan</v>
      </c>
      <c r="B136" s="134" t="str">
        <f>UlwaziExport[]&amp;""</f>
        <v>25365</v>
      </c>
      <c r="C136" s="134" t="str">
        <f>UlwaziExport[]&amp;""</f>
        <v>2102640@students.wits.ac.za</v>
      </c>
      <c r="D136" s="134" t="str">
        <f>UlwaziExport[]&amp;""</f>
        <v>2102640@students.wits.ac.za</v>
      </c>
      <c r="E136" s="134" t="str">
        <f>UlwaziExport[]&amp;""</f>
        <v>2102640</v>
      </c>
      <c r="F136" s="134" t="str">
        <f>UlwaziExport[]&amp;""</f>
        <v>Software Development II-2022-GEN</v>
      </c>
      <c r="G136" s="2" t="str">
        <f t="shared" ca="1" si="8"/>
        <v/>
      </c>
      <c r="H136" s="3" t="str">
        <f t="shared" ca="1" si="9"/>
        <v>1</v>
      </c>
      <c r="I136" s="3" t="str">
        <f t="shared" ca="1" si="9"/>
        <v/>
      </c>
      <c r="J136" s="3" t="str">
        <f t="shared" ca="1" si="9"/>
        <v/>
      </c>
      <c r="K136" s="3" t="str">
        <f t="shared" ca="1" si="10"/>
        <v/>
      </c>
    </row>
    <row r="137" spans="1:11">
      <c r="A137" s="134" t="str">
        <f>UlwaziExport[]&amp;""</f>
        <v>Peretz, Liad</v>
      </c>
      <c r="B137" s="134" t="str">
        <f>UlwaziExport[]&amp;""</f>
        <v>31042</v>
      </c>
      <c r="C137" s="134" t="str">
        <f>UlwaziExport[]&amp;""</f>
        <v>2373287@students.wits.ac.za</v>
      </c>
      <c r="D137" s="134" t="str">
        <f>UlwaziExport[]&amp;""</f>
        <v>2373287@students.wits.ac.za</v>
      </c>
      <c r="E137" s="134" t="str">
        <f>UlwaziExport[]&amp;""</f>
        <v>2373287</v>
      </c>
      <c r="F137" s="134" t="str">
        <f>UlwaziExport[]&amp;""</f>
        <v>Software Development II-2022-GEN</v>
      </c>
      <c r="G137" s="2" t="str">
        <f t="shared" ca="1" si="8"/>
        <v/>
      </c>
      <c r="H137" s="3" t="str">
        <f t="shared" ca="1" si="9"/>
        <v>1</v>
      </c>
      <c r="I137" s="3" t="str">
        <f t="shared" ca="1" si="9"/>
        <v/>
      </c>
      <c r="J137" s="3" t="str">
        <f t="shared" ca="1" si="9"/>
        <v/>
      </c>
      <c r="K137" s="3" t="str">
        <f t="shared" ca="1" si="10"/>
        <v/>
      </c>
    </row>
    <row r="138" spans="1:11">
      <c r="A138" s="134" t="str">
        <f>UlwaziExport[]&amp;""</f>
        <v>Petersen, Jozeal</v>
      </c>
      <c r="B138" s="134" t="str">
        <f>UlwaziExport[]&amp;""</f>
        <v>33292</v>
      </c>
      <c r="C138" s="134" t="str">
        <f>UlwaziExport[]&amp;""</f>
        <v>2309354@students.wits.ac.za</v>
      </c>
      <c r="D138" s="134" t="str">
        <f>UlwaziExport[]&amp;""</f>
        <v>2309354@students.wits.ac.za</v>
      </c>
      <c r="E138" s="134" t="str">
        <f>UlwaziExport[]&amp;""</f>
        <v>2309354</v>
      </c>
      <c r="F138" s="134" t="str">
        <f>UlwaziExport[]&amp;""</f>
        <v>Software Development II-2022-GEN</v>
      </c>
      <c r="G138" s="2" t="str">
        <f t="shared" ca="1" si="8"/>
        <v/>
      </c>
      <c r="H138" s="3" t="str">
        <f t="shared" ca="1" si="9"/>
        <v>0</v>
      </c>
      <c r="I138" s="3" t="str">
        <f t="shared" ca="1" si="9"/>
        <v>Pull request not found using search query</v>
      </c>
      <c r="J138" s="3" t="str">
        <f t="shared" ca="1" si="9"/>
        <v/>
      </c>
      <c r="K138" s="3" t="str">
        <f t="shared" ca="1" si="10"/>
        <v/>
      </c>
    </row>
    <row r="139" spans="1:11">
      <c r="A139" s="134" t="str">
        <f>UlwaziExport[]&amp;""</f>
        <v>Pule, Mabasata</v>
      </c>
      <c r="B139" s="134" t="str">
        <f>UlwaziExport[]&amp;""</f>
        <v>84937</v>
      </c>
      <c r="C139" s="134" t="str">
        <f>UlwaziExport[]&amp;""</f>
        <v>482412@students.wits.ac.za</v>
      </c>
      <c r="D139" s="134" t="str">
        <f>UlwaziExport[]&amp;""</f>
        <v>482412@students.wits.ac.za</v>
      </c>
      <c r="E139" s="134" t="str">
        <f>UlwaziExport[]&amp;""</f>
        <v>482412</v>
      </c>
      <c r="F139" s="134" t="str">
        <f>UlwaziExport[]&amp;""</f>
        <v>Software Development II-2022-GEN</v>
      </c>
      <c r="G139" s="2" t="str">
        <f t="shared" ca="1" si="8"/>
        <v/>
      </c>
      <c r="H139" s="3" t="str">
        <f t="shared" ca="1" si="9"/>
        <v>1</v>
      </c>
      <c r="I139" s="3" t="str">
        <f t="shared" ca="1" si="9"/>
        <v/>
      </c>
      <c r="J139" s="3" t="str">
        <f t="shared" ca="1" si="9"/>
        <v/>
      </c>
      <c r="K139" s="3" t="str">
        <f t="shared" ca="1" si="10"/>
        <v/>
      </c>
    </row>
    <row r="140" spans="1:11">
      <c r="A140" s="134" t="str">
        <f>UlwaziExport[]&amp;""</f>
        <v>Radebe, Nonofo</v>
      </c>
      <c r="B140" s="134" t="str">
        <f>UlwaziExport[]&amp;""</f>
        <v>40447</v>
      </c>
      <c r="C140" s="134" t="str">
        <f>UlwaziExport[]&amp;""</f>
        <v>1608406@students.wits.ac.za</v>
      </c>
      <c r="D140" s="134" t="str">
        <f>UlwaziExport[]&amp;""</f>
        <v>1608406@students.wits.ac.za</v>
      </c>
      <c r="E140" s="134" t="str">
        <f>UlwaziExport[]&amp;""</f>
        <v>1608406</v>
      </c>
      <c r="F140" s="134" t="str">
        <f>UlwaziExport[]&amp;""</f>
        <v>Software Development II-2022-GEN</v>
      </c>
      <c r="G140" s="2" t="str">
        <f t="shared" ca="1" si="8"/>
        <v/>
      </c>
      <c r="H140" s="3" t="str">
        <f t="shared" ca="1" si="9"/>
        <v>0</v>
      </c>
      <c r="I140" s="3" t="str">
        <f t="shared" ca="1" si="9"/>
        <v>Pull request not found using search query</v>
      </c>
      <c r="J140" s="3" t="str">
        <f t="shared" ca="1" si="9"/>
        <v/>
      </c>
      <c r="K140" s="3" t="str">
        <f t="shared" ca="1" si="10"/>
        <v/>
      </c>
    </row>
    <row r="141" spans="1:11">
      <c r="A141" s="134" t="str">
        <f>UlwaziExport[]&amp;""</f>
        <v>Radowsky, Asher</v>
      </c>
      <c r="B141" s="134" t="str">
        <f>UlwaziExport[]&amp;""</f>
        <v>30246</v>
      </c>
      <c r="C141" s="134" t="str">
        <f>UlwaziExport[]&amp;""</f>
        <v>2366643@students.wits.ac.za</v>
      </c>
      <c r="D141" s="134" t="str">
        <f>UlwaziExport[]&amp;""</f>
        <v>2366643@students.wits.ac.za</v>
      </c>
      <c r="E141" s="134" t="str">
        <f>UlwaziExport[]&amp;""</f>
        <v>2366643</v>
      </c>
      <c r="F141" s="134" t="str">
        <f>UlwaziExport[]&amp;""</f>
        <v>Software Development II-2022-GEN</v>
      </c>
      <c r="G141" s="2" t="str">
        <f t="shared" ca="1" si="8"/>
        <v/>
      </c>
      <c r="H141" s="3" t="str">
        <f t="shared" ca="1" si="9"/>
        <v>0</v>
      </c>
      <c r="I141" s="3" t="str">
        <f t="shared" ca="1" si="9"/>
        <v>Pull request not found using search query</v>
      </c>
      <c r="J141" s="3" t="str">
        <f t="shared" ca="1" si="9"/>
        <v/>
      </c>
      <c r="K141" s="3" t="str">
        <f t="shared" ca="1" si="10"/>
        <v/>
      </c>
    </row>
    <row r="142" spans="1:11">
      <c r="A142" s="134" t="str">
        <f>UlwaziExport[]&amp;""</f>
        <v>Ralph, Matthew</v>
      </c>
      <c r="B142" s="134" t="str">
        <f>UlwaziExport[]&amp;""</f>
        <v>26739</v>
      </c>
      <c r="C142" s="134" t="str">
        <f>UlwaziExport[]&amp;""</f>
        <v>2152679@students.wits.ac.za</v>
      </c>
      <c r="D142" s="134" t="str">
        <f>UlwaziExport[]&amp;""</f>
        <v>2152679@students.wits.ac.za</v>
      </c>
      <c r="E142" s="134" t="str">
        <f>UlwaziExport[]&amp;""</f>
        <v>2152679</v>
      </c>
      <c r="F142" s="134" t="str">
        <f>UlwaziExport[]&amp;""</f>
        <v>Software Development II-2022-GEN</v>
      </c>
      <c r="G142" s="2" t="str">
        <f t="shared" ca="1" si="8"/>
        <v/>
      </c>
      <c r="H142" s="3" t="str">
        <f t="shared" ca="1" si="9"/>
        <v>0</v>
      </c>
      <c r="I142" s="3" t="str">
        <f t="shared" ca="1" si="9"/>
        <v>Pull request not found using search query</v>
      </c>
      <c r="J142" s="3" t="str">
        <f t="shared" ca="1" si="9"/>
        <v/>
      </c>
      <c r="K142" s="3" t="str">
        <f t="shared" ca="1" si="10"/>
        <v/>
      </c>
    </row>
    <row r="143" spans="1:11">
      <c r="A143" s="134" t="str">
        <f>UlwaziExport[]&amp;""</f>
        <v>Rasesepa, Takalani</v>
      </c>
      <c r="B143" s="134" t="str">
        <f>UlwaziExport[]&amp;""</f>
        <v>27719</v>
      </c>
      <c r="C143" s="134" t="str">
        <f>UlwaziExport[]&amp;""</f>
        <v>2327104@students.wits.ac.za</v>
      </c>
      <c r="D143" s="134" t="str">
        <f>UlwaziExport[]&amp;""</f>
        <v>2327104@students.wits.ac.za</v>
      </c>
      <c r="E143" s="134" t="str">
        <f>UlwaziExport[]&amp;""</f>
        <v>2327104</v>
      </c>
      <c r="F143" s="134" t="str">
        <f>UlwaziExport[]&amp;""</f>
        <v>Software Development II-2022-GEN</v>
      </c>
      <c r="G143" s="2" t="str">
        <f t="shared" ca="1" si="8"/>
        <v/>
      </c>
      <c r="H143" s="3" t="str">
        <f t="shared" ca="1" si="9"/>
        <v>1</v>
      </c>
      <c r="I143" s="3" t="str">
        <f t="shared" ca="1" si="9"/>
        <v/>
      </c>
      <c r="J143" s="3" t="str">
        <f t="shared" ca="1" si="9"/>
        <v/>
      </c>
      <c r="K143" s="3" t="str">
        <f t="shared" ca="1" si="10"/>
        <v/>
      </c>
    </row>
    <row r="144" spans="1:11">
      <c r="A144" s="134" t="str">
        <f>UlwaziExport[]&amp;""</f>
        <v>Rawlings, Christopher</v>
      </c>
      <c r="B144" s="134" t="str">
        <f>UlwaziExport[]&amp;""</f>
        <v>24607</v>
      </c>
      <c r="C144" s="134" t="str">
        <f>UlwaziExport[]&amp;""</f>
        <v>2179595@students.wits.ac.za</v>
      </c>
      <c r="D144" s="134" t="str">
        <f>UlwaziExport[]&amp;""</f>
        <v>2179595@students.wits.ac.za</v>
      </c>
      <c r="E144" s="134" t="str">
        <f>UlwaziExport[]&amp;""</f>
        <v>2179595</v>
      </c>
      <c r="F144" s="134" t="str">
        <f>UlwaziExport[]&amp;""</f>
        <v>Software Development II-2022-GEN</v>
      </c>
      <c r="G144" s="2" t="str">
        <f t="shared" ca="1" si="8"/>
        <v/>
      </c>
      <c r="H144" s="3" t="str">
        <f t="shared" ca="1" si="9"/>
        <v>1</v>
      </c>
      <c r="I144" s="3" t="str">
        <f t="shared" ca="1" si="9"/>
        <v/>
      </c>
      <c r="J144" s="3" t="str">
        <f t="shared" ref="H144:K176" ca="1" si="11">IF(AND(J$1&lt;&gt;"",$A144&lt;&gt;""),_xlfn.IFNA(INDEX(INDIRECT($G$3&amp;"["&amp;J$1&amp;"]"),MATCH(TRIM(LEFT($D144,FIND("@",$D144)-1)),INDIRECT($G$3&amp;"[[Student No.]:[Student No.]]"),0))&amp;"","Missing!"),"")</f>
        <v/>
      </c>
      <c r="K144" s="3" t="str">
        <f t="shared" ca="1" si="10"/>
        <v/>
      </c>
    </row>
    <row r="145" spans="1:11">
      <c r="A145" s="134" t="str">
        <f>UlwaziExport[]&amp;""</f>
        <v>Rawuka, Alungile</v>
      </c>
      <c r="B145" s="134" t="str">
        <f>UlwaziExport[]&amp;""</f>
        <v>38995</v>
      </c>
      <c r="C145" s="134" t="str">
        <f>UlwaziExport[]&amp;""</f>
        <v>1730123@students.wits.ac.za</v>
      </c>
      <c r="D145" s="134" t="str">
        <f>UlwaziExport[]&amp;""</f>
        <v>1730123@students.wits.ac.za</v>
      </c>
      <c r="E145" s="134" t="str">
        <f>UlwaziExport[]&amp;""</f>
        <v>1730123</v>
      </c>
      <c r="F145" s="134" t="str">
        <f>UlwaziExport[]&amp;""</f>
        <v>Software Development II-2022-GEN</v>
      </c>
      <c r="G145" s="2" t="str">
        <f t="shared" ca="1" si="8"/>
        <v/>
      </c>
      <c r="H145" s="3" t="str">
        <f t="shared" ca="1" si="11"/>
        <v>1</v>
      </c>
      <c r="I145" s="3" t="str">
        <f t="shared" ca="1" si="11"/>
        <v/>
      </c>
      <c r="J145" s="3" t="str">
        <f t="shared" ca="1" si="11"/>
        <v/>
      </c>
      <c r="K145" s="3" t="str">
        <f t="shared" ca="1" si="10"/>
        <v/>
      </c>
    </row>
    <row r="146" spans="1:11">
      <c r="A146" s="134" t="str">
        <f>UlwaziExport[]&amp;""</f>
        <v>Rolle, Michael</v>
      </c>
      <c r="B146" s="134" t="str">
        <f>UlwaziExport[]&amp;""</f>
        <v>24758</v>
      </c>
      <c r="C146" s="134" t="str">
        <f>UlwaziExport[]&amp;""</f>
        <v>2304928@students.wits.ac.za</v>
      </c>
      <c r="D146" s="134" t="str">
        <f>UlwaziExport[]&amp;""</f>
        <v>2304928@students.wits.ac.za</v>
      </c>
      <c r="E146" s="134" t="str">
        <f>UlwaziExport[]&amp;""</f>
        <v>2304928</v>
      </c>
      <c r="F146" s="134" t="str">
        <f>UlwaziExport[]&amp;""</f>
        <v>Software Development II-2022-GEN</v>
      </c>
      <c r="G146" s="2" t="str">
        <f t="shared" ca="1" si="8"/>
        <v/>
      </c>
      <c r="H146" s="3" t="str">
        <f t="shared" ca="1" si="11"/>
        <v>1</v>
      </c>
      <c r="I146" s="3" t="str">
        <f t="shared" ca="1" si="11"/>
        <v/>
      </c>
      <c r="J146" s="3" t="str">
        <f t="shared" ca="1" si="11"/>
        <v/>
      </c>
      <c r="K146" s="3" t="str">
        <f t="shared" ca="1" si="10"/>
        <v/>
      </c>
    </row>
    <row r="147" spans="1:11">
      <c r="A147" s="134" t="str">
        <f>UlwaziExport[]&amp;""</f>
        <v>Ruthel, Joshua-Daniel</v>
      </c>
      <c r="B147" s="134" t="str">
        <f>UlwaziExport[]&amp;""</f>
        <v>40045</v>
      </c>
      <c r="C147" s="134" t="str">
        <f>UlwaziExport[]&amp;""</f>
        <v>2366020@students.wits.ac.za</v>
      </c>
      <c r="D147" s="134" t="str">
        <f>UlwaziExport[]&amp;""</f>
        <v>2366020@students.wits.ac.za</v>
      </c>
      <c r="E147" s="134" t="str">
        <f>UlwaziExport[]&amp;""</f>
        <v>2366020</v>
      </c>
      <c r="F147" s="134" t="str">
        <f>UlwaziExport[]&amp;""</f>
        <v>Software Development II-2022-GEN</v>
      </c>
      <c r="G147" s="2" t="str">
        <f t="shared" ca="1" si="8"/>
        <v/>
      </c>
      <c r="H147" s="3" t="str">
        <f t="shared" ca="1" si="11"/>
        <v>1</v>
      </c>
      <c r="I147" s="3" t="str">
        <f t="shared" ca="1" si="11"/>
        <v/>
      </c>
      <c r="J147" s="3" t="str">
        <f t="shared" ca="1" si="11"/>
        <v/>
      </c>
      <c r="K147" s="3" t="str">
        <f t="shared" ca="1" si="10"/>
        <v/>
      </c>
    </row>
    <row r="148" spans="1:11">
      <c r="A148" s="134" t="str">
        <f>UlwaziExport[]&amp;""</f>
        <v>Seedat, Ismail</v>
      </c>
      <c r="B148" s="134" t="str">
        <f>UlwaziExport[]&amp;""</f>
        <v>41750</v>
      </c>
      <c r="C148" s="134" t="str">
        <f>UlwaziExport[]&amp;""</f>
        <v>2156293@students.wits.ac.za</v>
      </c>
      <c r="D148" s="134" t="str">
        <f>UlwaziExport[]&amp;""</f>
        <v>2156293@students.wits.ac.za</v>
      </c>
      <c r="E148" s="134" t="str">
        <f>UlwaziExport[]&amp;""</f>
        <v>2156293</v>
      </c>
      <c r="F148" s="134" t="str">
        <f>UlwaziExport[]&amp;""</f>
        <v>Software Development II-2022-GEN</v>
      </c>
      <c r="G148" s="2" t="str">
        <f t="shared" ca="1" si="8"/>
        <v/>
      </c>
      <c r="H148" s="3" t="str">
        <f t="shared" ca="1" si="11"/>
        <v>1</v>
      </c>
      <c r="I148" s="3" t="str">
        <f t="shared" ca="1" si="11"/>
        <v/>
      </c>
      <c r="J148" s="3" t="str">
        <f t="shared" ca="1" si="11"/>
        <v/>
      </c>
      <c r="K148" s="3" t="str">
        <f t="shared" ca="1" si="10"/>
        <v/>
      </c>
    </row>
    <row r="149" spans="1:11">
      <c r="A149" s="134" t="str">
        <f>UlwaziExport[]&amp;""</f>
        <v>Sekamogeng, Letlhogonolo</v>
      </c>
      <c r="B149" s="134" t="str">
        <f>UlwaziExport[]&amp;""</f>
        <v>89576</v>
      </c>
      <c r="C149" s="134" t="str">
        <f>UlwaziExport[]&amp;""</f>
        <v>0200223N@students.wits.ac.za</v>
      </c>
      <c r="D149" s="134" t="str">
        <f>UlwaziExport[]&amp;""</f>
        <v>0200223N@students.wits.ac.za</v>
      </c>
      <c r="E149" s="134" t="str">
        <f>UlwaziExport[]&amp;""</f>
        <v>0200223N</v>
      </c>
      <c r="F149" s="134" t="str">
        <f>UlwaziExport[]&amp;""</f>
        <v>Software Development II-2022-GEN</v>
      </c>
      <c r="G149" s="2" t="str">
        <f t="shared" ca="1" si="8"/>
        <v/>
      </c>
      <c r="H149" s="3" t="str">
        <f t="shared" ca="1" si="11"/>
        <v>0</v>
      </c>
      <c r="I149" s="3" t="str">
        <f t="shared" ca="1" si="11"/>
        <v>&gt; 2 commits not linked to GitHub account</v>
      </c>
      <c r="J149" s="3" t="str">
        <f t="shared" ca="1" si="11"/>
        <v/>
      </c>
      <c r="K149" s="3" t="str">
        <f t="shared" ca="1" si="10"/>
        <v/>
      </c>
    </row>
    <row r="150" spans="1:11">
      <c r="A150" s="134" t="str">
        <f>UlwaziExport[]&amp;""</f>
        <v>Sekhwama, Motchinya</v>
      </c>
      <c r="B150" s="134" t="str">
        <f>UlwaziExport[]&amp;""</f>
        <v>35166</v>
      </c>
      <c r="C150" s="134" t="str">
        <f>UlwaziExport[]&amp;""</f>
        <v>1715463@students.wits.ac.za</v>
      </c>
      <c r="D150" s="134" t="str">
        <f>UlwaziExport[]&amp;""</f>
        <v>1715463@students.wits.ac.za</v>
      </c>
      <c r="E150" s="134" t="str">
        <f>UlwaziExport[]&amp;""</f>
        <v>1715463</v>
      </c>
      <c r="F150" s="134" t="str">
        <f>UlwaziExport[]&amp;""</f>
        <v>Software Development II-2022-GEN</v>
      </c>
      <c r="G150" s="2" t="str">
        <f t="shared" ca="1" si="8"/>
        <v/>
      </c>
      <c r="H150" s="3" t="str">
        <f t="shared" ca="1" si="11"/>
        <v>1</v>
      </c>
      <c r="I150" s="3" t="str">
        <f t="shared" ca="1" si="11"/>
        <v/>
      </c>
      <c r="J150" s="3" t="str">
        <f t="shared" ca="1" si="11"/>
        <v/>
      </c>
      <c r="K150" s="3" t="str">
        <f t="shared" ca="1" si="10"/>
        <v/>
      </c>
    </row>
    <row r="151" spans="1:11">
      <c r="A151" s="134" t="str">
        <f>UlwaziExport[]&amp;""</f>
        <v>Sender, Daron</v>
      </c>
      <c r="B151" s="134" t="str">
        <f>UlwaziExport[]&amp;""</f>
        <v>29141</v>
      </c>
      <c r="C151" s="134" t="str">
        <f>UlwaziExport[]&amp;""</f>
        <v>2332451@students.wits.ac.za</v>
      </c>
      <c r="D151" s="134" t="str">
        <f>UlwaziExport[]&amp;""</f>
        <v>2332451@students.wits.ac.za</v>
      </c>
      <c r="E151" s="134" t="str">
        <f>UlwaziExport[]&amp;""</f>
        <v>2332451</v>
      </c>
      <c r="F151" s="134" t="str">
        <f>UlwaziExport[]&amp;""</f>
        <v>Software Development II-2022-GEN</v>
      </c>
      <c r="G151" s="2" t="str">
        <f t="shared" ca="1" si="8"/>
        <v/>
      </c>
      <c r="H151" s="3" t="str">
        <f t="shared" ca="1" si="11"/>
        <v>1</v>
      </c>
      <c r="I151" s="3" t="str">
        <f t="shared" ca="1" si="11"/>
        <v/>
      </c>
      <c r="J151" s="3" t="str">
        <f t="shared" ca="1" si="11"/>
        <v/>
      </c>
      <c r="K151" s="3" t="str">
        <f t="shared" ca="1" si="10"/>
        <v/>
      </c>
    </row>
    <row r="152" spans="1:11">
      <c r="A152" s="134" t="str">
        <f>UlwaziExport[]&amp;""</f>
        <v>Sengoane, Koketso</v>
      </c>
      <c r="B152" s="134" t="str">
        <f>UlwaziExport[]&amp;""</f>
        <v>25081</v>
      </c>
      <c r="C152" s="134" t="str">
        <f>UlwaziExport[]&amp;""</f>
        <v>2096785@students.wits.ac.za</v>
      </c>
      <c r="D152" s="134" t="str">
        <f>UlwaziExport[]&amp;""</f>
        <v>2096785@students.wits.ac.za</v>
      </c>
      <c r="E152" s="134" t="str">
        <f>UlwaziExport[]&amp;""</f>
        <v>2096785</v>
      </c>
      <c r="F152" s="134" t="str">
        <f>UlwaziExport[]&amp;""</f>
        <v>Software Development II-2022-GEN</v>
      </c>
      <c r="G152" s="2" t="str">
        <f t="shared" ca="1" si="8"/>
        <v/>
      </c>
      <c r="H152" s="3" t="str">
        <f t="shared" ca="1" si="11"/>
        <v>1</v>
      </c>
      <c r="I152" s="3" t="str">
        <f t="shared" ca="1" si="11"/>
        <v/>
      </c>
      <c r="J152" s="3" t="str">
        <f t="shared" ca="1" si="11"/>
        <v/>
      </c>
      <c r="K152" s="3" t="str">
        <f t="shared" ca="1" si="10"/>
        <v/>
      </c>
    </row>
    <row r="153" spans="1:11">
      <c r="A153" s="134" t="str">
        <f>UlwaziExport[]&amp;""</f>
        <v>Shakir, Muhammad</v>
      </c>
      <c r="B153" s="134" t="str">
        <f>UlwaziExport[]&amp;""</f>
        <v>22409</v>
      </c>
      <c r="C153" s="134" t="str">
        <f>UlwaziExport[]&amp;""</f>
        <v>2010805@students.wits.ac.za</v>
      </c>
      <c r="D153" s="134" t="str">
        <f>UlwaziExport[]&amp;""</f>
        <v>2010805@students.wits.ac.za</v>
      </c>
      <c r="E153" s="134" t="str">
        <f>UlwaziExport[]&amp;""</f>
        <v>2010805</v>
      </c>
      <c r="F153" s="134" t="str">
        <f>UlwaziExport[]&amp;""</f>
        <v>Software Development II-2022-GEN</v>
      </c>
      <c r="G153" s="2" t="str">
        <f t="shared" ca="1" si="8"/>
        <v/>
      </c>
      <c r="H153" s="3" t="str">
        <f t="shared" ca="1" si="11"/>
        <v>1</v>
      </c>
      <c r="I153" s="3" t="str">
        <f t="shared" ca="1" si="11"/>
        <v/>
      </c>
      <c r="J153" s="3" t="str">
        <f t="shared" ca="1" si="11"/>
        <v/>
      </c>
      <c r="K153" s="3" t="str">
        <f t="shared" ca="1" si="10"/>
        <v/>
      </c>
    </row>
    <row r="154" spans="1:11">
      <c r="A154" s="134" t="str">
        <f>UlwaziExport[]&amp;""</f>
        <v>Shapiro, Joshua</v>
      </c>
      <c r="B154" s="134" t="str">
        <f>UlwaziExport[]&amp;""</f>
        <v>34244</v>
      </c>
      <c r="C154" s="134" t="str">
        <f>UlwaziExport[]&amp;""</f>
        <v>1860900@students.wits.ac.za</v>
      </c>
      <c r="D154" s="134" t="str">
        <f>UlwaziExport[]&amp;""</f>
        <v>1860900@students.wits.ac.za</v>
      </c>
      <c r="E154" s="134" t="str">
        <f>UlwaziExport[]&amp;""</f>
        <v>1860900</v>
      </c>
      <c r="F154" s="134" t="str">
        <f>UlwaziExport[]&amp;""</f>
        <v>Software Development II-2022-GEN</v>
      </c>
      <c r="G154" s="2" t="str">
        <f t="shared" ca="1" si="8"/>
        <v/>
      </c>
      <c r="H154" s="3" t="str">
        <f t="shared" ca="1" si="11"/>
        <v>1</v>
      </c>
      <c r="I154" s="3" t="str">
        <f t="shared" ca="1" si="11"/>
        <v/>
      </c>
      <c r="J154" s="3" t="str">
        <f t="shared" ca="1" si="11"/>
        <v/>
      </c>
      <c r="K154" s="3" t="str">
        <f t="shared" ca="1" si="10"/>
        <v/>
      </c>
    </row>
    <row r="155" spans="1:11">
      <c r="A155" s="134" t="str">
        <f>UlwaziExport[]&amp;""</f>
        <v>Singh, Chad</v>
      </c>
      <c r="B155" s="134" t="str">
        <f>UlwaziExport[]&amp;""</f>
        <v>25492</v>
      </c>
      <c r="C155" s="134" t="str">
        <f>UlwaziExport[]&amp;""</f>
        <v>2308227@students.wits.ac.za</v>
      </c>
      <c r="D155" s="134" t="str">
        <f>UlwaziExport[]&amp;""</f>
        <v>2308227@students.wits.ac.za</v>
      </c>
      <c r="E155" s="134" t="str">
        <f>UlwaziExport[]&amp;""</f>
        <v>2308227</v>
      </c>
      <c r="F155" s="134" t="str">
        <f>UlwaziExport[]&amp;""</f>
        <v>Software Development II-2022-GEN</v>
      </c>
      <c r="G155" s="2" t="str">
        <f t="shared" ca="1" si="8"/>
        <v/>
      </c>
      <c r="H155" s="3" t="str">
        <f t="shared" ca="1" si="11"/>
        <v>0</v>
      </c>
      <c r="I155" s="3" t="str">
        <f t="shared" ca="1" si="11"/>
        <v>No commits from this group member</v>
      </c>
      <c r="J155" s="3" t="str">
        <f t="shared" ca="1" si="11"/>
        <v/>
      </c>
      <c r="K155" s="3" t="str">
        <f t="shared" ca="1" si="10"/>
        <v/>
      </c>
    </row>
    <row r="156" spans="1:11">
      <c r="A156" s="134" t="str">
        <f>UlwaziExport[]&amp;""</f>
        <v>Sithole, Bongane</v>
      </c>
      <c r="B156" s="134" t="str">
        <f>UlwaziExport[]&amp;""</f>
        <v>41524</v>
      </c>
      <c r="C156" s="134" t="str">
        <f>UlwaziExport[]&amp;""</f>
        <v>1823178@students.wits.ac.za</v>
      </c>
      <c r="D156" s="134" t="str">
        <f>UlwaziExport[]&amp;""</f>
        <v>1823178@students.wits.ac.za</v>
      </c>
      <c r="E156" s="134" t="str">
        <f>UlwaziExport[]&amp;""</f>
        <v>1823178</v>
      </c>
      <c r="F156" s="134" t="str">
        <f>UlwaziExport[]&amp;""</f>
        <v>Software Development II-2022-GEN</v>
      </c>
      <c r="G156" s="2" t="str">
        <f t="shared" ca="1" si="8"/>
        <v/>
      </c>
      <c r="H156" s="3" t="str">
        <f t="shared" ca="1" si="11"/>
        <v>1</v>
      </c>
      <c r="I156" s="3" t="str">
        <f t="shared" ca="1" si="11"/>
        <v/>
      </c>
      <c r="J156" s="3" t="str">
        <f t="shared" ca="1" si="11"/>
        <v/>
      </c>
      <c r="K156" s="3" t="str">
        <f t="shared" ca="1" si="10"/>
        <v/>
      </c>
    </row>
    <row r="157" spans="1:11">
      <c r="A157" s="134" t="str">
        <f>UlwaziExport[]&amp;""</f>
        <v>Sithole, Morihle</v>
      </c>
      <c r="B157" s="134" t="str">
        <f>UlwaziExport[]&amp;""</f>
        <v>26983</v>
      </c>
      <c r="C157" s="134" t="str">
        <f>UlwaziExport[]&amp;""</f>
        <v>2155841@students.wits.ac.za</v>
      </c>
      <c r="D157" s="134" t="str">
        <f>UlwaziExport[]&amp;""</f>
        <v>2155841@students.wits.ac.za</v>
      </c>
      <c r="E157" s="134" t="str">
        <f>UlwaziExport[]&amp;""</f>
        <v>2155841</v>
      </c>
      <c r="F157" s="134" t="str">
        <f>UlwaziExport[]&amp;""</f>
        <v>Software Development II-2022-GEN</v>
      </c>
      <c r="G157" s="2" t="str">
        <f t="shared" ca="1" si="8"/>
        <v/>
      </c>
      <c r="H157" s="3" t="str">
        <f t="shared" ca="1" si="11"/>
        <v>0</v>
      </c>
      <c r="I157" s="3" t="str">
        <f t="shared" ca="1" si="11"/>
        <v>Pull request not found using search query</v>
      </c>
      <c r="J157" s="3" t="str">
        <f t="shared" ca="1" si="11"/>
        <v/>
      </c>
      <c r="K157" s="3" t="str">
        <f t="shared" ca="1" si="10"/>
        <v/>
      </c>
    </row>
    <row r="158" spans="1:11">
      <c r="A158" s="134" t="str">
        <f>UlwaziExport[]&amp;""</f>
        <v>Solomao, Amelia</v>
      </c>
      <c r="B158" s="134" t="str">
        <f>UlwaziExport[]&amp;""</f>
        <v>36864</v>
      </c>
      <c r="C158" s="134" t="str">
        <f>UlwaziExport[]&amp;""</f>
        <v>1722529@students.wits.ac.za</v>
      </c>
      <c r="D158" s="134" t="str">
        <f>UlwaziExport[]&amp;""</f>
        <v>1722529@students.wits.ac.za</v>
      </c>
      <c r="E158" s="134" t="str">
        <f>UlwaziExport[]&amp;""</f>
        <v>1722529</v>
      </c>
      <c r="F158" s="134" t="str">
        <f>UlwaziExport[]&amp;""</f>
        <v>Software Development II-2022-GEN</v>
      </c>
      <c r="G158" s="2" t="str">
        <f t="shared" ca="1" si="8"/>
        <v/>
      </c>
      <c r="H158" s="3" t="str">
        <f t="shared" ca="1" si="11"/>
        <v>0</v>
      </c>
      <c r="I158" s="3" t="str">
        <f t="shared" ca="1" si="11"/>
        <v>Missing or partial/inadequate solution</v>
      </c>
      <c r="J158" s="3" t="str">
        <f t="shared" ca="1" si="11"/>
        <v/>
      </c>
      <c r="K158" s="3" t="str">
        <f t="shared" ca="1" si="10"/>
        <v/>
      </c>
    </row>
    <row r="159" spans="1:11">
      <c r="A159" s="134" t="str">
        <f>UlwaziExport[]&amp;""</f>
        <v>Taim, Daniel</v>
      </c>
      <c r="B159" s="134" t="str">
        <f>UlwaziExport[]&amp;""</f>
        <v>24991</v>
      </c>
      <c r="C159" s="134" t="str">
        <f>UlwaziExport[]&amp;""</f>
        <v>2305656@students.wits.ac.za</v>
      </c>
      <c r="D159" s="134" t="str">
        <f>UlwaziExport[]&amp;""</f>
        <v>2305656@students.wits.ac.za</v>
      </c>
      <c r="E159" s="134" t="str">
        <f>UlwaziExport[]&amp;""</f>
        <v>2305656</v>
      </c>
      <c r="F159" s="134" t="str">
        <f>UlwaziExport[]&amp;""</f>
        <v>Software Development II-2022-GEN</v>
      </c>
      <c r="G159" s="2" t="str">
        <f t="shared" ca="1" si="8"/>
        <v/>
      </c>
      <c r="H159" s="3" t="str">
        <f t="shared" ca="1" si="11"/>
        <v>0</v>
      </c>
      <c r="I159" s="3" t="str">
        <f t="shared" ca="1" si="11"/>
        <v>Incorrect commit history</v>
      </c>
      <c r="J159" s="3" t="str">
        <f t="shared" ca="1" si="11"/>
        <v/>
      </c>
      <c r="K159" s="3" t="str">
        <f t="shared" ca="1" si="10"/>
        <v/>
      </c>
    </row>
    <row r="160" spans="1:11">
      <c r="A160" s="134" t="str">
        <f>UlwaziExport[]&amp;""</f>
        <v>Tar-Mahomed, Mohammed</v>
      </c>
      <c r="B160" s="134" t="str">
        <f>UlwaziExport[]&amp;""</f>
        <v>28190</v>
      </c>
      <c r="C160" s="134" t="str">
        <f>UlwaziExport[]&amp;""</f>
        <v>2328822@students.wits.ac.za</v>
      </c>
      <c r="D160" s="134" t="str">
        <f>UlwaziExport[]&amp;""</f>
        <v>2328822@students.wits.ac.za</v>
      </c>
      <c r="E160" s="134" t="str">
        <f>UlwaziExport[]&amp;""</f>
        <v>2328822</v>
      </c>
      <c r="F160" s="134" t="str">
        <f>UlwaziExport[]&amp;""</f>
        <v>Software Development II-2022-GEN</v>
      </c>
      <c r="G160" s="2" t="str">
        <f t="shared" ca="1" si="8"/>
        <v/>
      </c>
      <c r="H160" s="3" t="str">
        <f t="shared" ca="1" si="11"/>
        <v>1</v>
      </c>
      <c r="I160" s="3" t="str">
        <f t="shared" ca="1" si="11"/>
        <v/>
      </c>
      <c r="J160" s="3" t="str">
        <f t="shared" ca="1" si="11"/>
        <v/>
      </c>
      <c r="K160" s="3" t="str">
        <f t="shared" ca="1" si="10"/>
        <v/>
      </c>
    </row>
    <row r="161" spans="1:11">
      <c r="A161" s="134" t="str">
        <f>UlwaziExport[]&amp;""</f>
        <v>Thamane, Neo</v>
      </c>
      <c r="B161" s="134" t="str">
        <f>UlwaziExport[]&amp;""</f>
        <v>39152</v>
      </c>
      <c r="C161" s="134" t="str">
        <f>UlwaziExport[]&amp;""</f>
        <v>2103308@students.wits.ac.za</v>
      </c>
      <c r="D161" s="134" t="str">
        <f>UlwaziExport[]&amp;""</f>
        <v>2103308@students.wits.ac.za</v>
      </c>
      <c r="E161" s="134" t="str">
        <f>UlwaziExport[]&amp;""</f>
        <v>2103308</v>
      </c>
      <c r="F161" s="134" t="str">
        <f>UlwaziExport[]&amp;""</f>
        <v>Software Development II-2022-GEN</v>
      </c>
      <c r="G161" s="2" t="str">
        <f t="shared" ca="1" si="8"/>
        <v/>
      </c>
      <c r="H161" s="3" t="str">
        <f t="shared" ca="1" si="11"/>
        <v>1</v>
      </c>
      <c r="I161" s="3" t="str">
        <f t="shared" ca="1" si="11"/>
        <v/>
      </c>
      <c r="J161" s="3" t="str">
        <f t="shared" ca="1" si="11"/>
        <v/>
      </c>
      <c r="K161" s="3" t="str">
        <f t="shared" ref="K161:K172" ca="1" si="12">IF(AND(K$1&lt;&gt;"",$A161&lt;&gt;""),_xlfn.IFNA(INDEX(INDIRECT($G$3&amp;"["&amp;K$1&amp;"]"),MATCH(TRIM(LEFT($D161,FIND("@",$D161)-1)),INDIRECT($G$3&amp;"[[Student No.]:[Student No.]]"),0))&amp;"","Missing!"),"")</f>
        <v/>
      </c>
    </row>
    <row r="162" spans="1:11">
      <c r="A162" s="134" t="str">
        <f>UlwaziExport[]&amp;""</f>
        <v>Thomson, Ethan</v>
      </c>
      <c r="B162" s="134" t="str">
        <f>UlwaziExport[]&amp;""</f>
        <v>24813</v>
      </c>
      <c r="C162" s="134" t="str">
        <f>UlwaziExport[]&amp;""</f>
        <v>2186479@students.wits.ac.za</v>
      </c>
      <c r="D162" s="134" t="str">
        <f>UlwaziExport[]&amp;""</f>
        <v>2186479@students.wits.ac.za</v>
      </c>
      <c r="E162" s="134" t="str">
        <f>UlwaziExport[]&amp;""</f>
        <v>2186479</v>
      </c>
      <c r="F162" s="134" t="str">
        <f>UlwaziExport[]&amp;""</f>
        <v>Software Development II-2022-GEN</v>
      </c>
      <c r="G162" s="2" t="str">
        <f t="shared" ca="1" si="8"/>
        <v/>
      </c>
      <c r="H162" s="3" t="str">
        <f t="shared" ca="1" si="11"/>
        <v>0</v>
      </c>
      <c r="I162" s="3" t="str">
        <f t="shared" ca="1" si="11"/>
        <v>No commits from this group member</v>
      </c>
      <c r="J162" s="3" t="str">
        <f t="shared" ca="1" si="11"/>
        <v/>
      </c>
      <c r="K162" s="3" t="str">
        <f t="shared" ca="1" si="12"/>
        <v/>
      </c>
    </row>
    <row r="163" spans="1:11">
      <c r="A163" s="134" t="str">
        <f>UlwaziExport[]&amp;""</f>
        <v>Tom, Shaleen</v>
      </c>
      <c r="B163" s="134" t="str">
        <f>UlwaziExport[]&amp;""</f>
        <v>30028</v>
      </c>
      <c r="C163" s="134" t="str">
        <f>UlwaziExport[]&amp;""</f>
        <v>2340555@students.wits.ac.za</v>
      </c>
      <c r="D163" s="134" t="str">
        <f>UlwaziExport[]&amp;""</f>
        <v>2340555@students.wits.ac.za</v>
      </c>
      <c r="E163" s="134" t="str">
        <f>UlwaziExport[]&amp;""</f>
        <v>2340555</v>
      </c>
      <c r="F163" s="134" t="str">
        <f>UlwaziExport[]&amp;""</f>
        <v>Software Development II-2022-GEN</v>
      </c>
      <c r="G163" s="2" t="str">
        <f t="shared" ca="1" si="8"/>
        <v/>
      </c>
      <c r="H163" s="3" t="str">
        <f t="shared" ca="1" si="11"/>
        <v>0</v>
      </c>
      <c r="I163" s="3" t="str">
        <f t="shared" ca="1" si="11"/>
        <v>Pull request not found using search query</v>
      </c>
      <c r="J163" s="3" t="str">
        <f t="shared" ca="1" si="11"/>
        <v/>
      </c>
      <c r="K163" s="3" t="str">
        <f t="shared" ca="1" si="12"/>
        <v/>
      </c>
    </row>
    <row r="164" spans="1:11">
      <c r="A164" s="134" t="str">
        <f>UlwaziExport[]&amp;""</f>
        <v>Tshibalo, Tondani</v>
      </c>
      <c r="B164" s="134" t="str">
        <f>UlwaziExport[]&amp;""</f>
        <v>50606</v>
      </c>
      <c r="C164" s="134" t="str">
        <f>UlwaziExport[]&amp;""</f>
        <v>1823614@students.wits.ac.za</v>
      </c>
      <c r="D164" s="134" t="str">
        <f>UlwaziExport[]&amp;""</f>
        <v>1823614@students.wits.ac.za</v>
      </c>
      <c r="E164" s="134" t="str">
        <f>UlwaziExport[]&amp;""</f>
        <v>1823614</v>
      </c>
      <c r="F164" s="134" t="str">
        <f>UlwaziExport[]&amp;""</f>
        <v>Software Development II-2022-GEN</v>
      </c>
      <c r="G164" s="2" t="str">
        <f t="shared" ca="1" si="8"/>
        <v/>
      </c>
      <c r="H164" s="3" t="str">
        <f t="shared" ca="1" si="11"/>
        <v>1</v>
      </c>
      <c r="I164" s="3" t="str">
        <f t="shared" ca="1" si="11"/>
        <v/>
      </c>
      <c r="J164" s="3" t="str">
        <f t="shared" ca="1" si="11"/>
        <v/>
      </c>
      <c r="K164" s="3" t="str">
        <f t="shared" ca="1" si="12"/>
        <v/>
      </c>
    </row>
    <row r="165" spans="1:11">
      <c r="A165" s="134" t="str">
        <f>UlwaziExport[]&amp;""</f>
        <v>Tshikombeni, Ompha</v>
      </c>
      <c r="B165" s="134" t="str">
        <f>UlwaziExport[]&amp;""</f>
        <v>36477</v>
      </c>
      <c r="C165" s="134" t="str">
        <f>UlwaziExport[]&amp;""</f>
        <v>1908825@students.wits.ac.za</v>
      </c>
      <c r="D165" s="134" t="str">
        <f>UlwaziExport[]&amp;""</f>
        <v>1908825@students.wits.ac.za</v>
      </c>
      <c r="E165" s="134" t="str">
        <f>UlwaziExport[]&amp;""</f>
        <v>1908825</v>
      </c>
      <c r="F165" s="134" t="str">
        <f>UlwaziExport[]&amp;""</f>
        <v>Software Development II-2022-GEN</v>
      </c>
      <c r="G165" s="2" t="str">
        <f t="shared" ca="1" si="8"/>
        <v/>
      </c>
      <c r="H165" s="3" t="str">
        <f t="shared" ca="1" si="11"/>
        <v>0</v>
      </c>
      <c r="I165" s="3" t="str">
        <f t="shared" ca="1" si="11"/>
        <v>A commit includes solutions to multiple exercises</v>
      </c>
      <c r="J165" s="3" t="str">
        <f t="shared" ca="1" si="11"/>
        <v/>
      </c>
      <c r="K165" s="3" t="str">
        <f t="shared" ca="1" si="12"/>
        <v/>
      </c>
    </row>
    <row r="166" spans="1:11">
      <c r="A166" s="134" t="str">
        <f>UlwaziExport[]&amp;""</f>
        <v>Tshude, Ziyanda</v>
      </c>
      <c r="B166" s="134" t="str">
        <f>UlwaziExport[]&amp;""</f>
        <v>26123</v>
      </c>
      <c r="C166" s="134" t="str">
        <f>UlwaziExport[]&amp;""</f>
        <v>2219934@students.wits.ac.za</v>
      </c>
      <c r="D166" s="134" t="str">
        <f>UlwaziExport[]&amp;""</f>
        <v>2219934@students.wits.ac.za</v>
      </c>
      <c r="E166" s="134" t="str">
        <f>UlwaziExport[]&amp;""</f>
        <v>2219934</v>
      </c>
      <c r="F166" s="134" t="str">
        <f>UlwaziExport[]&amp;""</f>
        <v>Software Development II-2022-GEN</v>
      </c>
      <c r="G166" s="2" t="str">
        <f t="shared" ca="1" si="8"/>
        <v/>
      </c>
      <c r="H166" s="3" t="str">
        <f t="shared" ca="1" si="11"/>
        <v>0</v>
      </c>
      <c r="I166" s="3" t="str">
        <f t="shared" ca="1" si="11"/>
        <v>Pull request not found using search query</v>
      </c>
      <c r="J166" s="3" t="str">
        <f t="shared" ca="1" si="11"/>
        <v/>
      </c>
      <c r="K166" s="3" t="str">
        <f t="shared" ca="1" si="12"/>
        <v/>
      </c>
    </row>
    <row r="167" spans="1:11">
      <c r="A167" s="134" t="str">
        <f>UlwaziExport[]&amp;""</f>
        <v>Valla, Karan</v>
      </c>
      <c r="B167" s="134" t="str">
        <f>UlwaziExport[]&amp;""</f>
        <v>28253</v>
      </c>
      <c r="C167" s="134" t="str">
        <f>UlwaziExport[]&amp;""</f>
        <v>2353833@students.wits.ac.za</v>
      </c>
      <c r="D167" s="134" t="str">
        <f>UlwaziExport[]&amp;""</f>
        <v>2353833@students.wits.ac.za</v>
      </c>
      <c r="E167" s="134" t="str">
        <f>UlwaziExport[]&amp;""</f>
        <v>2353833</v>
      </c>
      <c r="F167" s="134" t="str">
        <f>UlwaziExport[]&amp;""</f>
        <v>Software Development II-2022-GEN</v>
      </c>
      <c r="G167" s="2" t="str">
        <f t="shared" ca="1" si="8"/>
        <v/>
      </c>
      <c r="H167" s="3" t="str">
        <f t="shared" ca="1" si="11"/>
        <v>1</v>
      </c>
      <c r="I167" s="3" t="str">
        <f t="shared" ca="1" si="11"/>
        <v/>
      </c>
      <c r="J167" s="3" t="str">
        <f t="shared" ca="1" si="11"/>
        <v/>
      </c>
      <c r="K167" s="3" t="str">
        <f t="shared" ca="1" si="12"/>
        <v/>
      </c>
    </row>
    <row r="168" spans="1:11">
      <c r="A168" s="134" t="str">
        <f>UlwaziExport[]&amp;""</f>
        <v>Van Staden, Erin</v>
      </c>
      <c r="B168" s="134" t="str">
        <f>UlwaziExport[]&amp;""</f>
        <v>34786</v>
      </c>
      <c r="C168" s="134" t="str">
        <f>UlwaziExport[]&amp;""</f>
        <v>2113490@students.wits.ac.za</v>
      </c>
      <c r="D168" s="134" t="str">
        <f>UlwaziExport[]&amp;""</f>
        <v>2113490@students.wits.ac.za</v>
      </c>
      <c r="E168" s="134" t="str">
        <f>UlwaziExport[]&amp;""</f>
        <v>2113490</v>
      </c>
      <c r="F168" s="134" t="str">
        <f>UlwaziExport[]&amp;""</f>
        <v>Software Development II-2022-GEN</v>
      </c>
      <c r="G168" s="2" t="str">
        <f t="shared" ca="1" si="8"/>
        <v/>
      </c>
      <c r="H168" s="3" t="str">
        <f t="shared" ca="1" si="11"/>
        <v>0</v>
      </c>
      <c r="I168" s="3" t="str">
        <f t="shared" ca="1" si="11"/>
        <v>Pull request not found using search query</v>
      </c>
      <c r="J168" s="3" t="str">
        <f t="shared" ca="1" si="11"/>
        <v/>
      </c>
      <c r="K168" s="3" t="str">
        <f t="shared" ca="1" si="12"/>
        <v/>
      </c>
    </row>
    <row r="169" spans="1:11">
      <c r="A169" s="134" t="str">
        <f>UlwaziExport[]&amp;""</f>
        <v>Wright, Ruth-Ann</v>
      </c>
      <c r="B169" s="134" t="str">
        <f>UlwaziExport[]&amp;""</f>
        <v>27904</v>
      </c>
      <c r="C169" s="134" t="str">
        <f>UlwaziExport[]&amp;""</f>
        <v>2351852@students.wits.ac.za</v>
      </c>
      <c r="D169" s="134" t="str">
        <f>UlwaziExport[]&amp;""</f>
        <v>2351852@students.wits.ac.za</v>
      </c>
      <c r="E169" s="134" t="str">
        <f>UlwaziExport[]&amp;""</f>
        <v>2351852</v>
      </c>
      <c r="F169" s="134" t="str">
        <f>UlwaziExport[]&amp;""</f>
        <v>Software Development II-2022-GEN</v>
      </c>
      <c r="G169" s="2" t="str">
        <f t="shared" ca="1" si="8"/>
        <v/>
      </c>
      <c r="H169" s="3" t="str">
        <f t="shared" ca="1" si="11"/>
        <v>1</v>
      </c>
      <c r="I169" s="3" t="str">
        <f t="shared" ca="1" si="11"/>
        <v/>
      </c>
      <c r="J169" s="3" t="str">
        <f t="shared" ca="1" si="11"/>
        <v/>
      </c>
      <c r="K169" s="3" t="str">
        <f t="shared" ca="1" si="12"/>
        <v/>
      </c>
    </row>
    <row r="170" spans="1:11">
      <c r="A170" s="134" t="str">
        <f>UlwaziExport[]&amp;""</f>
        <v>Zulase, Nathan</v>
      </c>
      <c r="B170" s="134" t="str">
        <f>UlwaziExport[]&amp;""</f>
        <v>42488</v>
      </c>
      <c r="C170" s="134" t="str">
        <f>UlwaziExport[]&amp;""</f>
        <v>2141604@students.wits.ac.za</v>
      </c>
      <c r="D170" s="134" t="str">
        <f>UlwaziExport[]&amp;""</f>
        <v>2141604@students.wits.ac.za</v>
      </c>
      <c r="E170" s="134" t="str">
        <f>UlwaziExport[]&amp;""</f>
        <v>2141604</v>
      </c>
      <c r="F170" s="134" t="str">
        <f>UlwaziExport[]&amp;""</f>
        <v>Software Development II-2022-GEN</v>
      </c>
      <c r="G170" s="2" t="str">
        <f t="shared" ca="1" si="8"/>
        <v/>
      </c>
      <c r="H170" s="3" t="str">
        <f t="shared" ca="1" si="11"/>
        <v>0</v>
      </c>
      <c r="I170" s="3" t="str">
        <f t="shared" ca="1" si="11"/>
        <v>Pull request not found using search query</v>
      </c>
      <c r="J170" s="3" t="str">
        <f t="shared" ca="1" si="11"/>
        <v/>
      </c>
      <c r="K170" s="3" t="str">
        <f t="shared" ca="1" si="12"/>
        <v/>
      </c>
    </row>
    <row r="171" spans="1:11">
      <c r="A171" s="134" t="str">
        <f>UlwaziExport[]&amp;""</f>
        <v>Zulu, Cebolenkosi</v>
      </c>
      <c r="B171" s="134" t="str">
        <f>UlwaziExport[]&amp;""</f>
        <v>35786</v>
      </c>
      <c r="C171" s="134" t="str">
        <f>UlwaziExport[]&amp;""</f>
        <v>2373926@students.wits.ac.za</v>
      </c>
      <c r="D171" s="134" t="str">
        <f>UlwaziExport[]&amp;""</f>
        <v>2373926@students.wits.ac.za</v>
      </c>
      <c r="E171" s="134" t="str">
        <f>UlwaziExport[]&amp;""</f>
        <v>2373926</v>
      </c>
      <c r="F171" s="134" t="str">
        <f>UlwaziExport[]&amp;""</f>
        <v>Software Development II-2022-GEN</v>
      </c>
      <c r="G171" s="2" t="str">
        <f t="shared" ca="1" si="8"/>
        <v/>
      </c>
      <c r="H171" s="3" t="str">
        <f t="shared" ca="1" si="11"/>
        <v>0</v>
      </c>
      <c r="I171" s="3" t="str">
        <f t="shared" ca="1" si="11"/>
        <v>Incorrect commit history</v>
      </c>
      <c r="J171" s="3" t="str">
        <f t="shared" ca="1" si="11"/>
        <v/>
      </c>
      <c r="K171" s="3" t="str">
        <f t="shared" ca="1" si="12"/>
        <v/>
      </c>
    </row>
    <row r="172" spans="1:11">
      <c r="A172" s="134" t="str">
        <f>UlwaziExport[]&amp;""</f>
        <v>Zwane, Kwazinkosi</v>
      </c>
      <c r="B172" s="134" t="str">
        <f>UlwaziExport[]&amp;""</f>
        <v>36162</v>
      </c>
      <c r="C172" s="134" t="str">
        <f>UlwaziExport[]&amp;""</f>
        <v>1437039@students.wits.ac.za</v>
      </c>
      <c r="D172" s="134" t="str">
        <f>UlwaziExport[]&amp;""</f>
        <v>1437039@students.wits.ac.za</v>
      </c>
      <c r="E172" s="134" t="str">
        <f>UlwaziExport[]&amp;""</f>
        <v>1437039</v>
      </c>
      <c r="F172" s="134" t="str">
        <f>UlwaziExport[]&amp;""</f>
        <v>Software Development II-2022-GEN</v>
      </c>
      <c r="G172" s="2" t="str">
        <f t="shared" ca="1" si="8"/>
        <v/>
      </c>
      <c r="H172" s="3" t="str">
        <f t="shared" ca="1" si="11"/>
        <v>0</v>
      </c>
      <c r="I172" s="3" t="str">
        <f t="shared" ca="1" si="11"/>
        <v>Missing or partial/inadequate solution</v>
      </c>
      <c r="J172" s="3" t="str">
        <f t="shared" ca="1" si="11"/>
        <v/>
      </c>
      <c r="K172" s="3" t="str">
        <f t="shared" ca="1" si="12"/>
        <v/>
      </c>
    </row>
    <row r="173" spans="1:11">
      <c r="A173" s="134" t="str">
        <f>UlwaziExport[]&amp;""</f>
        <v/>
      </c>
      <c r="B173" s="134" t="str">
        <f>UlwaziExport[]&amp;""</f>
        <v/>
      </c>
      <c r="C173" s="134" t="str">
        <f>UlwaziExport[]&amp;""</f>
        <v/>
      </c>
      <c r="D173" s="134" t="str">
        <f>UlwaziExport[]&amp;""</f>
        <v/>
      </c>
      <c r="E173" s="134" t="str">
        <f>UlwaziExport[]&amp;""</f>
        <v/>
      </c>
      <c r="F173" s="134" t="str">
        <f>UlwaziExport[]&amp;""</f>
        <v/>
      </c>
      <c r="G173" s="2" t="str">
        <f t="shared" ca="1" si="8"/>
        <v/>
      </c>
      <c r="H173" s="3" t="str">
        <f t="shared" ca="1" si="11"/>
        <v/>
      </c>
      <c r="I173" s="3" t="str">
        <f t="shared" ca="1" si="11"/>
        <v/>
      </c>
      <c r="J173" s="3" t="str">
        <f t="shared" ca="1" si="11"/>
        <v/>
      </c>
      <c r="K173" s="3" t="str">
        <f t="shared" ca="1" si="11"/>
        <v/>
      </c>
    </row>
    <row r="174" spans="1:11">
      <c r="A174" s="134" t="str">
        <f>UlwaziExport[]&amp;""</f>
        <v/>
      </c>
      <c r="B174" s="134" t="str">
        <f>UlwaziExport[]&amp;""</f>
        <v/>
      </c>
      <c r="C174" s="134" t="str">
        <f>UlwaziExport[]&amp;""</f>
        <v/>
      </c>
      <c r="D174" s="134" t="str">
        <f>UlwaziExport[]&amp;""</f>
        <v/>
      </c>
      <c r="E174" s="134" t="str">
        <f>UlwaziExport[]&amp;""</f>
        <v/>
      </c>
      <c r="F174" s="134" t="str">
        <f>UlwaziExport[]&amp;""</f>
        <v/>
      </c>
      <c r="G174" s="2" t="str">
        <f t="shared" ca="1" si="8"/>
        <v/>
      </c>
      <c r="H174" s="3" t="str">
        <f t="shared" ca="1" si="11"/>
        <v/>
      </c>
      <c r="I174" s="3" t="str">
        <f t="shared" ca="1" si="11"/>
        <v/>
      </c>
      <c r="J174" s="3" t="str">
        <f t="shared" ca="1" si="11"/>
        <v/>
      </c>
      <c r="K174" s="3" t="str">
        <f t="shared" ca="1" si="11"/>
        <v/>
      </c>
    </row>
    <row r="175" spans="1:11">
      <c r="A175" s="134" t="str">
        <f>UlwaziExport[]&amp;""</f>
        <v/>
      </c>
      <c r="B175" s="134" t="str">
        <f>UlwaziExport[]&amp;""</f>
        <v/>
      </c>
      <c r="C175" s="134" t="str">
        <f>UlwaziExport[]&amp;""</f>
        <v/>
      </c>
      <c r="D175" s="134" t="str">
        <f>UlwaziExport[]&amp;""</f>
        <v/>
      </c>
      <c r="E175" s="134" t="str">
        <f>UlwaziExport[]&amp;""</f>
        <v/>
      </c>
      <c r="F175" s="134" t="str">
        <f>UlwaziExport[]&amp;""</f>
        <v/>
      </c>
      <c r="G175" s="2" t="str">
        <f t="shared" ca="1" si="8"/>
        <v/>
      </c>
      <c r="H175" s="3" t="str">
        <f t="shared" ca="1" si="11"/>
        <v/>
      </c>
      <c r="I175" s="3" t="str">
        <f t="shared" ca="1" si="11"/>
        <v/>
      </c>
      <c r="J175" s="3" t="str">
        <f t="shared" ca="1" si="11"/>
        <v/>
      </c>
      <c r="K175" s="3" t="str">
        <f t="shared" ca="1" si="11"/>
        <v/>
      </c>
    </row>
    <row r="176" spans="1:11">
      <c r="A176" s="134" t="str">
        <f>UlwaziExport[]&amp;""</f>
        <v/>
      </c>
      <c r="B176" s="134" t="str">
        <f>UlwaziExport[]&amp;""</f>
        <v/>
      </c>
      <c r="C176" s="134" t="str">
        <f>UlwaziExport[]&amp;""</f>
        <v/>
      </c>
      <c r="D176" s="134" t="str">
        <f>UlwaziExport[]&amp;""</f>
        <v/>
      </c>
      <c r="E176" s="134" t="str">
        <f>UlwaziExport[]&amp;""</f>
        <v/>
      </c>
      <c r="F176" s="134" t="str">
        <f>UlwaziExport[]&amp;""</f>
        <v/>
      </c>
      <c r="G176" s="2" t="str">
        <f t="shared" ca="1" si="8"/>
        <v/>
      </c>
      <c r="H176" s="3" t="str">
        <f t="shared" ca="1" si="11"/>
        <v/>
      </c>
      <c r="I176" s="3" t="str">
        <f t="shared" ref="H176:K207" ca="1" si="13">IF(AND(I$1&lt;&gt;"",$A176&lt;&gt;""),_xlfn.IFNA(INDEX(INDIRECT($G$3&amp;"["&amp;I$1&amp;"]"),MATCH(TRIM(LEFT($D176,FIND("@",$D176)-1)),INDIRECT($G$3&amp;"[[Student No.]:[Student No.]]"),0))&amp;"","Missing!"),"")</f>
        <v/>
      </c>
      <c r="J176" s="3" t="str">
        <f t="shared" ca="1" si="13"/>
        <v/>
      </c>
      <c r="K176" s="3" t="str">
        <f t="shared" ca="1" si="13"/>
        <v/>
      </c>
    </row>
    <row r="177" spans="1:11">
      <c r="A177" s="134" t="str">
        <f>UlwaziExport[]&amp;""</f>
        <v/>
      </c>
      <c r="B177" s="134" t="str">
        <f>UlwaziExport[]&amp;""</f>
        <v/>
      </c>
      <c r="C177" s="134" t="str">
        <f>UlwaziExport[]&amp;""</f>
        <v/>
      </c>
      <c r="D177" s="134" t="str">
        <f>UlwaziExport[]&amp;""</f>
        <v/>
      </c>
      <c r="E177" s="134" t="str">
        <f>UlwaziExport[]&amp;""</f>
        <v/>
      </c>
      <c r="F177" s="134" t="str">
        <f>UlwaziExport[]&amp;""</f>
        <v/>
      </c>
      <c r="G177" s="2" t="str">
        <f t="shared" ref="G177:K221" ca="1" si="14">IF(AND(G$1&lt;&gt;"",$A177&lt;&gt;""),_xlfn.IFNA(INDEX(INDIRECT($G$3&amp;"["&amp;G$1&amp;"]"),MATCH(TRIM(LEFT($D177,FIND("@",$D177)-1)),INDIRECT($G$3&amp;"[[Student No.]:[Student No.]]"),0))&amp;"","Missing!"),"")</f>
        <v/>
      </c>
      <c r="H177" s="3" t="str">
        <f t="shared" ca="1" si="13"/>
        <v/>
      </c>
      <c r="I177" s="3" t="str">
        <f t="shared" ca="1" si="13"/>
        <v/>
      </c>
      <c r="J177" s="3" t="str">
        <f t="shared" ca="1" si="13"/>
        <v/>
      </c>
      <c r="K177" s="3" t="str">
        <f t="shared" ca="1" si="13"/>
        <v/>
      </c>
    </row>
    <row r="178" spans="1:11">
      <c r="A178" s="134" t="str">
        <f>UlwaziExport[]&amp;""</f>
        <v/>
      </c>
      <c r="B178" s="134" t="str">
        <f>UlwaziExport[]&amp;""</f>
        <v/>
      </c>
      <c r="C178" s="134" t="str">
        <f>UlwaziExport[]&amp;""</f>
        <v/>
      </c>
      <c r="D178" s="134" t="str">
        <f>UlwaziExport[]&amp;""</f>
        <v/>
      </c>
      <c r="E178" s="134" t="str">
        <f>UlwaziExport[]&amp;""</f>
        <v/>
      </c>
      <c r="F178" s="134" t="str">
        <f>UlwaziExport[]&amp;""</f>
        <v/>
      </c>
      <c r="G178" s="2" t="str">
        <f t="shared" ca="1" si="14"/>
        <v/>
      </c>
      <c r="H178" s="3" t="str">
        <f t="shared" ca="1" si="13"/>
        <v/>
      </c>
      <c r="I178" s="3" t="str">
        <f t="shared" ca="1" si="13"/>
        <v/>
      </c>
      <c r="J178" s="3" t="str">
        <f t="shared" ca="1" si="13"/>
        <v/>
      </c>
      <c r="K178" s="3" t="str">
        <f t="shared" ca="1" si="13"/>
        <v/>
      </c>
    </row>
    <row r="179" spans="1:11">
      <c r="A179" s="134" t="str">
        <f>UlwaziExport[]&amp;""</f>
        <v/>
      </c>
      <c r="B179" s="134" t="str">
        <f>UlwaziExport[]&amp;""</f>
        <v/>
      </c>
      <c r="C179" s="134" t="str">
        <f>UlwaziExport[]&amp;""</f>
        <v/>
      </c>
      <c r="D179" s="134" t="str">
        <f>UlwaziExport[]&amp;""</f>
        <v/>
      </c>
      <c r="E179" s="134" t="str">
        <f>UlwaziExport[]&amp;""</f>
        <v/>
      </c>
      <c r="F179" s="134" t="str">
        <f>UlwaziExport[]&amp;""</f>
        <v/>
      </c>
      <c r="G179" s="2" t="str">
        <f t="shared" ca="1" si="14"/>
        <v/>
      </c>
      <c r="H179" s="3" t="str">
        <f t="shared" ca="1" si="13"/>
        <v/>
      </c>
      <c r="I179" s="3" t="str">
        <f t="shared" ca="1" si="13"/>
        <v/>
      </c>
      <c r="J179" s="3" t="str">
        <f t="shared" ca="1" si="13"/>
        <v/>
      </c>
      <c r="K179" s="3" t="str">
        <f t="shared" ca="1" si="13"/>
        <v/>
      </c>
    </row>
    <row r="180" spans="1:11">
      <c r="A180" s="134" t="str">
        <f>UlwaziExport[]&amp;""</f>
        <v/>
      </c>
      <c r="B180" s="134" t="str">
        <f>UlwaziExport[]&amp;""</f>
        <v/>
      </c>
      <c r="C180" s="134" t="str">
        <f>UlwaziExport[]&amp;""</f>
        <v/>
      </c>
      <c r="D180" s="134" t="str">
        <f>UlwaziExport[]&amp;""</f>
        <v/>
      </c>
      <c r="E180" s="134" t="str">
        <f>UlwaziExport[]&amp;""</f>
        <v/>
      </c>
      <c r="F180" s="134" t="str">
        <f>UlwaziExport[]&amp;""</f>
        <v/>
      </c>
      <c r="G180" s="2" t="str">
        <f t="shared" ca="1" si="14"/>
        <v/>
      </c>
      <c r="H180" s="3" t="str">
        <f t="shared" ca="1" si="13"/>
        <v/>
      </c>
      <c r="I180" s="3" t="str">
        <f t="shared" ca="1" si="13"/>
        <v/>
      </c>
      <c r="J180" s="3" t="str">
        <f t="shared" ca="1" si="13"/>
        <v/>
      </c>
      <c r="K180" s="3" t="str">
        <f t="shared" ca="1" si="13"/>
        <v/>
      </c>
    </row>
    <row r="181" spans="1:11">
      <c r="A181" s="134" t="str">
        <f>UlwaziExport[]&amp;""</f>
        <v/>
      </c>
      <c r="B181" s="134" t="str">
        <f>UlwaziExport[]&amp;""</f>
        <v/>
      </c>
      <c r="C181" s="134" t="str">
        <f>UlwaziExport[]&amp;""</f>
        <v/>
      </c>
      <c r="D181" s="134" t="str">
        <f>UlwaziExport[]&amp;""</f>
        <v/>
      </c>
      <c r="E181" s="134" t="str">
        <f>UlwaziExport[]&amp;""</f>
        <v/>
      </c>
      <c r="F181" s="134" t="str">
        <f>UlwaziExport[]&amp;""</f>
        <v/>
      </c>
      <c r="G181" s="2" t="str">
        <f t="shared" ca="1" si="14"/>
        <v/>
      </c>
      <c r="H181" s="3" t="str">
        <f t="shared" ca="1" si="13"/>
        <v/>
      </c>
      <c r="I181" s="3" t="str">
        <f t="shared" ca="1" si="13"/>
        <v/>
      </c>
      <c r="J181" s="3" t="str">
        <f t="shared" ca="1" si="13"/>
        <v/>
      </c>
      <c r="K181" s="3" t="str">
        <f t="shared" ca="1" si="13"/>
        <v/>
      </c>
    </row>
    <row r="182" spans="1:11">
      <c r="A182" s="134" t="str">
        <f>UlwaziExport[]&amp;""</f>
        <v/>
      </c>
      <c r="B182" s="134" t="str">
        <f>UlwaziExport[]&amp;""</f>
        <v/>
      </c>
      <c r="C182" s="134" t="str">
        <f>UlwaziExport[]&amp;""</f>
        <v/>
      </c>
      <c r="D182" s="134" t="str">
        <f>UlwaziExport[]&amp;""</f>
        <v/>
      </c>
      <c r="E182" s="134" t="str">
        <f>UlwaziExport[]&amp;""</f>
        <v/>
      </c>
      <c r="F182" s="134" t="str">
        <f>UlwaziExport[]&amp;""</f>
        <v/>
      </c>
      <c r="G182" s="2" t="str">
        <f t="shared" ca="1" si="14"/>
        <v/>
      </c>
      <c r="H182" s="3" t="str">
        <f t="shared" ca="1" si="13"/>
        <v/>
      </c>
      <c r="I182" s="3" t="str">
        <f t="shared" ca="1" si="13"/>
        <v/>
      </c>
      <c r="J182" s="3" t="str">
        <f t="shared" ca="1" si="13"/>
        <v/>
      </c>
      <c r="K182" s="3" t="str">
        <f t="shared" ca="1" si="13"/>
        <v/>
      </c>
    </row>
    <row r="183" spans="1:11">
      <c r="A183" s="134" t="str">
        <f>UlwaziExport[]&amp;""</f>
        <v/>
      </c>
      <c r="B183" s="134" t="str">
        <f>UlwaziExport[]&amp;""</f>
        <v/>
      </c>
      <c r="C183" s="134" t="str">
        <f>UlwaziExport[]&amp;""</f>
        <v/>
      </c>
      <c r="D183" s="134" t="str">
        <f>UlwaziExport[]&amp;""</f>
        <v/>
      </c>
      <c r="E183" s="134" t="str">
        <f>UlwaziExport[]&amp;""</f>
        <v/>
      </c>
      <c r="F183" s="134" t="str">
        <f>UlwaziExport[]&amp;""</f>
        <v/>
      </c>
      <c r="G183" s="2" t="str">
        <f t="shared" ca="1" si="14"/>
        <v/>
      </c>
      <c r="H183" s="3" t="str">
        <f t="shared" ca="1" si="13"/>
        <v/>
      </c>
      <c r="I183" s="3" t="str">
        <f t="shared" ca="1" si="13"/>
        <v/>
      </c>
      <c r="J183" s="3" t="str">
        <f t="shared" ca="1" si="13"/>
        <v/>
      </c>
      <c r="K183" s="3" t="str">
        <f t="shared" ca="1" si="13"/>
        <v/>
      </c>
    </row>
    <row r="184" spans="1:11">
      <c r="A184" s="134" t="str">
        <f>UlwaziExport[]&amp;""</f>
        <v/>
      </c>
      <c r="B184" s="134" t="str">
        <f>UlwaziExport[]&amp;""</f>
        <v/>
      </c>
      <c r="C184" s="134" t="str">
        <f>UlwaziExport[]&amp;""</f>
        <v/>
      </c>
      <c r="D184" s="134" t="str">
        <f>UlwaziExport[]&amp;""</f>
        <v/>
      </c>
      <c r="E184" s="134" t="str">
        <f>UlwaziExport[]&amp;""</f>
        <v/>
      </c>
      <c r="F184" s="134" t="str">
        <f>UlwaziExport[]&amp;""</f>
        <v/>
      </c>
      <c r="G184" s="2" t="str">
        <f t="shared" ca="1" si="14"/>
        <v/>
      </c>
      <c r="H184" s="3" t="str">
        <f t="shared" ca="1" si="13"/>
        <v/>
      </c>
      <c r="I184" s="3" t="str">
        <f t="shared" ca="1" si="13"/>
        <v/>
      </c>
      <c r="J184" s="3" t="str">
        <f t="shared" ca="1" si="13"/>
        <v/>
      </c>
      <c r="K184" s="3" t="str">
        <f t="shared" ca="1" si="13"/>
        <v/>
      </c>
    </row>
    <row r="185" spans="1:11">
      <c r="A185" s="134" t="str">
        <f>UlwaziExport[]&amp;""</f>
        <v/>
      </c>
      <c r="B185" s="134" t="str">
        <f>UlwaziExport[]&amp;""</f>
        <v/>
      </c>
      <c r="C185" s="134" t="str">
        <f>UlwaziExport[]&amp;""</f>
        <v/>
      </c>
      <c r="D185" s="134" t="str">
        <f>UlwaziExport[]&amp;""</f>
        <v/>
      </c>
      <c r="E185" s="134" t="str">
        <f>UlwaziExport[]&amp;""</f>
        <v/>
      </c>
      <c r="F185" s="134" t="str">
        <f>UlwaziExport[]&amp;""</f>
        <v/>
      </c>
      <c r="G185" s="2" t="str">
        <f t="shared" ca="1" si="14"/>
        <v/>
      </c>
      <c r="H185" s="3" t="str">
        <f t="shared" ca="1" si="13"/>
        <v/>
      </c>
      <c r="I185" s="3" t="str">
        <f t="shared" ca="1" si="13"/>
        <v/>
      </c>
      <c r="J185" s="3" t="str">
        <f t="shared" ca="1" si="13"/>
        <v/>
      </c>
      <c r="K185" s="3" t="str">
        <f t="shared" ca="1" si="13"/>
        <v/>
      </c>
    </row>
    <row r="186" spans="1:11">
      <c r="A186" s="134" t="str">
        <f>UlwaziExport[]&amp;""</f>
        <v/>
      </c>
      <c r="B186" s="134" t="str">
        <f>UlwaziExport[]&amp;""</f>
        <v/>
      </c>
      <c r="C186" s="134" t="str">
        <f>UlwaziExport[]&amp;""</f>
        <v/>
      </c>
      <c r="D186" s="134" t="str">
        <f>UlwaziExport[]&amp;""</f>
        <v/>
      </c>
      <c r="E186" s="134" t="str">
        <f>UlwaziExport[]&amp;""</f>
        <v/>
      </c>
      <c r="F186" s="134" t="str">
        <f>UlwaziExport[]&amp;""</f>
        <v/>
      </c>
      <c r="G186" s="2" t="str">
        <f t="shared" ca="1" si="14"/>
        <v/>
      </c>
      <c r="H186" s="3" t="str">
        <f t="shared" ca="1" si="13"/>
        <v/>
      </c>
      <c r="I186" s="3" t="str">
        <f t="shared" ca="1" si="13"/>
        <v/>
      </c>
      <c r="J186" s="3" t="str">
        <f t="shared" ca="1" si="13"/>
        <v/>
      </c>
      <c r="K186" s="3" t="str">
        <f t="shared" ca="1" si="13"/>
        <v/>
      </c>
    </row>
    <row r="187" spans="1:11">
      <c r="A187" s="134" t="str">
        <f>UlwaziExport[]&amp;""</f>
        <v/>
      </c>
      <c r="B187" s="134" t="str">
        <f>UlwaziExport[]&amp;""</f>
        <v/>
      </c>
      <c r="C187" s="134" t="str">
        <f>UlwaziExport[]&amp;""</f>
        <v/>
      </c>
      <c r="D187" s="134" t="str">
        <f>UlwaziExport[]&amp;""</f>
        <v/>
      </c>
      <c r="E187" s="134" t="str">
        <f>UlwaziExport[]&amp;""</f>
        <v/>
      </c>
      <c r="F187" s="134" t="str">
        <f>UlwaziExport[]&amp;""</f>
        <v/>
      </c>
      <c r="G187" s="2" t="str">
        <f t="shared" ca="1" si="14"/>
        <v/>
      </c>
      <c r="H187" s="3" t="str">
        <f t="shared" ca="1" si="13"/>
        <v/>
      </c>
      <c r="I187" s="3" t="str">
        <f t="shared" ca="1" si="13"/>
        <v/>
      </c>
      <c r="J187" s="3" t="str">
        <f t="shared" ca="1" si="13"/>
        <v/>
      </c>
      <c r="K187" s="3" t="str">
        <f t="shared" ca="1" si="13"/>
        <v/>
      </c>
    </row>
    <row r="188" spans="1:11">
      <c r="A188" s="134" t="str">
        <f>UlwaziExport[]&amp;""</f>
        <v/>
      </c>
      <c r="B188" s="134" t="str">
        <f>UlwaziExport[]&amp;""</f>
        <v/>
      </c>
      <c r="C188" s="134" t="str">
        <f>UlwaziExport[]&amp;""</f>
        <v/>
      </c>
      <c r="D188" s="134" t="str">
        <f>UlwaziExport[]&amp;""</f>
        <v/>
      </c>
      <c r="E188" s="134" t="str">
        <f>UlwaziExport[]&amp;""</f>
        <v/>
      </c>
      <c r="F188" s="134" t="str">
        <f>UlwaziExport[]&amp;""</f>
        <v/>
      </c>
      <c r="G188" s="2" t="str">
        <f t="shared" ca="1" si="14"/>
        <v/>
      </c>
      <c r="H188" s="3" t="str">
        <f t="shared" ca="1" si="13"/>
        <v/>
      </c>
      <c r="I188" s="3" t="str">
        <f t="shared" ca="1" si="13"/>
        <v/>
      </c>
      <c r="J188" s="3" t="str">
        <f t="shared" ca="1" si="13"/>
        <v/>
      </c>
      <c r="K188" s="3" t="str">
        <f t="shared" ca="1" si="13"/>
        <v/>
      </c>
    </row>
    <row r="189" spans="1:11">
      <c r="A189" s="134" t="str">
        <f>UlwaziExport[]&amp;""</f>
        <v/>
      </c>
      <c r="B189" s="134" t="str">
        <f>UlwaziExport[]&amp;""</f>
        <v/>
      </c>
      <c r="C189" s="134" t="str">
        <f>UlwaziExport[]&amp;""</f>
        <v/>
      </c>
      <c r="D189" s="134" t="str">
        <f>UlwaziExport[]&amp;""</f>
        <v/>
      </c>
      <c r="E189" s="134" t="str">
        <f>UlwaziExport[]&amp;""</f>
        <v/>
      </c>
      <c r="F189" s="134" t="str">
        <f>UlwaziExport[]&amp;""</f>
        <v/>
      </c>
      <c r="G189" s="2" t="str">
        <f t="shared" ca="1" si="14"/>
        <v/>
      </c>
      <c r="H189" s="3" t="str">
        <f t="shared" ca="1" si="13"/>
        <v/>
      </c>
      <c r="I189" s="3" t="str">
        <f t="shared" ca="1" si="13"/>
        <v/>
      </c>
      <c r="J189" s="3" t="str">
        <f t="shared" ca="1" si="13"/>
        <v/>
      </c>
      <c r="K189" s="3" t="str">
        <f t="shared" ca="1" si="13"/>
        <v/>
      </c>
    </row>
    <row r="190" spans="1:11">
      <c r="A190" s="134" t="str">
        <f>UlwaziExport[]&amp;""</f>
        <v/>
      </c>
      <c r="B190" s="134" t="str">
        <f>UlwaziExport[]&amp;""</f>
        <v/>
      </c>
      <c r="C190" s="134" t="str">
        <f>UlwaziExport[]&amp;""</f>
        <v/>
      </c>
      <c r="D190" s="134" t="str">
        <f>UlwaziExport[]&amp;""</f>
        <v/>
      </c>
      <c r="E190" s="134" t="str">
        <f>UlwaziExport[]&amp;""</f>
        <v/>
      </c>
      <c r="F190" s="134" t="str">
        <f>UlwaziExport[]&amp;""</f>
        <v/>
      </c>
      <c r="G190" s="2" t="str">
        <f t="shared" ca="1" si="14"/>
        <v/>
      </c>
      <c r="H190" s="3" t="str">
        <f t="shared" ca="1" si="13"/>
        <v/>
      </c>
      <c r="I190" s="3" t="str">
        <f t="shared" ca="1" si="13"/>
        <v/>
      </c>
      <c r="J190" s="3" t="str">
        <f t="shared" ca="1" si="13"/>
        <v/>
      </c>
      <c r="K190" s="3" t="str">
        <f t="shared" ca="1" si="13"/>
        <v/>
      </c>
    </row>
    <row r="191" spans="1:11">
      <c r="A191" s="134" t="str">
        <f>UlwaziExport[]&amp;""</f>
        <v/>
      </c>
      <c r="B191" s="134" t="str">
        <f>UlwaziExport[]&amp;""</f>
        <v/>
      </c>
      <c r="C191" s="134" t="str">
        <f>UlwaziExport[]&amp;""</f>
        <v/>
      </c>
      <c r="D191" s="134" t="str">
        <f>UlwaziExport[]&amp;""</f>
        <v/>
      </c>
      <c r="E191" s="134" t="str">
        <f>UlwaziExport[]&amp;""</f>
        <v/>
      </c>
      <c r="F191" s="134" t="str">
        <f>UlwaziExport[]&amp;""</f>
        <v/>
      </c>
      <c r="G191" s="2" t="str">
        <f t="shared" ca="1" si="14"/>
        <v/>
      </c>
      <c r="H191" s="3" t="str">
        <f t="shared" ca="1" si="13"/>
        <v/>
      </c>
      <c r="I191" s="3" t="str">
        <f t="shared" ca="1" si="13"/>
        <v/>
      </c>
      <c r="J191" s="3" t="str">
        <f t="shared" ca="1" si="13"/>
        <v/>
      </c>
      <c r="K191" s="3" t="str">
        <f t="shared" ca="1" si="13"/>
        <v/>
      </c>
    </row>
    <row r="192" spans="1:11">
      <c r="A192" s="134" t="str">
        <f>UlwaziExport[]&amp;""</f>
        <v/>
      </c>
      <c r="B192" s="134" t="str">
        <f>UlwaziExport[]&amp;""</f>
        <v/>
      </c>
      <c r="C192" s="134" t="str">
        <f>UlwaziExport[]&amp;""</f>
        <v/>
      </c>
      <c r="D192" s="134" t="str">
        <f>UlwaziExport[]&amp;""</f>
        <v/>
      </c>
      <c r="E192" s="134" t="str">
        <f>UlwaziExport[]&amp;""</f>
        <v/>
      </c>
      <c r="F192" s="134" t="str">
        <f>UlwaziExport[]&amp;""</f>
        <v/>
      </c>
      <c r="G192" s="2" t="str">
        <f t="shared" ca="1" si="14"/>
        <v/>
      </c>
      <c r="H192" s="3" t="str">
        <f t="shared" ca="1" si="13"/>
        <v/>
      </c>
      <c r="I192" s="3" t="str">
        <f t="shared" ca="1" si="13"/>
        <v/>
      </c>
      <c r="J192" s="3" t="str">
        <f t="shared" ca="1" si="13"/>
        <v/>
      </c>
      <c r="K192" s="3" t="str">
        <f t="shared" ca="1" si="13"/>
        <v/>
      </c>
    </row>
    <row r="193" spans="1:11">
      <c r="A193" s="134" t="str">
        <f>UlwaziExport[]&amp;""</f>
        <v/>
      </c>
      <c r="B193" s="134" t="str">
        <f>UlwaziExport[]&amp;""</f>
        <v/>
      </c>
      <c r="C193" s="134" t="str">
        <f>UlwaziExport[]&amp;""</f>
        <v/>
      </c>
      <c r="D193" s="134" t="str">
        <f>UlwaziExport[]&amp;""</f>
        <v/>
      </c>
      <c r="E193" s="134" t="str">
        <f>UlwaziExport[]&amp;""</f>
        <v/>
      </c>
      <c r="F193" s="134" t="str">
        <f>UlwaziExport[]&amp;""</f>
        <v/>
      </c>
      <c r="G193" s="2" t="str">
        <f t="shared" ca="1" si="14"/>
        <v/>
      </c>
      <c r="H193" s="3" t="str">
        <f t="shared" ca="1" si="13"/>
        <v/>
      </c>
      <c r="I193" s="3" t="str">
        <f t="shared" ca="1" si="13"/>
        <v/>
      </c>
      <c r="J193" s="3" t="str">
        <f t="shared" ca="1" si="13"/>
        <v/>
      </c>
      <c r="K193" s="3" t="str">
        <f t="shared" ca="1" si="13"/>
        <v/>
      </c>
    </row>
    <row r="194" spans="1:11">
      <c r="A194" s="134" t="str">
        <f>UlwaziExport[]&amp;""</f>
        <v/>
      </c>
      <c r="B194" s="134" t="str">
        <f>UlwaziExport[]&amp;""</f>
        <v/>
      </c>
      <c r="C194" s="134" t="str">
        <f>UlwaziExport[]&amp;""</f>
        <v/>
      </c>
      <c r="D194" s="134" t="str">
        <f>UlwaziExport[]&amp;""</f>
        <v/>
      </c>
      <c r="E194" s="134" t="str">
        <f>UlwaziExport[]&amp;""</f>
        <v/>
      </c>
      <c r="F194" s="134" t="str">
        <f>UlwaziExport[]&amp;""</f>
        <v/>
      </c>
      <c r="G194" s="2" t="str">
        <f t="shared" ca="1" si="14"/>
        <v/>
      </c>
      <c r="H194" s="3" t="str">
        <f t="shared" ca="1" si="13"/>
        <v/>
      </c>
      <c r="I194" s="3" t="str">
        <f t="shared" ca="1" si="13"/>
        <v/>
      </c>
      <c r="J194" s="3" t="str">
        <f t="shared" ca="1" si="13"/>
        <v/>
      </c>
      <c r="K194" s="3" t="str">
        <f t="shared" ca="1" si="13"/>
        <v/>
      </c>
    </row>
    <row r="195" spans="1:11">
      <c r="A195" s="134" t="str">
        <f>UlwaziExport[]&amp;""</f>
        <v/>
      </c>
      <c r="B195" s="134" t="str">
        <f>UlwaziExport[]&amp;""</f>
        <v/>
      </c>
      <c r="C195" s="134" t="str">
        <f>UlwaziExport[]&amp;""</f>
        <v/>
      </c>
      <c r="D195" s="134" t="str">
        <f>UlwaziExport[]&amp;""</f>
        <v/>
      </c>
      <c r="E195" s="134" t="str">
        <f>UlwaziExport[]&amp;""</f>
        <v/>
      </c>
      <c r="F195" s="134" t="str">
        <f>UlwaziExport[]&amp;""</f>
        <v/>
      </c>
      <c r="G195" s="2" t="str">
        <f t="shared" ca="1" si="14"/>
        <v/>
      </c>
      <c r="H195" s="3" t="str">
        <f t="shared" ca="1" si="13"/>
        <v/>
      </c>
      <c r="I195" s="3" t="str">
        <f t="shared" ca="1" si="13"/>
        <v/>
      </c>
      <c r="J195" s="3" t="str">
        <f t="shared" ca="1" si="13"/>
        <v/>
      </c>
      <c r="K195" s="3" t="str">
        <f t="shared" ca="1" si="13"/>
        <v/>
      </c>
    </row>
    <row r="196" spans="1:11">
      <c r="A196" s="134" t="str">
        <f>UlwaziExport[]&amp;""</f>
        <v/>
      </c>
      <c r="B196" s="134" t="str">
        <f>UlwaziExport[]&amp;""</f>
        <v/>
      </c>
      <c r="C196" s="134" t="str">
        <f>UlwaziExport[]&amp;""</f>
        <v/>
      </c>
      <c r="D196" s="134" t="str">
        <f>UlwaziExport[]&amp;""</f>
        <v/>
      </c>
      <c r="E196" s="134" t="str">
        <f>UlwaziExport[]&amp;""</f>
        <v/>
      </c>
      <c r="F196" s="134" t="str">
        <f>UlwaziExport[]&amp;""</f>
        <v/>
      </c>
      <c r="G196" s="2" t="str">
        <f t="shared" ca="1" si="14"/>
        <v/>
      </c>
      <c r="H196" s="3" t="str">
        <f t="shared" ca="1" si="13"/>
        <v/>
      </c>
      <c r="I196" s="3" t="str">
        <f t="shared" ca="1" si="13"/>
        <v/>
      </c>
      <c r="J196" s="3" t="str">
        <f t="shared" ca="1" si="13"/>
        <v/>
      </c>
      <c r="K196" s="3" t="str">
        <f t="shared" ca="1" si="13"/>
        <v/>
      </c>
    </row>
    <row r="197" spans="1:11">
      <c r="A197" s="134" t="str">
        <f>UlwaziExport[]&amp;""</f>
        <v/>
      </c>
      <c r="B197" s="134" t="str">
        <f>UlwaziExport[]&amp;""</f>
        <v/>
      </c>
      <c r="C197" s="134" t="str">
        <f>UlwaziExport[]&amp;""</f>
        <v/>
      </c>
      <c r="D197" s="134" t="str">
        <f>UlwaziExport[]&amp;""</f>
        <v/>
      </c>
      <c r="E197" s="134" t="str">
        <f>UlwaziExport[]&amp;""</f>
        <v/>
      </c>
      <c r="F197" s="134" t="str">
        <f>UlwaziExport[]&amp;""</f>
        <v/>
      </c>
      <c r="G197" s="2" t="str">
        <f t="shared" ca="1" si="14"/>
        <v/>
      </c>
      <c r="H197" s="3" t="str">
        <f t="shared" ca="1" si="13"/>
        <v/>
      </c>
      <c r="I197" s="3" t="str">
        <f t="shared" ca="1" si="13"/>
        <v/>
      </c>
      <c r="J197" s="3" t="str">
        <f t="shared" ca="1" si="13"/>
        <v/>
      </c>
      <c r="K197" s="3" t="str">
        <f t="shared" ca="1" si="13"/>
        <v/>
      </c>
    </row>
    <row r="198" spans="1:11">
      <c r="A198" s="134" t="str">
        <f>UlwaziExport[]&amp;""</f>
        <v/>
      </c>
      <c r="B198" s="134" t="str">
        <f>UlwaziExport[]&amp;""</f>
        <v/>
      </c>
      <c r="C198" s="134" t="str">
        <f>UlwaziExport[]&amp;""</f>
        <v/>
      </c>
      <c r="D198" s="134" t="str">
        <f>UlwaziExport[]&amp;""</f>
        <v/>
      </c>
      <c r="E198" s="134" t="str">
        <f>UlwaziExport[]&amp;""</f>
        <v/>
      </c>
      <c r="F198" s="134" t="str">
        <f>UlwaziExport[]&amp;""</f>
        <v/>
      </c>
      <c r="G198" s="2" t="str">
        <f t="shared" ca="1" si="14"/>
        <v/>
      </c>
      <c r="H198" s="3" t="str">
        <f t="shared" ca="1" si="13"/>
        <v/>
      </c>
      <c r="I198" s="3" t="str">
        <f t="shared" ca="1" si="13"/>
        <v/>
      </c>
      <c r="J198" s="3" t="str">
        <f t="shared" ca="1" si="13"/>
        <v/>
      </c>
      <c r="K198" s="3" t="str">
        <f t="shared" ca="1" si="13"/>
        <v/>
      </c>
    </row>
    <row r="199" spans="1:11">
      <c r="A199" s="134" t="str">
        <f>UlwaziExport[]&amp;""</f>
        <v/>
      </c>
      <c r="B199" s="134" t="str">
        <f>UlwaziExport[]&amp;""</f>
        <v/>
      </c>
      <c r="C199" s="134" t="str">
        <f>UlwaziExport[]&amp;""</f>
        <v/>
      </c>
      <c r="D199" s="134" t="str">
        <f>UlwaziExport[]&amp;""</f>
        <v/>
      </c>
      <c r="E199" s="134" t="str">
        <f>UlwaziExport[]&amp;""</f>
        <v/>
      </c>
      <c r="F199" s="134" t="str">
        <f>UlwaziExport[]&amp;""</f>
        <v/>
      </c>
      <c r="G199" s="2" t="str">
        <f t="shared" ca="1" si="14"/>
        <v/>
      </c>
      <c r="H199" s="3" t="str">
        <f t="shared" ca="1" si="13"/>
        <v/>
      </c>
      <c r="I199" s="3" t="str">
        <f t="shared" ca="1" si="13"/>
        <v/>
      </c>
      <c r="J199" s="3" t="str">
        <f t="shared" ca="1" si="13"/>
        <v/>
      </c>
      <c r="K199" s="3" t="str">
        <f t="shared" ca="1" si="13"/>
        <v/>
      </c>
    </row>
    <row r="200" spans="1:11">
      <c r="A200" s="134" t="str">
        <f>UlwaziExport[]&amp;""</f>
        <v/>
      </c>
      <c r="B200" s="134" t="str">
        <f>UlwaziExport[]&amp;""</f>
        <v/>
      </c>
      <c r="C200" s="134" t="str">
        <f>UlwaziExport[]&amp;""</f>
        <v/>
      </c>
      <c r="D200" s="134" t="str">
        <f>UlwaziExport[]&amp;""</f>
        <v/>
      </c>
      <c r="E200" s="134" t="str">
        <f>UlwaziExport[]&amp;""</f>
        <v/>
      </c>
      <c r="F200" s="134" t="str">
        <f>UlwaziExport[]&amp;""</f>
        <v/>
      </c>
      <c r="G200" s="2" t="str">
        <f t="shared" ca="1" si="14"/>
        <v/>
      </c>
      <c r="H200" s="3" t="str">
        <f t="shared" ca="1" si="13"/>
        <v/>
      </c>
      <c r="I200" s="3" t="str">
        <f t="shared" ca="1" si="13"/>
        <v/>
      </c>
      <c r="J200" s="3" t="str">
        <f t="shared" ca="1" si="13"/>
        <v/>
      </c>
      <c r="K200" s="3" t="str">
        <f t="shared" ca="1" si="13"/>
        <v/>
      </c>
    </row>
    <row r="201" spans="1:11">
      <c r="A201" s="134" t="str">
        <f>UlwaziExport[]&amp;""</f>
        <v/>
      </c>
      <c r="B201" s="134" t="str">
        <f>UlwaziExport[]&amp;""</f>
        <v/>
      </c>
      <c r="C201" s="134" t="str">
        <f>UlwaziExport[]&amp;""</f>
        <v/>
      </c>
      <c r="D201" s="134" t="str">
        <f>UlwaziExport[]&amp;""</f>
        <v/>
      </c>
      <c r="E201" s="134" t="str">
        <f>UlwaziExport[]&amp;""</f>
        <v/>
      </c>
      <c r="F201" s="134" t="str">
        <f>UlwaziExport[]&amp;""</f>
        <v/>
      </c>
      <c r="G201" s="2" t="str">
        <f t="shared" ca="1" si="14"/>
        <v/>
      </c>
      <c r="H201" s="3" t="str">
        <f t="shared" ca="1" si="13"/>
        <v/>
      </c>
      <c r="I201" s="3" t="str">
        <f t="shared" ca="1" si="13"/>
        <v/>
      </c>
      <c r="J201" s="3" t="str">
        <f t="shared" ca="1" si="13"/>
        <v/>
      </c>
      <c r="K201" s="3" t="str">
        <f t="shared" ca="1" si="13"/>
        <v/>
      </c>
    </row>
    <row r="202" spans="1:11">
      <c r="A202" s="134" t="str">
        <f>UlwaziExport[]&amp;""</f>
        <v/>
      </c>
      <c r="B202" s="134" t="str">
        <f>UlwaziExport[]&amp;""</f>
        <v/>
      </c>
      <c r="C202" s="134" t="str">
        <f>UlwaziExport[]&amp;""</f>
        <v/>
      </c>
      <c r="D202" s="134" t="str">
        <f>UlwaziExport[]&amp;""</f>
        <v/>
      </c>
      <c r="E202" s="134" t="str">
        <f>UlwaziExport[]&amp;""</f>
        <v/>
      </c>
      <c r="F202" s="134" t="str">
        <f>UlwaziExport[]&amp;""</f>
        <v/>
      </c>
      <c r="G202" s="2" t="str">
        <f t="shared" ca="1" si="14"/>
        <v/>
      </c>
      <c r="H202" s="3" t="str">
        <f t="shared" ca="1" si="13"/>
        <v/>
      </c>
      <c r="I202" s="3" t="str">
        <f t="shared" ca="1" si="13"/>
        <v/>
      </c>
      <c r="J202" s="3" t="str">
        <f t="shared" ca="1" si="13"/>
        <v/>
      </c>
      <c r="K202" s="3" t="str">
        <f t="shared" ca="1" si="13"/>
        <v/>
      </c>
    </row>
    <row r="203" spans="1:11">
      <c r="A203" s="134" t="str">
        <f>UlwaziExport[]&amp;""</f>
        <v/>
      </c>
      <c r="B203" s="134" t="str">
        <f>UlwaziExport[]&amp;""</f>
        <v/>
      </c>
      <c r="C203" s="134" t="str">
        <f>UlwaziExport[]&amp;""</f>
        <v/>
      </c>
      <c r="D203" s="134" t="str">
        <f>UlwaziExport[]&amp;""</f>
        <v/>
      </c>
      <c r="E203" s="134" t="str">
        <f>UlwaziExport[]&amp;""</f>
        <v/>
      </c>
      <c r="F203" s="134" t="str">
        <f>UlwaziExport[]&amp;""</f>
        <v/>
      </c>
      <c r="G203" s="2" t="str">
        <f t="shared" ca="1" si="14"/>
        <v/>
      </c>
      <c r="H203" s="3" t="str">
        <f t="shared" ca="1" si="13"/>
        <v/>
      </c>
      <c r="I203" s="3" t="str">
        <f t="shared" ca="1" si="13"/>
        <v/>
      </c>
      <c r="J203" s="3" t="str">
        <f t="shared" ca="1" si="13"/>
        <v/>
      </c>
      <c r="K203" s="3" t="str">
        <f t="shared" ca="1" si="13"/>
        <v/>
      </c>
    </row>
    <row r="204" spans="1:11">
      <c r="A204" s="134" t="str">
        <f>UlwaziExport[]&amp;""</f>
        <v/>
      </c>
      <c r="B204" s="134" t="str">
        <f>UlwaziExport[]&amp;""</f>
        <v/>
      </c>
      <c r="C204" s="134" t="str">
        <f>UlwaziExport[]&amp;""</f>
        <v/>
      </c>
      <c r="D204" s="134" t="str">
        <f>UlwaziExport[]&amp;""</f>
        <v/>
      </c>
      <c r="E204" s="134" t="str">
        <f>UlwaziExport[]&amp;""</f>
        <v/>
      </c>
      <c r="F204" s="134" t="str">
        <f>UlwaziExport[]&amp;""</f>
        <v/>
      </c>
      <c r="G204" s="2" t="str">
        <f t="shared" ca="1" si="14"/>
        <v/>
      </c>
      <c r="H204" s="3" t="str">
        <f t="shared" ca="1" si="13"/>
        <v/>
      </c>
      <c r="I204" s="3" t="str">
        <f t="shared" ca="1" si="13"/>
        <v/>
      </c>
      <c r="J204" s="3" t="str">
        <f t="shared" ca="1" si="13"/>
        <v/>
      </c>
      <c r="K204" s="3" t="str">
        <f t="shared" ca="1" si="13"/>
        <v/>
      </c>
    </row>
    <row r="205" spans="1:11">
      <c r="A205" s="134" t="str">
        <f>UlwaziExport[]&amp;""</f>
        <v/>
      </c>
      <c r="B205" s="134" t="str">
        <f>UlwaziExport[]&amp;""</f>
        <v/>
      </c>
      <c r="C205" s="134" t="str">
        <f>UlwaziExport[]&amp;""</f>
        <v/>
      </c>
      <c r="D205" s="134" t="str">
        <f>UlwaziExport[]&amp;""</f>
        <v/>
      </c>
      <c r="E205" s="134" t="str">
        <f>UlwaziExport[]&amp;""</f>
        <v/>
      </c>
      <c r="F205" s="134" t="str">
        <f>UlwaziExport[]&amp;""</f>
        <v/>
      </c>
      <c r="G205" s="2" t="str">
        <f t="shared" ca="1" si="14"/>
        <v/>
      </c>
      <c r="H205" s="3" t="str">
        <f t="shared" ca="1" si="13"/>
        <v/>
      </c>
      <c r="I205" s="3" t="str">
        <f t="shared" ca="1" si="13"/>
        <v/>
      </c>
      <c r="J205" s="3" t="str">
        <f t="shared" ca="1" si="13"/>
        <v/>
      </c>
      <c r="K205" s="3" t="str">
        <f t="shared" ca="1" si="13"/>
        <v/>
      </c>
    </row>
    <row r="206" spans="1:11">
      <c r="A206" s="134" t="str">
        <f>UlwaziExport[]&amp;""</f>
        <v/>
      </c>
      <c r="B206" s="134" t="str">
        <f>UlwaziExport[]&amp;""</f>
        <v/>
      </c>
      <c r="C206" s="134" t="str">
        <f>UlwaziExport[]&amp;""</f>
        <v/>
      </c>
      <c r="D206" s="134" t="str">
        <f>UlwaziExport[]&amp;""</f>
        <v/>
      </c>
      <c r="E206" s="134" t="str">
        <f>UlwaziExport[]&amp;""</f>
        <v/>
      </c>
      <c r="F206" s="134" t="str">
        <f>UlwaziExport[]&amp;""</f>
        <v/>
      </c>
      <c r="G206" s="2" t="str">
        <f t="shared" ca="1" si="14"/>
        <v/>
      </c>
      <c r="H206" s="3" t="str">
        <f t="shared" ca="1" si="13"/>
        <v/>
      </c>
      <c r="I206" s="3" t="str">
        <f t="shared" ca="1" si="13"/>
        <v/>
      </c>
      <c r="J206" s="3" t="str">
        <f t="shared" ca="1" si="13"/>
        <v/>
      </c>
      <c r="K206" s="3" t="str">
        <f t="shared" ca="1" si="13"/>
        <v/>
      </c>
    </row>
    <row r="207" spans="1:11">
      <c r="A207" s="134" t="str">
        <f>UlwaziExport[]&amp;""</f>
        <v/>
      </c>
      <c r="B207" s="134" t="str">
        <f>UlwaziExport[]&amp;""</f>
        <v/>
      </c>
      <c r="C207" s="134" t="str">
        <f>UlwaziExport[]&amp;""</f>
        <v/>
      </c>
      <c r="D207" s="134" t="str">
        <f>UlwaziExport[]&amp;""</f>
        <v/>
      </c>
      <c r="E207" s="134" t="str">
        <f>UlwaziExport[]&amp;""</f>
        <v/>
      </c>
      <c r="F207" s="134" t="str">
        <f>UlwaziExport[]&amp;""</f>
        <v/>
      </c>
      <c r="G207" s="2" t="str">
        <f t="shared" ca="1" si="14"/>
        <v/>
      </c>
      <c r="H207" s="3" t="str">
        <f t="shared" ca="1" si="13"/>
        <v/>
      </c>
      <c r="I207" s="3" t="str">
        <f t="shared" ca="1" si="13"/>
        <v/>
      </c>
      <c r="J207" s="3" t="str">
        <f t="shared" ca="1" si="13"/>
        <v/>
      </c>
      <c r="K207" s="3" t="str">
        <f t="shared" ca="1" si="13"/>
        <v/>
      </c>
    </row>
    <row r="208" spans="1:11">
      <c r="A208" s="134" t="str">
        <f>UlwaziExport[]&amp;""</f>
        <v/>
      </c>
      <c r="B208" s="134" t="str">
        <f>UlwaziExport[]&amp;""</f>
        <v/>
      </c>
      <c r="C208" s="134" t="str">
        <f>UlwaziExport[]&amp;""</f>
        <v/>
      </c>
      <c r="D208" s="134" t="str">
        <f>UlwaziExport[]&amp;""</f>
        <v/>
      </c>
      <c r="E208" s="134" t="str">
        <f>UlwaziExport[]&amp;""</f>
        <v/>
      </c>
      <c r="F208" s="134" t="str">
        <f>UlwaziExport[]&amp;""</f>
        <v/>
      </c>
      <c r="G208" s="2" t="str">
        <f t="shared" ca="1" si="14"/>
        <v/>
      </c>
      <c r="H208" s="3" t="str">
        <f t="shared" ca="1" si="14"/>
        <v/>
      </c>
      <c r="I208" s="3" t="str">
        <f t="shared" ca="1" si="14"/>
        <v/>
      </c>
      <c r="J208" s="3" t="str">
        <f t="shared" ca="1" si="14"/>
        <v/>
      </c>
      <c r="K208" s="3" t="str">
        <f t="shared" ca="1" si="14"/>
        <v/>
      </c>
    </row>
    <row r="209" spans="1:11">
      <c r="A209" s="134" t="str">
        <f>UlwaziExport[]&amp;""</f>
        <v/>
      </c>
      <c r="B209" s="134" t="str">
        <f>UlwaziExport[]&amp;""</f>
        <v/>
      </c>
      <c r="C209" s="134" t="str">
        <f>UlwaziExport[]&amp;""</f>
        <v/>
      </c>
      <c r="D209" s="134" t="str">
        <f>UlwaziExport[]&amp;""</f>
        <v/>
      </c>
      <c r="E209" s="134" t="str">
        <f>UlwaziExport[]&amp;""</f>
        <v/>
      </c>
      <c r="F209" s="134" t="str">
        <f>UlwaziExport[]&amp;""</f>
        <v/>
      </c>
      <c r="G209" s="2" t="str">
        <f t="shared" ca="1" si="14"/>
        <v/>
      </c>
      <c r="H209" s="3" t="str">
        <f t="shared" ca="1" si="14"/>
        <v/>
      </c>
      <c r="I209" s="3" t="str">
        <f t="shared" ca="1" si="14"/>
        <v/>
      </c>
      <c r="J209" s="3" t="str">
        <f t="shared" ca="1" si="14"/>
        <v/>
      </c>
      <c r="K209" s="3" t="str">
        <f t="shared" ca="1" si="14"/>
        <v/>
      </c>
    </row>
    <row r="210" spans="1:11">
      <c r="A210" s="134" t="str">
        <f>UlwaziExport[]&amp;""</f>
        <v/>
      </c>
      <c r="B210" s="134" t="str">
        <f>UlwaziExport[]&amp;""</f>
        <v/>
      </c>
      <c r="C210" s="134" t="str">
        <f>UlwaziExport[]&amp;""</f>
        <v/>
      </c>
      <c r="D210" s="134" t="str">
        <f>UlwaziExport[]&amp;""</f>
        <v/>
      </c>
      <c r="E210" s="134" t="str">
        <f>UlwaziExport[]&amp;""</f>
        <v/>
      </c>
      <c r="F210" s="134" t="str">
        <f>UlwaziExport[]&amp;""</f>
        <v/>
      </c>
      <c r="G210" s="2" t="str">
        <f t="shared" ca="1" si="14"/>
        <v/>
      </c>
      <c r="H210" s="3" t="str">
        <f t="shared" ca="1" si="14"/>
        <v/>
      </c>
      <c r="I210" s="3" t="str">
        <f t="shared" ca="1" si="14"/>
        <v/>
      </c>
      <c r="J210" s="3" t="str">
        <f t="shared" ca="1" si="14"/>
        <v/>
      </c>
      <c r="K210" s="3" t="str">
        <f t="shared" ca="1" si="14"/>
        <v/>
      </c>
    </row>
    <row r="211" spans="1:11">
      <c r="A211" s="134" t="str">
        <f>UlwaziExport[]&amp;""</f>
        <v/>
      </c>
      <c r="B211" s="134" t="str">
        <f>UlwaziExport[]&amp;""</f>
        <v/>
      </c>
      <c r="C211" s="134" t="str">
        <f>UlwaziExport[]&amp;""</f>
        <v/>
      </c>
      <c r="D211" s="134" t="str">
        <f>UlwaziExport[]&amp;""</f>
        <v/>
      </c>
      <c r="E211" s="134" t="str">
        <f>UlwaziExport[]&amp;""</f>
        <v/>
      </c>
      <c r="F211" s="134" t="str">
        <f>UlwaziExport[]&amp;""</f>
        <v/>
      </c>
      <c r="G211" s="2" t="str">
        <f t="shared" ca="1" si="14"/>
        <v/>
      </c>
      <c r="H211" s="3" t="str">
        <f t="shared" ca="1" si="14"/>
        <v/>
      </c>
      <c r="I211" s="3" t="str">
        <f t="shared" ca="1" si="14"/>
        <v/>
      </c>
      <c r="J211" s="3" t="str">
        <f t="shared" ca="1" si="14"/>
        <v/>
      </c>
      <c r="K211" s="3" t="str">
        <f t="shared" ca="1" si="14"/>
        <v/>
      </c>
    </row>
    <row r="212" spans="1:11">
      <c r="A212" s="134" t="str">
        <f>UlwaziExport[]&amp;""</f>
        <v/>
      </c>
      <c r="B212" s="134" t="str">
        <f>UlwaziExport[]&amp;""</f>
        <v/>
      </c>
      <c r="C212" s="134" t="str">
        <f>UlwaziExport[]&amp;""</f>
        <v/>
      </c>
      <c r="D212" s="134" t="str">
        <f>UlwaziExport[]&amp;""</f>
        <v/>
      </c>
      <c r="E212" s="134" t="str">
        <f>UlwaziExport[]&amp;""</f>
        <v/>
      </c>
      <c r="F212" s="134" t="str">
        <f>UlwaziExport[]&amp;""</f>
        <v/>
      </c>
      <c r="G212" s="2" t="str">
        <f t="shared" ca="1" si="14"/>
        <v/>
      </c>
      <c r="H212" s="3" t="str">
        <f t="shared" ca="1" si="14"/>
        <v/>
      </c>
      <c r="I212" s="3" t="str">
        <f t="shared" ca="1" si="14"/>
        <v/>
      </c>
      <c r="J212" s="3" t="str">
        <f t="shared" ca="1" si="14"/>
        <v/>
      </c>
      <c r="K212" s="3" t="str">
        <f t="shared" ca="1" si="14"/>
        <v/>
      </c>
    </row>
    <row r="213" spans="1:11">
      <c r="A213" s="134" t="str">
        <f>UlwaziExport[]&amp;""</f>
        <v/>
      </c>
      <c r="B213" s="134" t="str">
        <f>UlwaziExport[]&amp;""</f>
        <v/>
      </c>
      <c r="C213" s="134" t="str">
        <f>UlwaziExport[]&amp;""</f>
        <v/>
      </c>
      <c r="D213" s="134" t="str">
        <f>UlwaziExport[]&amp;""</f>
        <v/>
      </c>
      <c r="E213" s="134" t="str">
        <f>UlwaziExport[]&amp;""</f>
        <v/>
      </c>
      <c r="F213" s="134" t="str">
        <f>UlwaziExport[]&amp;""</f>
        <v/>
      </c>
      <c r="G213" s="2" t="str">
        <f t="shared" ca="1" si="14"/>
        <v/>
      </c>
      <c r="H213" s="3" t="str">
        <f t="shared" ca="1" si="14"/>
        <v/>
      </c>
      <c r="I213" s="3" t="str">
        <f t="shared" ca="1" si="14"/>
        <v/>
      </c>
      <c r="J213" s="3" t="str">
        <f t="shared" ca="1" si="14"/>
        <v/>
      </c>
      <c r="K213" s="3" t="str">
        <f t="shared" ca="1" si="14"/>
        <v/>
      </c>
    </row>
    <row r="214" spans="1:11">
      <c r="A214" s="134" t="str">
        <f>UlwaziExport[]&amp;""</f>
        <v/>
      </c>
      <c r="B214" s="134" t="str">
        <f>UlwaziExport[]&amp;""</f>
        <v/>
      </c>
      <c r="C214" s="134" t="str">
        <f>UlwaziExport[]&amp;""</f>
        <v/>
      </c>
      <c r="D214" s="134" t="str">
        <f>UlwaziExport[]&amp;""</f>
        <v/>
      </c>
      <c r="E214" s="134" t="str">
        <f>UlwaziExport[]&amp;""</f>
        <v/>
      </c>
      <c r="F214" s="134" t="str">
        <f>UlwaziExport[]&amp;""</f>
        <v/>
      </c>
      <c r="G214" s="2" t="str">
        <f t="shared" ca="1" si="14"/>
        <v/>
      </c>
      <c r="H214" s="3" t="str">
        <f t="shared" ca="1" si="14"/>
        <v/>
      </c>
      <c r="I214" s="3" t="str">
        <f t="shared" ca="1" si="14"/>
        <v/>
      </c>
      <c r="J214" s="3" t="str">
        <f t="shared" ca="1" si="14"/>
        <v/>
      </c>
      <c r="K214" s="3" t="str">
        <f t="shared" ca="1" si="14"/>
        <v/>
      </c>
    </row>
    <row r="215" spans="1:11">
      <c r="A215" s="134" t="str">
        <f>UlwaziExport[]&amp;""</f>
        <v/>
      </c>
      <c r="B215" s="134" t="str">
        <f>UlwaziExport[]&amp;""</f>
        <v/>
      </c>
      <c r="C215" s="134" t="str">
        <f>UlwaziExport[]&amp;""</f>
        <v/>
      </c>
      <c r="D215" s="134" t="str">
        <f>UlwaziExport[]&amp;""</f>
        <v/>
      </c>
      <c r="E215" s="134" t="str">
        <f>UlwaziExport[]&amp;""</f>
        <v/>
      </c>
      <c r="F215" s="134" t="str">
        <f>UlwaziExport[]&amp;""</f>
        <v/>
      </c>
      <c r="G215" s="2" t="str">
        <f t="shared" ca="1" si="14"/>
        <v/>
      </c>
      <c r="H215" s="3" t="str">
        <f t="shared" ca="1" si="14"/>
        <v/>
      </c>
      <c r="I215" s="3" t="str">
        <f t="shared" ca="1" si="14"/>
        <v/>
      </c>
      <c r="J215" s="3" t="str">
        <f t="shared" ca="1" si="14"/>
        <v/>
      </c>
      <c r="K215" s="3" t="str">
        <f t="shared" ca="1" si="14"/>
        <v/>
      </c>
    </row>
    <row r="216" spans="1:11">
      <c r="A216" s="134" t="str">
        <f>UlwaziExport[]&amp;""</f>
        <v/>
      </c>
      <c r="B216" s="134" t="str">
        <f>UlwaziExport[]&amp;""</f>
        <v/>
      </c>
      <c r="C216" s="134" t="str">
        <f>UlwaziExport[]&amp;""</f>
        <v/>
      </c>
      <c r="D216" s="134" t="str">
        <f>UlwaziExport[]&amp;""</f>
        <v/>
      </c>
      <c r="E216" s="134" t="str">
        <f>UlwaziExport[]&amp;""</f>
        <v/>
      </c>
      <c r="F216" s="134" t="str">
        <f>UlwaziExport[]&amp;""</f>
        <v/>
      </c>
      <c r="G216" s="2" t="str">
        <f t="shared" ca="1" si="14"/>
        <v/>
      </c>
      <c r="H216" s="3" t="str">
        <f t="shared" ca="1" si="14"/>
        <v/>
      </c>
      <c r="I216" s="3" t="str">
        <f t="shared" ca="1" si="14"/>
        <v/>
      </c>
      <c r="J216" s="3" t="str">
        <f t="shared" ca="1" si="14"/>
        <v/>
      </c>
      <c r="K216" s="3" t="str">
        <f t="shared" ca="1" si="14"/>
        <v/>
      </c>
    </row>
    <row r="217" spans="1:11">
      <c r="A217" s="134" t="str">
        <f>UlwaziExport[]&amp;""</f>
        <v/>
      </c>
      <c r="B217" s="134" t="str">
        <f>UlwaziExport[]&amp;""</f>
        <v/>
      </c>
      <c r="C217" s="134" t="str">
        <f>UlwaziExport[]&amp;""</f>
        <v/>
      </c>
      <c r="D217" s="134" t="str">
        <f>UlwaziExport[]&amp;""</f>
        <v/>
      </c>
      <c r="E217" s="134" t="str">
        <f>UlwaziExport[]&amp;""</f>
        <v/>
      </c>
      <c r="F217" s="134" t="str">
        <f>UlwaziExport[]&amp;""</f>
        <v/>
      </c>
      <c r="G217" s="2" t="str">
        <f t="shared" ca="1" si="14"/>
        <v/>
      </c>
      <c r="H217" s="3" t="str">
        <f t="shared" ca="1" si="14"/>
        <v/>
      </c>
      <c r="I217" s="3" t="str">
        <f t="shared" ca="1" si="14"/>
        <v/>
      </c>
      <c r="J217" s="3" t="str">
        <f t="shared" ca="1" si="14"/>
        <v/>
      </c>
      <c r="K217" s="3" t="str">
        <f t="shared" ca="1" si="14"/>
        <v/>
      </c>
    </row>
    <row r="218" spans="1:11">
      <c r="A218" s="134" t="str">
        <f>UlwaziExport[]&amp;""</f>
        <v/>
      </c>
      <c r="B218" s="134" t="str">
        <f>UlwaziExport[]&amp;""</f>
        <v/>
      </c>
      <c r="C218" s="134" t="str">
        <f>UlwaziExport[]&amp;""</f>
        <v/>
      </c>
      <c r="D218" s="134" t="str">
        <f>UlwaziExport[]&amp;""</f>
        <v/>
      </c>
      <c r="E218" s="134" t="str">
        <f>UlwaziExport[]&amp;""</f>
        <v/>
      </c>
      <c r="F218" s="134" t="str">
        <f>UlwaziExport[]&amp;""</f>
        <v/>
      </c>
      <c r="G218" s="2" t="str">
        <f t="shared" ca="1" si="14"/>
        <v/>
      </c>
      <c r="H218" s="3" t="str">
        <f t="shared" ca="1" si="14"/>
        <v/>
      </c>
      <c r="I218" s="3" t="str">
        <f t="shared" ca="1" si="14"/>
        <v/>
      </c>
      <c r="J218" s="3" t="str">
        <f t="shared" ca="1" si="14"/>
        <v/>
      </c>
      <c r="K218" s="3" t="str">
        <f t="shared" ca="1" si="14"/>
        <v/>
      </c>
    </row>
    <row r="219" spans="1:11">
      <c r="A219" s="134" t="str">
        <f>UlwaziExport[]&amp;""</f>
        <v/>
      </c>
      <c r="B219" s="134" t="str">
        <f>UlwaziExport[]&amp;""</f>
        <v/>
      </c>
      <c r="C219" s="134" t="str">
        <f>UlwaziExport[]&amp;""</f>
        <v/>
      </c>
      <c r="D219" s="134" t="str">
        <f>UlwaziExport[]&amp;""</f>
        <v/>
      </c>
      <c r="E219" s="134" t="str">
        <f>UlwaziExport[]&amp;""</f>
        <v/>
      </c>
      <c r="F219" s="134" t="str">
        <f>UlwaziExport[]&amp;""</f>
        <v/>
      </c>
      <c r="G219" s="2" t="str">
        <f t="shared" ca="1" si="14"/>
        <v/>
      </c>
      <c r="H219" s="3" t="str">
        <f t="shared" ca="1" si="14"/>
        <v/>
      </c>
      <c r="I219" s="3" t="str">
        <f t="shared" ca="1" si="14"/>
        <v/>
      </c>
      <c r="J219" s="3" t="str">
        <f t="shared" ca="1" si="14"/>
        <v/>
      </c>
      <c r="K219" s="3" t="str">
        <f t="shared" ca="1" si="14"/>
        <v/>
      </c>
    </row>
    <row r="220" spans="1:11">
      <c r="A220" s="134" t="str">
        <f>UlwaziExport[]&amp;""</f>
        <v/>
      </c>
      <c r="B220" s="134" t="str">
        <f>UlwaziExport[]&amp;""</f>
        <v/>
      </c>
      <c r="C220" s="134" t="str">
        <f>UlwaziExport[]&amp;""</f>
        <v/>
      </c>
      <c r="D220" s="134" t="str">
        <f>UlwaziExport[]&amp;""</f>
        <v/>
      </c>
      <c r="E220" s="134" t="str">
        <f>UlwaziExport[]&amp;""</f>
        <v/>
      </c>
      <c r="F220" s="134" t="str">
        <f>UlwaziExport[]&amp;""</f>
        <v/>
      </c>
      <c r="G220" s="2" t="str">
        <f t="shared" ca="1" si="14"/>
        <v/>
      </c>
      <c r="H220" s="3" t="str">
        <f t="shared" ca="1" si="14"/>
        <v/>
      </c>
      <c r="I220" s="3" t="str">
        <f t="shared" ca="1" si="14"/>
        <v/>
      </c>
      <c r="J220" s="3" t="str">
        <f t="shared" ca="1" si="14"/>
        <v/>
      </c>
      <c r="K220" s="3" t="str">
        <f t="shared" ca="1" si="14"/>
        <v/>
      </c>
    </row>
    <row r="221" spans="1:11">
      <c r="A221" s="134" t="str">
        <f>UlwaziExport[]&amp;""</f>
        <v/>
      </c>
      <c r="B221" s="134" t="str">
        <f>UlwaziExport[]&amp;""</f>
        <v/>
      </c>
      <c r="C221" s="134" t="str">
        <f>UlwaziExport[]&amp;""</f>
        <v/>
      </c>
      <c r="D221" s="134" t="str">
        <f>UlwaziExport[]&amp;""</f>
        <v/>
      </c>
      <c r="E221" s="134" t="str">
        <f>UlwaziExport[]&amp;""</f>
        <v/>
      </c>
      <c r="F221" s="134" t="str">
        <f>UlwaziExport[]&amp;""</f>
        <v/>
      </c>
      <c r="G221" s="2" t="str">
        <f t="shared" ca="1" si="14"/>
        <v/>
      </c>
      <c r="H221" s="3" t="str">
        <f t="shared" ca="1" si="14"/>
        <v/>
      </c>
      <c r="I221" s="3" t="str">
        <f t="shared" ca="1" si="14"/>
        <v/>
      </c>
      <c r="J221" s="3" t="str">
        <f t="shared" ca="1" si="14"/>
        <v/>
      </c>
      <c r="K221" s="3" t="str">
        <f t="shared" ca="1" si="14"/>
        <v/>
      </c>
    </row>
    <row r="222" spans="1:11">
      <c r="A222" s="134" t="str">
        <f>UlwaziExport[]&amp;""</f>
        <v/>
      </c>
      <c r="B222" s="134" t="str">
        <f>UlwaziExport[]&amp;""</f>
        <v/>
      </c>
      <c r="C222" s="134" t="str">
        <f>UlwaziExport[]&amp;""</f>
        <v/>
      </c>
      <c r="D222" s="134" t="str">
        <f>UlwaziExport[]&amp;""</f>
        <v/>
      </c>
      <c r="E222" s="134" t="str">
        <f>UlwaziExport[]&amp;""</f>
        <v/>
      </c>
      <c r="F222" s="134" t="str">
        <f>UlwaziExport[]&amp;""</f>
        <v/>
      </c>
      <c r="G222" s="2" t="str">
        <f t="shared" ref="G222:K250" ca="1" si="15">IF(AND(G$1&lt;&gt;"",$A222&lt;&gt;""),_xlfn.IFNA(INDEX(INDIRECT($G$3&amp;"["&amp;G$1&amp;"]"),MATCH(TRIM(LEFT($D222,FIND("@",$D222)-1)),INDIRECT($G$3&amp;"[[Student No.]:[Student No.]]"),0))&amp;"","Missing!"),"")</f>
        <v/>
      </c>
      <c r="H222" s="3" t="str">
        <f t="shared" ca="1" si="15"/>
        <v/>
      </c>
      <c r="I222" s="3" t="str">
        <f t="shared" ca="1" si="15"/>
        <v/>
      </c>
      <c r="J222" s="3" t="str">
        <f t="shared" ca="1" si="15"/>
        <v/>
      </c>
      <c r="K222" s="3" t="str">
        <f t="shared" ca="1" si="15"/>
        <v/>
      </c>
    </row>
    <row r="223" spans="1:11">
      <c r="A223" s="134" t="str">
        <f>UlwaziExport[]&amp;""</f>
        <v/>
      </c>
      <c r="B223" s="134" t="str">
        <f>UlwaziExport[]&amp;""</f>
        <v/>
      </c>
      <c r="C223" s="134" t="str">
        <f>UlwaziExport[]&amp;""</f>
        <v/>
      </c>
      <c r="D223" s="134" t="str">
        <f>UlwaziExport[]&amp;""</f>
        <v/>
      </c>
      <c r="E223" s="134" t="str">
        <f>UlwaziExport[]&amp;""</f>
        <v/>
      </c>
      <c r="F223" s="134" t="str">
        <f>UlwaziExport[]&amp;""</f>
        <v/>
      </c>
      <c r="G223" s="2" t="str">
        <f t="shared" ca="1" si="15"/>
        <v/>
      </c>
      <c r="H223" s="3" t="str">
        <f t="shared" ca="1" si="15"/>
        <v/>
      </c>
      <c r="I223" s="3" t="str">
        <f t="shared" ca="1" si="15"/>
        <v/>
      </c>
      <c r="J223" s="3" t="str">
        <f t="shared" ca="1" si="15"/>
        <v/>
      </c>
      <c r="K223" s="3" t="str">
        <f t="shared" ca="1" si="15"/>
        <v/>
      </c>
    </row>
    <row r="224" spans="1:11">
      <c r="A224" s="134" t="str">
        <f>UlwaziExport[]&amp;""</f>
        <v/>
      </c>
      <c r="B224" s="134" t="str">
        <f>UlwaziExport[]&amp;""</f>
        <v/>
      </c>
      <c r="C224" s="134" t="str">
        <f>UlwaziExport[]&amp;""</f>
        <v/>
      </c>
      <c r="D224" s="134" t="str">
        <f>UlwaziExport[]&amp;""</f>
        <v/>
      </c>
      <c r="E224" s="134" t="str">
        <f>UlwaziExport[]&amp;""</f>
        <v/>
      </c>
      <c r="F224" s="134" t="str">
        <f>UlwaziExport[]&amp;""</f>
        <v/>
      </c>
      <c r="G224" s="2" t="str">
        <f t="shared" ca="1" si="15"/>
        <v/>
      </c>
      <c r="H224" s="3" t="str">
        <f t="shared" ca="1" si="15"/>
        <v/>
      </c>
      <c r="I224" s="3" t="str">
        <f t="shared" ca="1" si="15"/>
        <v/>
      </c>
      <c r="J224" s="3" t="str">
        <f t="shared" ca="1" si="15"/>
        <v/>
      </c>
      <c r="K224" s="3" t="str">
        <f t="shared" ca="1" si="15"/>
        <v/>
      </c>
    </row>
    <row r="225" spans="1:11">
      <c r="A225" s="134" t="str">
        <f>UlwaziExport[]&amp;""</f>
        <v/>
      </c>
      <c r="B225" s="134" t="str">
        <f>UlwaziExport[]&amp;""</f>
        <v/>
      </c>
      <c r="C225" s="134" t="str">
        <f>UlwaziExport[]&amp;""</f>
        <v/>
      </c>
      <c r="D225" s="134" t="str">
        <f>UlwaziExport[]&amp;""</f>
        <v/>
      </c>
      <c r="E225" s="134" t="str">
        <f>UlwaziExport[]&amp;""</f>
        <v/>
      </c>
      <c r="F225" s="134" t="str">
        <f>UlwaziExport[]&amp;""</f>
        <v/>
      </c>
      <c r="G225" s="2" t="str">
        <f t="shared" ca="1" si="15"/>
        <v/>
      </c>
      <c r="H225" s="3" t="str">
        <f t="shared" ca="1" si="15"/>
        <v/>
      </c>
      <c r="I225" s="3" t="str">
        <f t="shared" ca="1" si="15"/>
        <v/>
      </c>
      <c r="J225" s="3" t="str">
        <f t="shared" ca="1" si="15"/>
        <v/>
      </c>
      <c r="K225" s="3" t="str">
        <f t="shared" ca="1" si="15"/>
        <v/>
      </c>
    </row>
    <row r="226" spans="1:11">
      <c r="A226" s="134" t="str">
        <f>UlwaziExport[]&amp;""</f>
        <v/>
      </c>
      <c r="B226" s="134" t="str">
        <f>UlwaziExport[]&amp;""</f>
        <v/>
      </c>
      <c r="C226" s="134" t="str">
        <f>UlwaziExport[]&amp;""</f>
        <v/>
      </c>
      <c r="D226" s="134" t="str">
        <f>UlwaziExport[]&amp;""</f>
        <v/>
      </c>
      <c r="E226" s="134" t="str">
        <f>UlwaziExport[]&amp;""</f>
        <v/>
      </c>
      <c r="F226" s="134" t="str">
        <f>UlwaziExport[]&amp;""</f>
        <v/>
      </c>
      <c r="G226" s="2" t="str">
        <f t="shared" ca="1" si="15"/>
        <v/>
      </c>
      <c r="H226" s="3" t="str">
        <f t="shared" ca="1" si="15"/>
        <v/>
      </c>
      <c r="I226" s="3" t="str">
        <f t="shared" ca="1" si="15"/>
        <v/>
      </c>
      <c r="J226" s="3" t="str">
        <f t="shared" ca="1" si="15"/>
        <v/>
      </c>
      <c r="K226" s="3" t="str">
        <f t="shared" ca="1" si="15"/>
        <v/>
      </c>
    </row>
    <row r="227" spans="1:11">
      <c r="A227" s="134" t="str">
        <f>UlwaziExport[]&amp;""</f>
        <v/>
      </c>
      <c r="B227" s="134" t="str">
        <f>UlwaziExport[]&amp;""</f>
        <v/>
      </c>
      <c r="C227" s="134" t="str">
        <f>UlwaziExport[]&amp;""</f>
        <v/>
      </c>
      <c r="D227" s="134" t="str">
        <f>UlwaziExport[]&amp;""</f>
        <v/>
      </c>
      <c r="E227" s="134" t="str">
        <f>UlwaziExport[]&amp;""</f>
        <v/>
      </c>
      <c r="F227" s="134" t="str">
        <f>UlwaziExport[]&amp;""</f>
        <v/>
      </c>
      <c r="G227" s="2" t="str">
        <f t="shared" ca="1" si="15"/>
        <v/>
      </c>
      <c r="H227" s="3" t="str">
        <f t="shared" ca="1" si="15"/>
        <v/>
      </c>
      <c r="I227" s="3" t="str">
        <f t="shared" ca="1" si="15"/>
        <v/>
      </c>
      <c r="J227" s="3" t="str">
        <f t="shared" ca="1" si="15"/>
        <v/>
      </c>
      <c r="K227" s="3" t="str">
        <f t="shared" ca="1" si="15"/>
        <v/>
      </c>
    </row>
    <row r="228" spans="1:11">
      <c r="A228" s="134" t="str">
        <f>UlwaziExport[]&amp;""</f>
        <v/>
      </c>
      <c r="B228" s="134" t="str">
        <f>UlwaziExport[]&amp;""</f>
        <v/>
      </c>
      <c r="C228" s="134" t="str">
        <f>UlwaziExport[]&amp;""</f>
        <v/>
      </c>
      <c r="D228" s="134" t="str">
        <f>UlwaziExport[]&amp;""</f>
        <v/>
      </c>
      <c r="E228" s="134" t="str">
        <f>UlwaziExport[]&amp;""</f>
        <v/>
      </c>
      <c r="F228" s="134" t="str">
        <f>UlwaziExport[]&amp;""</f>
        <v/>
      </c>
      <c r="G228" s="2" t="str">
        <f t="shared" ca="1" si="15"/>
        <v/>
      </c>
      <c r="H228" s="3" t="str">
        <f t="shared" ca="1" si="15"/>
        <v/>
      </c>
      <c r="I228" s="3" t="str">
        <f t="shared" ca="1" si="15"/>
        <v/>
      </c>
      <c r="J228" s="3" t="str">
        <f t="shared" ca="1" si="15"/>
        <v/>
      </c>
      <c r="K228" s="3" t="str">
        <f t="shared" ca="1" si="15"/>
        <v/>
      </c>
    </row>
    <row r="229" spans="1:11">
      <c r="A229" s="134" t="str">
        <f>UlwaziExport[]&amp;""</f>
        <v/>
      </c>
      <c r="B229" s="134" t="str">
        <f>UlwaziExport[]&amp;""</f>
        <v/>
      </c>
      <c r="C229" s="134" t="str">
        <f>UlwaziExport[]&amp;""</f>
        <v/>
      </c>
      <c r="D229" s="134" t="str">
        <f>UlwaziExport[]&amp;""</f>
        <v/>
      </c>
      <c r="E229" s="134" t="str">
        <f>UlwaziExport[]&amp;""</f>
        <v/>
      </c>
      <c r="F229" s="134" t="str">
        <f>UlwaziExport[]&amp;""</f>
        <v/>
      </c>
      <c r="G229" s="2" t="str">
        <f t="shared" ca="1" si="15"/>
        <v/>
      </c>
      <c r="H229" s="3" t="str">
        <f t="shared" ca="1" si="15"/>
        <v/>
      </c>
      <c r="I229" s="3" t="str">
        <f t="shared" ca="1" si="15"/>
        <v/>
      </c>
      <c r="J229" s="3" t="str">
        <f t="shared" ca="1" si="15"/>
        <v/>
      </c>
      <c r="K229" s="3" t="str">
        <f t="shared" ca="1" si="15"/>
        <v/>
      </c>
    </row>
    <row r="230" spans="1:11">
      <c r="A230" s="134" t="str">
        <f>UlwaziExport[]&amp;""</f>
        <v/>
      </c>
      <c r="B230" s="134" t="str">
        <f>UlwaziExport[]&amp;""</f>
        <v/>
      </c>
      <c r="C230" s="134" t="str">
        <f>UlwaziExport[]&amp;""</f>
        <v/>
      </c>
      <c r="D230" s="134" t="str">
        <f>UlwaziExport[]&amp;""</f>
        <v/>
      </c>
      <c r="E230" s="134" t="str">
        <f>UlwaziExport[]&amp;""</f>
        <v/>
      </c>
      <c r="F230" s="134" t="str">
        <f>UlwaziExport[]&amp;""</f>
        <v/>
      </c>
      <c r="G230" s="2" t="str">
        <f t="shared" ca="1" si="15"/>
        <v/>
      </c>
      <c r="H230" s="3" t="str">
        <f t="shared" ca="1" si="15"/>
        <v/>
      </c>
      <c r="I230" s="3" t="str">
        <f t="shared" ca="1" si="15"/>
        <v/>
      </c>
      <c r="J230" s="3" t="str">
        <f t="shared" ca="1" si="15"/>
        <v/>
      </c>
      <c r="K230" s="3" t="str">
        <f t="shared" ca="1" si="15"/>
        <v/>
      </c>
    </row>
    <row r="231" spans="1:11">
      <c r="A231" s="134" t="str">
        <f>UlwaziExport[]&amp;""</f>
        <v/>
      </c>
      <c r="B231" s="134" t="str">
        <f>UlwaziExport[]&amp;""</f>
        <v/>
      </c>
      <c r="C231" s="134" t="str">
        <f>UlwaziExport[]&amp;""</f>
        <v/>
      </c>
      <c r="D231" s="134" t="str">
        <f>UlwaziExport[]&amp;""</f>
        <v/>
      </c>
      <c r="E231" s="134" t="str">
        <f>UlwaziExport[]&amp;""</f>
        <v/>
      </c>
      <c r="F231" s="134" t="str">
        <f>UlwaziExport[]&amp;""</f>
        <v/>
      </c>
      <c r="G231" s="2" t="str">
        <f t="shared" ca="1" si="15"/>
        <v/>
      </c>
      <c r="H231" s="3" t="str">
        <f t="shared" ca="1" si="15"/>
        <v/>
      </c>
      <c r="I231" s="3" t="str">
        <f t="shared" ca="1" si="15"/>
        <v/>
      </c>
      <c r="J231" s="3" t="str">
        <f t="shared" ca="1" si="15"/>
        <v/>
      </c>
      <c r="K231" s="3" t="str">
        <f t="shared" ca="1" si="15"/>
        <v/>
      </c>
    </row>
    <row r="232" spans="1:11">
      <c r="A232" s="134" t="str">
        <f>UlwaziExport[]&amp;""</f>
        <v/>
      </c>
      <c r="B232" s="134" t="str">
        <f>UlwaziExport[]&amp;""</f>
        <v/>
      </c>
      <c r="C232" s="134" t="str">
        <f>UlwaziExport[]&amp;""</f>
        <v/>
      </c>
      <c r="D232" s="134" t="str">
        <f>UlwaziExport[]&amp;""</f>
        <v/>
      </c>
      <c r="E232" s="134" t="str">
        <f>UlwaziExport[]&amp;""</f>
        <v/>
      </c>
      <c r="F232" s="134" t="str">
        <f>UlwaziExport[]&amp;""</f>
        <v/>
      </c>
      <c r="G232" s="2" t="str">
        <f t="shared" ca="1" si="15"/>
        <v/>
      </c>
      <c r="H232" s="3" t="str">
        <f t="shared" ca="1" si="15"/>
        <v/>
      </c>
      <c r="I232" s="3" t="str">
        <f t="shared" ca="1" si="15"/>
        <v/>
      </c>
      <c r="J232" s="3" t="str">
        <f t="shared" ca="1" si="15"/>
        <v/>
      </c>
      <c r="K232" s="3" t="str">
        <f t="shared" ca="1" si="15"/>
        <v/>
      </c>
    </row>
    <row r="233" spans="1:11">
      <c r="A233" s="134" t="str">
        <f>UlwaziExport[]&amp;""</f>
        <v/>
      </c>
      <c r="B233" s="134" t="str">
        <f>UlwaziExport[]&amp;""</f>
        <v/>
      </c>
      <c r="C233" s="134" t="str">
        <f>UlwaziExport[]&amp;""</f>
        <v/>
      </c>
      <c r="D233" s="134" t="str">
        <f>UlwaziExport[]&amp;""</f>
        <v/>
      </c>
      <c r="E233" s="134" t="str">
        <f>UlwaziExport[]&amp;""</f>
        <v/>
      </c>
      <c r="F233" s="134" t="str">
        <f>UlwaziExport[]&amp;""</f>
        <v/>
      </c>
      <c r="G233" s="2" t="str">
        <f t="shared" ca="1" si="15"/>
        <v/>
      </c>
      <c r="H233" s="3" t="str">
        <f t="shared" ca="1" si="15"/>
        <v/>
      </c>
      <c r="I233" s="3" t="str">
        <f t="shared" ca="1" si="15"/>
        <v/>
      </c>
      <c r="J233" s="3" t="str">
        <f t="shared" ca="1" si="15"/>
        <v/>
      </c>
      <c r="K233" s="3" t="str">
        <f t="shared" ca="1" si="15"/>
        <v/>
      </c>
    </row>
    <row r="234" spans="1:11">
      <c r="A234" s="134" t="str">
        <f>UlwaziExport[]&amp;""</f>
        <v/>
      </c>
      <c r="B234" s="134" t="str">
        <f>UlwaziExport[]&amp;""</f>
        <v/>
      </c>
      <c r="C234" s="134" t="str">
        <f>UlwaziExport[]&amp;""</f>
        <v/>
      </c>
      <c r="D234" s="134" t="str">
        <f>UlwaziExport[]&amp;""</f>
        <v/>
      </c>
      <c r="E234" s="134" t="str">
        <f>UlwaziExport[]&amp;""</f>
        <v/>
      </c>
      <c r="F234" s="134" t="str">
        <f>UlwaziExport[]&amp;""</f>
        <v/>
      </c>
      <c r="G234" s="2" t="str">
        <f t="shared" ca="1" si="15"/>
        <v/>
      </c>
      <c r="H234" s="3" t="str">
        <f t="shared" ca="1" si="15"/>
        <v/>
      </c>
      <c r="I234" s="3" t="str">
        <f t="shared" ca="1" si="15"/>
        <v/>
      </c>
      <c r="J234" s="3" t="str">
        <f t="shared" ca="1" si="15"/>
        <v/>
      </c>
      <c r="K234" s="3" t="str">
        <f t="shared" ca="1" si="15"/>
        <v/>
      </c>
    </row>
    <row r="235" spans="1:11">
      <c r="A235" s="134" t="str">
        <f>UlwaziExport[]&amp;""</f>
        <v/>
      </c>
      <c r="B235" s="134" t="str">
        <f>UlwaziExport[]&amp;""</f>
        <v/>
      </c>
      <c r="C235" s="134" t="str">
        <f>UlwaziExport[]&amp;""</f>
        <v/>
      </c>
      <c r="D235" s="134" t="str">
        <f>UlwaziExport[]&amp;""</f>
        <v/>
      </c>
      <c r="E235" s="134" t="str">
        <f>UlwaziExport[]&amp;""</f>
        <v/>
      </c>
      <c r="F235" s="134" t="str">
        <f>UlwaziExport[]&amp;""</f>
        <v/>
      </c>
      <c r="G235" s="2" t="str">
        <f t="shared" ca="1" si="15"/>
        <v/>
      </c>
      <c r="H235" s="3" t="str">
        <f t="shared" ca="1" si="15"/>
        <v/>
      </c>
      <c r="I235" s="3" t="str">
        <f t="shared" ca="1" si="15"/>
        <v/>
      </c>
      <c r="J235" s="3" t="str">
        <f t="shared" ca="1" si="15"/>
        <v/>
      </c>
      <c r="K235" s="3" t="str">
        <f t="shared" ca="1" si="15"/>
        <v/>
      </c>
    </row>
    <row r="236" spans="1:11">
      <c r="A236" s="134" t="str">
        <f>UlwaziExport[]&amp;""</f>
        <v/>
      </c>
      <c r="B236" s="134" t="str">
        <f>UlwaziExport[]&amp;""</f>
        <v/>
      </c>
      <c r="C236" s="134" t="str">
        <f>UlwaziExport[]&amp;""</f>
        <v/>
      </c>
      <c r="D236" s="134" t="str">
        <f>UlwaziExport[]&amp;""</f>
        <v/>
      </c>
      <c r="E236" s="134" t="str">
        <f>UlwaziExport[]&amp;""</f>
        <v/>
      </c>
      <c r="F236" s="134" t="str">
        <f>UlwaziExport[]&amp;""</f>
        <v/>
      </c>
      <c r="G236" s="2" t="str">
        <f t="shared" ca="1" si="15"/>
        <v/>
      </c>
      <c r="H236" s="3" t="str">
        <f t="shared" ca="1" si="15"/>
        <v/>
      </c>
      <c r="I236" s="3" t="str">
        <f t="shared" ca="1" si="15"/>
        <v/>
      </c>
      <c r="J236" s="3" t="str">
        <f t="shared" ca="1" si="15"/>
        <v/>
      </c>
      <c r="K236" s="3" t="str">
        <f t="shared" ca="1" si="15"/>
        <v/>
      </c>
    </row>
    <row r="237" spans="1:11">
      <c r="A237" s="134" t="str">
        <f>UlwaziExport[]&amp;""</f>
        <v/>
      </c>
      <c r="B237" s="134" t="str">
        <f>UlwaziExport[]&amp;""</f>
        <v/>
      </c>
      <c r="C237" s="134" t="str">
        <f>UlwaziExport[]&amp;""</f>
        <v/>
      </c>
      <c r="D237" s="134" t="str">
        <f>UlwaziExport[]&amp;""</f>
        <v/>
      </c>
      <c r="E237" s="134" t="str">
        <f>UlwaziExport[]&amp;""</f>
        <v/>
      </c>
      <c r="F237" s="134" t="str">
        <f>UlwaziExport[]&amp;""</f>
        <v/>
      </c>
      <c r="G237" s="2" t="str">
        <f t="shared" ca="1" si="15"/>
        <v/>
      </c>
      <c r="H237" s="3" t="str">
        <f t="shared" ca="1" si="15"/>
        <v/>
      </c>
      <c r="I237" s="3" t="str">
        <f t="shared" ca="1" si="15"/>
        <v/>
      </c>
      <c r="J237" s="3" t="str">
        <f t="shared" ca="1" si="15"/>
        <v/>
      </c>
      <c r="K237" s="3" t="str">
        <f t="shared" ca="1" si="15"/>
        <v/>
      </c>
    </row>
    <row r="238" spans="1:11">
      <c r="A238" s="134" t="str">
        <f>UlwaziExport[]&amp;""</f>
        <v/>
      </c>
      <c r="B238" s="134" t="str">
        <f>UlwaziExport[]&amp;""</f>
        <v/>
      </c>
      <c r="C238" s="134" t="str">
        <f>UlwaziExport[]&amp;""</f>
        <v/>
      </c>
      <c r="D238" s="134" t="str">
        <f>UlwaziExport[]&amp;""</f>
        <v/>
      </c>
      <c r="E238" s="134" t="str">
        <f>UlwaziExport[]&amp;""</f>
        <v/>
      </c>
      <c r="F238" s="134" t="str">
        <f>UlwaziExport[]&amp;""</f>
        <v/>
      </c>
      <c r="G238" s="2" t="str">
        <f t="shared" ca="1" si="15"/>
        <v/>
      </c>
      <c r="H238" s="3" t="str">
        <f t="shared" ca="1" si="15"/>
        <v/>
      </c>
      <c r="I238" s="3" t="str">
        <f t="shared" ca="1" si="15"/>
        <v/>
      </c>
      <c r="J238" s="3" t="str">
        <f t="shared" ca="1" si="15"/>
        <v/>
      </c>
      <c r="K238" s="3" t="str">
        <f t="shared" ca="1" si="15"/>
        <v/>
      </c>
    </row>
    <row r="239" spans="1:11">
      <c r="A239" s="134" t="str">
        <f>UlwaziExport[]&amp;""</f>
        <v/>
      </c>
      <c r="B239" s="134" t="str">
        <f>UlwaziExport[]&amp;""</f>
        <v/>
      </c>
      <c r="C239" s="134" t="str">
        <f>UlwaziExport[]&amp;""</f>
        <v/>
      </c>
      <c r="D239" s="134" t="str">
        <f>UlwaziExport[]&amp;""</f>
        <v/>
      </c>
      <c r="E239" s="134" t="str">
        <f>UlwaziExport[]&amp;""</f>
        <v/>
      </c>
      <c r="F239" s="134" t="str">
        <f>UlwaziExport[]&amp;""</f>
        <v/>
      </c>
      <c r="G239" s="2" t="str">
        <f t="shared" ca="1" si="15"/>
        <v/>
      </c>
      <c r="H239" s="3" t="str">
        <f t="shared" ca="1" si="15"/>
        <v/>
      </c>
      <c r="I239" s="3" t="str">
        <f t="shared" ca="1" si="15"/>
        <v/>
      </c>
      <c r="J239" s="3" t="str">
        <f t="shared" ca="1" si="15"/>
        <v/>
      </c>
      <c r="K239" s="3" t="str">
        <f t="shared" ca="1" si="15"/>
        <v/>
      </c>
    </row>
    <row r="240" spans="1:11">
      <c r="A240" s="134" t="str">
        <f>UlwaziExport[]&amp;""</f>
        <v/>
      </c>
      <c r="B240" s="134" t="str">
        <f>UlwaziExport[]&amp;""</f>
        <v/>
      </c>
      <c r="C240" s="134" t="str">
        <f>UlwaziExport[]&amp;""</f>
        <v/>
      </c>
      <c r="D240" s="134" t="str">
        <f>UlwaziExport[]&amp;""</f>
        <v/>
      </c>
      <c r="E240" s="134" t="str">
        <f>UlwaziExport[]&amp;""</f>
        <v/>
      </c>
      <c r="F240" s="134" t="str">
        <f>UlwaziExport[]&amp;""</f>
        <v/>
      </c>
      <c r="G240" s="2" t="str">
        <f t="shared" ca="1" si="15"/>
        <v/>
      </c>
      <c r="H240" s="3" t="str">
        <f t="shared" ca="1" si="15"/>
        <v/>
      </c>
      <c r="I240" s="3" t="str">
        <f t="shared" ca="1" si="15"/>
        <v/>
      </c>
      <c r="J240" s="3" t="str">
        <f t="shared" ca="1" si="15"/>
        <v/>
      </c>
      <c r="K240" s="3" t="str">
        <f t="shared" ca="1" si="15"/>
        <v/>
      </c>
    </row>
    <row r="241" spans="1:11">
      <c r="A241" s="134" t="str">
        <f>UlwaziExport[]&amp;""</f>
        <v/>
      </c>
      <c r="B241" s="134" t="str">
        <f>UlwaziExport[]&amp;""</f>
        <v/>
      </c>
      <c r="C241" s="134" t="str">
        <f>UlwaziExport[]&amp;""</f>
        <v/>
      </c>
      <c r="D241" s="134" t="str">
        <f>UlwaziExport[]&amp;""</f>
        <v/>
      </c>
      <c r="E241" s="134" t="str">
        <f>UlwaziExport[]&amp;""</f>
        <v/>
      </c>
      <c r="F241" s="134" t="str">
        <f>UlwaziExport[]&amp;""</f>
        <v/>
      </c>
      <c r="G241" s="2" t="str">
        <f t="shared" ca="1" si="15"/>
        <v/>
      </c>
      <c r="H241" s="3" t="str">
        <f t="shared" ca="1" si="15"/>
        <v/>
      </c>
      <c r="I241" s="3" t="str">
        <f t="shared" ca="1" si="15"/>
        <v/>
      </c>
      <c r="J241" s="3" t="str">
        <f t="shared" ca="1" si="15"/>
        <v/>
      </c>
      <c r="K241" s="3" t="str">
        <f t="shared" ca="1" si="15"/>
        <v/>
      </c>
    </row>
    <row r="242" spans="1:11">
      <c r="A242" s="134" t="str">
        <f>UlwaziExport[]&amp;""</f>
        <v/>
      </c>
      <c r="B242" s="134" t="str">
        <f>UlwaziExport[]&amp;""</f>
        <v/>
      </c>
      <c r="C242" s="134" t="str">
        <f>UlwaziExport[]&amp;""</f>
        <v/>
      </c>
      <c r="D242" s="134" t="str">
        <f>UlwaziExport[]&amp;""</f>
        <v/>
      </c>
      <c r="E242" s="134" t="str">
        <f>UlwaziExport[]&amp;""</f>
        <v/>
      </c>
      <c r="F242" s="134" t="str">
        <f>UlwaziExport[]&amp;""</f>
        <v/>
      </c>
      <c r="G242" s="2" t="str">
        <f t="shared" ca="1" si="15"/>
        <v/>
      </c>
      <c r="H242" s="3" t="str">
        <f t="shared" ca="1" si="15"/>
        <v/>
      </c>
      <c r="I242" s="3" t="str">
        <f t="shared" ca="1" si="15"/>
        <v/>
      </c>
      <c r="J242" s="3" t="str">
        <f t="shared" ca="1" si="15"/>
        <v/>
      </c>
      <c r="K242" s="3" t="str">
        <f t="shared" ca="1" si="15"/>
        <v/>
      </c>
    </row>
    <row r="243" spans="1:11">
      <c r="A243" s="134" t="str">
        <f>UlwaziExport[]&amp;""</f>
        <v/>
      </c>
      <c r="B243" s="134" t="str">
        <f>UlwaziExport[]&amp;""</f>
        <v/>
      </c>
      <c r="C243" s="134" t="str">
        <f>UlwaziExport[]&amp;""</f>
        <v/>
      </c>
      <c r="D243" s="134" t="str">
        <f>UlwaziExport[]&amp;""</f>
        <v/>
      </c>
      <c r="E243" s="134" t="str">
        <f>UlwaziExport[]&amp;""</f>
        <v/>
      </c>
      <c r="F243" s="134" t="str">
        <f>UlwaziExport[]&amp;""</f>
        <v/>
      </c>
      <c r="G243" s="2" t="str">
        <f t="shared" ca="1" si="15"/>
        <v/>
      </c>
      <c r="H243" s="3" t="str">
        <f t="shared" ca="1" si="15"/>
        <v/>
      </c>
      <c r="I243" s="3" t="str">
        <f t="shared" ca="1" si="15"/>
        <v/>
      </c>
      <c r="J243" s="3" t="str">
        <f t="shared" ca="1" si="15"/>
        <v/>
      </c>
      <c r="K243" s="3" t="str">
        <f t="shared" ca="1" si="15"/>
        <v/>
      </c>
    </row>
    <row r="244" spans="1:11">
      <c r="A244" s="134" t="str">
        <f>UlwaziExport[]&amp;""</f>
        <v/>
      </c>
      <c r="B244" s="134" t="str">
        <f>UlwaziExport[]&amp;""</f>
        <v/>
      </c>
      <c r="C244" s="134" t="str">
        <f>UlwaziExport[]&amp;""</f>
        <v/>
      </c>
      <c r="D244" s="134" t="str">
        <f>UlwaziExport[]&amp;""</f>
        <v/>
      </c>
      <c r="E244" s="134" t="str">
        <f>UlwaziExport[]&amp;""</f>
        <v/>
      </c>
      <c r="F244" s="134" t="str">
        <f>UlwaziExport[]&amp;""</f>
        <v/>
      </c>
      <c r="G244" s="2" t="str">
        <f t="shared" ca="1" si="15"/>
        <v/>
      </c>
      <c r="H244" s="3" t="str">
        <f t="shared" ca="1" si="15"/>
        <v/>
      </c>
      <c r="I244" s="3" t="str">
        <f t="shared" ca="1" si="15"/>
        <v/>
      </c>
      <c r="J244" s="3" t="str">
        <f t="shared" ca="1" si="15"/>
        <v/>
      </c>
      <c r="K244" s="3" t="str">
        <f t="shared" ca="1" si="15"/>
        <v/>
      </c>
    </row>
    <row r="245" spans="1:11">
      <c r="A245" s="134" t="str">
        <f>UlwaziExport[]&amp;""</f>
        <v/>
      </c>
      <c r="B245" s="134" t="str">
        <f>UlwaziExport[]&amp;""</f>
        <v/>
      </c>
      <c r="C245" s="134" t="str">
        <f>UlwaziExport[]&amp;""</f>
        <v/>
      </c>
      <c r="D245" s="134" t="str">
        <f>UlwaziExport[]&amp;""</f>
        <v/>
      </c>
      <c r="E245" s="134" t="str">
        <f>UlwaziExport[]&amp;""</f>
        <v/>
      </c>
      <c r="F245" s="134" t="str">
        <f>UlwaziExport[]&amp;""</f>
        <v/>
      </c>
      <c r="G245" s="2" t="str">
        <f t="shared" ca="1" si="15"/>
        <v/>
      </c>
      <c r="H245" s="3" t="str">
        <f t="shared" ca="1" si="15"/>
        <v/>
      </c>
      <c r="I245" s="3" t="str">
        <f t="shared" ca="1" si="15"/>
        <v/>
      </c>
      <c r="J245" s="3" t="str">
        <f t="shared" ca="1" si="15"/>
        <v/>
      </c>
      <c r="K245" s="3" t="str">
        <f t="shared" ca="1" si="15"/>
        <v/>
      </c>
    </row>
    <row r="246" spans="1:11">
      <c r="A246" s="134" t="str">
        <f>UlwaziExport[]&amp;""</f>
        <v/>
      </c>
      <c r="B246" s="134" t="str">
        <f>UlwaziExport[]&amp;""</f>
        <v/>
      </c>
      <c r="C246" s="134" t="str">
        <f>UlwaziExport[]&amp;""</f>
        <v/>
      </c>
      <c r="D246" s="134" t="str">
        <f>UlwaziExport[]&amp;""</f>
        <v/>
      </c>
      <c r="E246" s="134" t="str">
        <f>UlwaziExport[]&amp;""</f>
        <v/>
      </c>
      <c r="F246" s="134" t="str">
        <f>UlwaziExport[]&amp;""</f>
        <v/>
      </c>
      <c r="G246" s="2" t="str">
        <f t="shared" ca="1" si="15"/>
        <v/>
      </c>
      <c r="H246" s="3" t="str">
        <f t="shared" ca="1" si="15"/>
        <v/>
      </c>
      <c r="I246" s="3" t="str">
        <f t="shared" ca="1" si="15"/>
        <v/>
      </c>
      <c r="J246" s="3" t="str">
        <f t="shared" ca="1" si="15"/>
        <v/>
      </c>
      <c r="K246" s="3" t="str">
        <f t="shared" ca="1" si="15"/>
        <v/>
      </c>
    </row>
    <row r="247" spans="1:11">
      <c r="A247" s="134" t="str">
        <f>UlwaziExport[]&amp;""</f>
        <v/>
      </c>
      <c r="B247" s="134" t="str">
        <f>UlwaziExport[]&amp;""</f>
        <v/>
      </c>
      <c r="C247" s="134" t="str">
        <f>UlwaziExport[]&amp;""</f>
        <v/>
      </c>
      <c r="D247" s="134" t="str">
        <f>UlwaziExport[]&amp;""</f>
        <v/>
      </c>
      <c r="E247" s="134" t="str">
        <f>UlwaziExport[]&amp;""</f>
        <v/>
      </c>
      <c r="F247" s="134" t="str">
        <f>UlwaziExport[]&amp;""</f>
        <v/>
      </c>
      <c r="G247" s="2" t="str">
        <f t="shared" ca="1" si="15"/>
        <v/>
      </c>
      <c r="H247" s="3" t="str">
        <f t="shared" ca="1" si="15"/>
        <v/>
      </c>
      <c r="I247" s="3" t="str">
        <f t="shared" ca="1" si="15"/>
        <v/>
      </c>
      <c r="J247" s="3" t="str">
        <f t="shared" ca="1" si="15"/>
        <v/>
      </c>
      <c r="K247" s="3" t="str">
        <f t="shared" ca="1" si="15"/>
        <v/>
      </c>
    </row>
    <row r="248" spans="1:11">
      <c r="A248" s="134" t="str">
        <f>UlwaziExport[]&amp;""</f>
        <v/>
      </c>
      <c r="B248" s="134" t="str">
        <f>UlwaziExport[]&amp;""</f>
        <v/>
      </c>
      <c r="C248" s="134" t="str">
        <f>UlwaziExport[]&amp;""</f>
        <v/>
      </c>
      <c r="D248" s="134" t="str">
        <f>UlwaziExport[]&amp;""</f>
        <v/>
      </c>
      <c r="E248" s="134" t="str">
        <f>UlwaziExport[]&amp;""</f>
        <v/>
      </c>
      <c r="F248" s="134" t="str">
        <f>UlwaziExport[]&amp;""</f>
        <v/>
      </c>
      <c r="G248" s="2" t="str">
        <f t="shared" ca="1" si="15"/>
        <v/>
      </c>
      <c r="H248" s="3" t="str">
        <f t="shared" ca="1" si="15"/>
        <v/>
      </c>
      <c r="I248" s="3" t="str">
        <f t="shared" ca="1" si="15"/>
        <v/>
      </c>
      <c r="J248" s="3" t="str">
        <f t="shared" ca="1" si="15"/>
        <v/>
      </c>
      <c r="K248" s="3" t="str">
        <f t="shared" ca="1" si="15"/>
        <v/>
      </c>
    </row>
    <row r="249" spans="1:11">
      <c r="A249" s="134" t="str">
        <f>UlwaziExport[]&amp;""</f>
        <v/>
      </c>
      <c r="B249" s="134" t="str">
        <f>UlwaziExport[]&amp;""</f>
        <v/>
      </c>
      <c r="C249" s="134" t="str">
        <f>UlwaziExport[]&amp;""</f>
        <v/>
      </c>
      <c r="D249" s="134" t="str">
        <f>UlwaziExport[]&amp;""</f>
        <v/>
      </c>
      <c r="E249" s="134" t="str">
        <f>UlwaziExport[]&amp;""</f>
        <v/>
      </c>
      <c r="F249" s="134" t="str">
        <f>UlwaziExport[]&amp;""</f>
        <v/>
      </c>
      <c r="G249" s="2" t="str">
        <f t="shared" ca="1" si="15"/>
        <v/>
      </c>
      <c r="H249" s="3" t="str">
        <f t="shared" ca="1" si="15"/>
        <v/>
      </c>
      <c r="I249" s="3" t="str">
        <f t="shared" ca="1" si="15"/>
        <v/>
      </c>
      <c r="J249" s="3" t="str">
        <f t="shared" ca="1" si="15"/>
        <v/>
      </c>
      <c r="K249" s="3" t="str">
        <f t="shared" ca="1" si="15"/>
        <v/>
      </c>
    </row>
    <row r="250" spans="1:11">
      <c r="A250" s="134" t="str">
        <f>UlwaziExport[]&amp;""</f>
        <v/>
      </c>
      <c r="B250" s="134" t="str">
        <f>UlwaziExport[]&amp;""</f>
        <v/>
      </c>
      <c r="C250" s="134" t="str">
        <f>UlwaziExport[]&amp;""</f>
        <v/>
      </c>
      <c r="D250" s="134" t="str">
        <f>UlwaziExport[]&amp;""</f>
        <v/>
      </c>
      <c r="E250" s="134" t="str">
        <f>UlwaziExport[]&amp;""</f>
        <v/>
      </c>
      <c r="F250" s="134" t="str">
        <f>UlwaziExport[]&amp;""</f>
        <v/>
      </c>
      <c r="G250" s="2" t="str">
        <f t="shared" ca="1" si="15"/>
        <v/>
      </c>
      <c r="H250" s="3" t="str">
        <f t="shared" ca="1" si="15"/>
        <v/>
      </c>
      <c r="I250" s="3" t="str">
        <f t="shared" ca="1" si="15"/>
        <v/>
      </c>
      <c r="J250" s="3" t="str">
        <f t="shared" ca="1" si="15"/>
        <v/>
      </c>
      <c r="K250" s="3" t="str">
        <f t="shared" ca="1" si="15"/>
        <v/>
      </c>
    </row>
  </sheetData>
  <conditionalFormatting sqref="G6:K250">
    <cfRule type="cellIs" dxfId="50" priority="1" operator="equal">
      <formula>"Missing!"</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tint="0.59999389629810485"/>
  </sheetPr>
  <dimension ref="A1:AK174"/>
  <sheetViews>
    <sheetView topLeftCell="B1" zoomScale="90" zoomScaleNormal="90" workbookViewId="0">
      <pane ySplit="6" topLeftCell="A133" activePane="bottomLeft" state="frozen"/>
      <selection pane="bottomLeft" activeCell="D92" sqref="D92"/>
    </sheetView>
  </sheetViews>
  <sheetFormatPr defaultColWidth="9.109375" defaultRowHeight="14.4"/>
  <cols>
    <col min="1" max="1" width="12.44140625" customWidth="1"/>
    <col min="2" max="2" width="26.109375" customWidth="1"/>
    <col min="3" max="3" width="13.44140625" customWidth="1"/>
    <col min="4" max="4" width="8.5546875" customWidth="1"/>
    <col min="5" max="5" width="9.21875" style="2" customWidth="1"/>
    <col min="6" max="6" width="11.6640625" style="2" customWidth="1"/>
    <col min="7" max="7" width="12.77734375" style="2" customWidth="1"/>
    <col min="8" max="8" width="13.33203125" style="2" customWidth="1"/>
    <col min="9" max="9" width="10.44140625" style="2" customWidth="1"/>
    <col min="10" max="10" width="7.5546875" style="2" hidden="1" customWidth="1"/>
    <col min="11" max="11" width="22.5546875" style="2" customWidth="1"/>
    <col min="12" max="12" width="10.33203125" style="2" customWidth="1"/>
    <col min="13" max="13" width="10.77734375" style="2" customWidth="1"/>
    <col min="14" max="15" width="11" style="2" customWidth="1"/>
    <col min="16" max="16" width="16.109375" style="99" customWidth="1"/>
    <col min="17" max="18" width="16.6640625" style="99" customWidth="1"/>
    <col min="19" max="19" width="9.109375" style="99" customWidth="1"/>
    <col min="20" max="20" width="14.44140625" style="99" customWidth="1"/>
    <col min="21" max="21" width="14.33203125" style="99" customWidth="1"/>
    <col min="22" max="22" width="13.6640625" style="99" customWidth="1"/>
    <col min="23" max="23" width="12.33203125" style="99" customWidth="1"/>
    <col min="24" max="25" width="12.33203125" customWidth="1"/>
    <col min="26" max="26" width="12.33203125" style="210" customWidth="1"/>
    <col min="27" max="28" width="13.33203125" customWidth="1"/>
    <col min="29" max="29" width="3.21875" customWidth="1"/>
    <col min="30" max="30" width="10.77734375" customWidth="1"/>
    <col min="31" max="31" width="13" customWidth="1"/>
    <col min="32" max="32" width="13.5546875" customWidth="1"/>
    <col min="33" max="33" width="14.6640625" customWidth="1"/>
    <col min="34" max="34" width="13.44140625" customWidth="1"/>
    <col min="35" max="45" width="12.6640625" bestFit="1" customWidth="1"/>
    <col min="46" max="46" width="12.6640625" customWidth="1"/>
    <col min="47" max="49" width="12.6640625" bestFit="1" customWidth="1"/>
    <col min="50" max="50" width="10.6640625" bestFit="1" customWidth="1"/>
  </cols>
  <sheetData>
    <row r="1" spans="1:37" ht="31.8" thickBot="1">
      <c r="A1" s="24" t="s">
        <v>37</v>
      </c>
      <c r="B1" s="24"/>
      <c r="C1" s="23"/>
      <c r="D1" s="23"/>
      <c r="K1"/>
      <c r="P1" s="2"/>
      <c r="Q1" s="2"/>
      <c r="R1" s="2"/>
      <c r="S1" s="2"/>
      <c r="T1" s="2"/>
      <c r="U1" s="2"/>
      <c r="V1" s="2"/>
      <c r="W1" s="2"/>
      <c r="AD1" s="203"/>
      <c r="AE1" s="203"/>
      <c r="AF1" s="203"/>
      <c r="AG1" s="203"/>
      <c r="AH1" s="203"/>
    </row>
    <row r="2" spans="1:37" ht="14.4" customHeight="1" thickTop="1">
      <c r="A2" s="9"/>
      <c r="B2" s="9"/>
      <c r="C2" s="21"/>
      <c r="L2" s="22"/>
      <c r="M2" s="228"/>
      <c r="P2" s="2"/>
      <c r="Q2" s="2"/>
      <c r="R2" s="2"/>
      <c r="S2" s="2"/>
      <c r="T2" s="2"/>
      <c r="U2" s="2"/>
      <c r="V2" s="2"/>
      <c r="W2" s="2"/>
      <c r="AD2" s="198" t="s">
        <v>36</v>
      </c>
      <c r="AE2" s="198" t="s">
        <v>263</v>
      </c>
      <c r="AF2" s="198" t="s">
        <v>1243</v>
      </c>
      <c r="AG2" s="197" t="s">
        <v>1226</v>
      </c>
      <c r="AH2" s="198" t="s">
        <v>1246</v>
      </c>
      <c r="AI2" s="2"/>
      <c r="AJ2" s="16"/>
    </row>
    <row r="3" spans="1:37" ht="14.4" customHeight="1">
      <c r="A3" s="9"/>
      <c r="B3" s="9"/>
      <c r="C3" s="21"/>
      <c r="L3" s="22"/>
      <c r="M3" s="22"/>
      <c r="P3" s="2"/>
      <c r="Q3" s="2"/>
      <c r="R3" s="2"/>
      <c r="S3" s="2"/>
      <c r="T3" s="2"/>
      <c r="U3" s="2"/>
      <c r="V3" s="2"/>
      <c r="W3" s="2"/>
      <c r="AE3" s="21"/>
      <c r="AF3" s="2"/>
      <c r="AG3" s="199" t="s">
        <v>1237</v>
      </c>
      <c r="AH3" s="193" t="s">
        <v>34</v>
      </c>
      <c r="AI3" s="2"/>
      <c r="AJ3" s="16"/>
      <c r="AK3" s="16"/>
    </row>
    <row r="4" spans="1:37" ht="14.4" customHeight="1">
      <c r="A4" s="251" t="s">
        <v>15</v>
      </c>
      <c r="B4" s="251"/>
      <c r="C4" s="252" t="s">
        <v>17</v>
      </c>
      <c r="D4" s="252"/>
      <c r="E4" s="252"/>
      <c r="F4" s="252"/>
      <c r="G4" s="251" t="s">
        <v>26</v>
      </c>
      <c r="H4" s="251"/>
      <c r="I4" s="251"/>
      <c r="J4" s="251"/>
      <c r="K4" s="30" t="s">
        <v>24</v>
      </c>
      <c r="L4" s="254" t="s">
        <v>12</v>
      </c>
      <c r="M4" s="254"/>
      <c r="N4" s="254"/>
      <c r="O4" s="254"/>
      <c r="P4" s="253" t="s">
        <v>1239</v>
      </c>
      <c r="Q4" s="253"/>
      <c r="R4" s="253"/>
      <c r="S4" s="253"/>
      <c r="T4" s="253"/>
      <c r="U4" s="253"/>
      <c r="V4" s="253"/>
      <c r="W4" s="253"/>
      <c r="X4" s="253"/>
      <c r="Y4" s="253"/>
      <c r="Z4" s="253"/>
      <c r="AA4" s="253"/>
      <c r="AB4" s="164"/>
      <c r="AD4" s="194" t="s">
        <v>1027</v>
      </c>
      <c r="AE4" s="21"/>
      <c r="AF4" s="192" t="s">
        <v>5</v>
      </c>
      <c r="AG4" s="200" t="s">
        <v>1238</v>
      </c>
      <c r="AH4" s="205" t="s">
        <v>1247</v>
      </c>
      <c r="AI4" s="2"/>
      <c r="AJ4" s="16"/>
    </row>
    <row r="5" spans="1:37" ht="14.4" customHeight="1">
      <c r="A5" t="s">
        <v>16</v>
      </c>
      <c r="C5" s="15">
        <v>0.1</v>
      </c>
      <c r="D5" s="15">
        <v>0.15</v>
      </c>
      <c r="E5" s="15">
        <v>0.3</v>
      </c>
      <c r="F5" s="15">
        <v>0.45</v>
      </c>
      <c r="G5" s="15">
        <f>SUM(C5:F5)</f>
        <v>1</v>
      </c>
      <c r="H5" s="15">
        <f>G5</f>
        <v>1</v>
      </c>
      <c r="I5" s="15"/>
      <c r="K5"/>
      <c r="P5" s="2"/>
      <c r="Q5" s="2"/>
      <c r="R5" s="2"/>
      <c r="S5" s="2"/>
      <c r="T5" s="2"/>
      <c r="U5" s="2"/>
      <c r="V5" s="2"/>
      <c r="W5" s="2"/>
      <c r="AA5" s="29"/>
      <c r="AB5" s="29"/>
      <c r="AC5" s="29"/>
      <c r="AD5" s="191" t="s">
        <v>32</v>
      </c>
      <c r="AE5" s="204" t="s">
        <v>1245</v>
      </c>
      <c r="AF5" s="191" t="s">
        <v>32</v>
      </c>
      <c r="AG5" s="190" t="s">
        <v>1244</v>
      </c>
      <c r="AH5" s="196" t="s">
        <v>27</v>
      </c>
    </row>
    <row r="6" spans="1:37">
      <c r="A6" s="172" t="s">
        <v>617</v>
      </c>
      <c r="B6" s="172" t="s">
        <v>1023</v>
      </c>
      <c r="C6" s="173" t="s">
        <v>915</v>
      </c>
      <c r="D6" s="188" t="s">
        <v>36</v>
      </c>
      <c r="E6" s="173" t="s">
        <v>263</v>
      </c>
      <c r="F6" s="173" t="s">
        <v>1243</v>
      </c>
      <c r="G6" s="173" t="s">
        <v>31</v>
      </c>
      <c r="H6" s="174" t="s">
        <v>1226</v>
      </c>
      <c r="I6" s="202" t="s">
        <v>1242</v>
      </c>
      <c r="J6" s="173" t="s">
        <v>30</v>
      </c>
      <c r="K6" s="202" t="s">
        <v>24</v>
      </c>
      <c r="L6" s="173" t="s">
        <v>1236</v>
      </c>
      <c r="M6" s="173" t="s">
        <v>1235</v>
      </c>
      <c r="N6" s="173" t="s">
        <v>1232</v>
      </c>
      <c r="O6" s="173" t="s">
        <v>1231</v>
      </c>
      <c r="P6" s="173" t="s">
        <v>1233</v>
      </c>
      <c r="Q6" s="173" t="s">
        <v>1234</v>
      </c>
      <c r="R6" s="173" t="s">
        <v>1367</v>
      </c>
      <c r="S6" s="173" t="s">
        <v>15</v>
      </c>
      <c r="T6" s="173" t="s">
        <v>914</v>
      </c>
      <c r="U6" s="173" t="s">
        <v>1241</v>
      </c>
      <c r="V6" s="173" t="s">
        <v>1240</v>
      </c>
      <c r="W6" s="173" t="s">
        <v>913</v>
      </c>
      <c r="X6" s="173" t="s">
        <v>912</v>
      </c>
      <c r="Y6" s="173" t="s">
        <v>911</v>
      </c>
      <c r="Z6" s="173" t="s">
        <v>1368</v>
      </c>
      <c r="AA6" s="173" t="s">
        <v>1040</v>
      </c>
      <c r="AB6" s="173" t="s">
        <v>1042</v>
      </c>
      <c r="AC6" s="19"/>
      <c r="AD6" s="203"/>
      <c r="AE6" s="203"/>
      <c r="AF6" s="203"/>
      <c r="AG6" s="203"/>
      <c r="AH6" s="203"/>
    </row>
    <row r="7" spans="1:37" ht="14.4" customHeight="1">
      <c r="A7" s="14" t="s">
        <v>271</v>
      </c>
      <c r="B7" s="17" t="s">
        <v>448</v>
      </c>
      <c r="C7" s="100" t="e">
        <f>IF(All[[#This Row],[Student]],
  IF(ISNA(INDEX(#REF!,MATCH(All[[#This Row],[Student No.]],#REF!,0))),
    "Cannot find student!",
    IF(INDEX(#REF!,MATCH(All[[#This Row],[Student No.]],#REF!,0))="",
      "",
      INDEX(#REF!,MATCH(All[[#This Row],[Student No.]],#REF!,0)))
    ),
  "No student!")</f>
        <v>#REF!</v>
      </c>
      <c r="D7"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7" s="18" t="str">
        <f>IF(All[[#This Row],[Student]],
  IF(ISNA(INDEX(Project[Total (%)],MATCH(All[[#This Row],[Student No.]],Project[Student No.],0))),
    "Cannot find student!",
    IF(INDEX(Project[Total (%)],MATCH(All[[#This Row],[Student No.]],Project[Student No.],0))="",
      "",
      INDEX(Project[Total (%)],MATCH(All[[#This Row],[Student No.]],Project[Student No.],0)))
    ),
  "No student!")</f>
        <v/>
      </c>
      <c r="F7" s="201" t="str">
        <f>IF(All[[#This Row],[Wrote Def]], INDEX(#REF!, MATCH(All[[#This Row],[Student No.]],#REF!,0)),
  IF(All[[#This Row],[Wrote Exam]], INDEX(Exam[Total (%)], MATCH(All[[#This Row],[Student No.]], Exam[Student No.],0)),
    ""))</f>
        <v/>
      </c>
      <c r="G7" s="18" t="str">
        <f>IF(AND(All[[#This Row],[Student]], All[[#This Row],[All Components]]),
    IF(NOT(All[Has Test Mark]),ROUND((All[[#This Row],[Engagement]]*$C$5+All[[#This Row],[Project]]*$E$5+All[[#This Row],[Exam/Def]]*$F$5)/($C$5+$E$5+$F$5),0),
      ROUND((All[[#This Row],[Engagement]]*$C$5+All[[#This Row],[Test]]*$D$5+All[[#This Row],[Project]]*$E$5+All[[#This Row],[Exam/Def]]*$F$5)/($C$5+$D$5+$E$5+$F$5),0)
  ),
  "")</f>
        <v/>
      </c>
      <c r="H7" s="18" t="str">
        <f>All[[#This Row],[Course Mark]]</f>
        <v/>
      </c>
      <c r="I7" s="18" t="str">
        <f>IF(All[[#This Row],[Wrote Sup]], INDEX(#REF!,MATCH(All[[#This Row],[Student No.]],#REF!,0)), "")</f>
        <v/>
      </c>
      <c r="J7" s="18" t="str">
        <f>IF(AND(All[[#This Row],[Student]],ISNUMBER(All[[#This Row],[Final]])),_xlfn.RANK.EQ(All[[#This Row],[Final]],All[Final]),"")</f>
        <v/>
      </c>
      <c r="K7" s="31"/>
      <c r="L7" s="18" t="str">
        <f>IF(All[[#This Row],[Student]], IF(All[Wrote Sup],All[Sup],All[[#This Row],[Final]]),"No student")</f>
        <v/>
      </c>
      <c r="M7" s="18" t="str">
        <f>IF(All[[#This Row],[Final]]="","",
  IF(All[[#This Row],[Wrote Sup]],
    IF(All[[#This Row],[Sup]]&lt;50,"FAL","PAS"),
  IF(All[[#This Row],[Exam/Def]]&lt;35, "FSB",
    IF(All[[#This Row],[Final]]&lt;50,"FAL",
    IF(All[[#This Row],[Final]]&gt;=50,"PAS",
  "Error!")))))</f>
        <v/>
      </c>
      <c r="N7" s="18">
        <f>IF(All[[#This Row],[Student]], _xlfn.IFNA(INDEX(captured[Course Mark],MATCH(All[[#This Row],[Student No.]],captured[ID_TEXT],0) &amp; ""), "Cannot find student!"),"No student!")</f>
        <v>31</v>
      </c>
      <c r="O7" s="189" t="str">
        <f>IF(All[[#This Row],[Student]], _xlfn.IFNA(INDEX(captured[Grade],MATCH(All[[#This Row],[Student No.]],captured[ID_TEXT],0)), "Cannot find student!") &amp; "","No student!")</f>
        <v>FSB</v>
      </c>
      <c r="P7"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7" s="18" t="str">
        <f>IF(All[[#This Row],[My Grade]]&lt;&gt;"",IF(All[[#This Row],[My Grade]]&lt;&gt;All[[#This Row],[Cap Grade]],TRUE,FALSE),"")</f>
        <v/>
      </c>
      <c r="R7" s="18" t="b">
        <f>IF(NOT(ISBLANK(All[[#This Row],[Student No.]])),OR(ISNUMBER(FIND("FSB",All[[#This Row],[My Grade]])),ISNUMBER(FIND("PAS", All[[#This Row],[My Grade]])),ISNUMBER(FIND("FAL",All[[#This Row],[My Grade]])),ISNUMBER(FIND("FAB", All[[#This Row],[My Grade]])),COUNTBLANK(All[[#This Row],[My Grade]])=1),FALSE)</f>
        <v>1</v>
      </c>
      <c r="S7" s="18" t="b">
        <f>IF(All[[#This Row],[Student No.]]&lt;&gt;"", TRUE, FALSE)</f>
        <v>1</v>
      </c>
      <c r="T7" s="18" t="b">
        <f>IF(COUNTBLANK(All[[#This Row],[Engagement]:[Exam/Def]])=0,TRUE, FALSE)</f>
        <v>0</v>
      </c>
      <c r="U7" s="18" t="b">
        <f>IF(ISNUMBER(All[[#This Row],[Test]]),TRUE,FALSE)</f>
        <v>0</v>
      </c>
      <c r="V7" s="18" t="b">
        <f>IF((INDEX(Test[Total (%)],MATCH(All[[#This Row],[Student No.]],Test[Student No.],0)))="ABS", TRUE, FALSE)</f>
        <v>0</v>
      </c>
      <c r="W7" s="18" t="b">
        <f>IF(ISNUMBER(INDEX(Exam[Total (%)],MATCH(All[[#This Row],[Student No.]],Exam[Student No.],0))), TRUE, FALSE)</f>
        <v>0</v>
      </c>
      <c r="X7" s="18" t="b">
        <f>IF(ISNUMBER(INDEX(#REF!,MATCH(All[[#This Row],[Student No.]],#REF!,0))),TRUE,FALSE)</f>
        <v>0</v>
      </c>
      <c r="Y7" s="18" t="b">
        <f>IF(ISNUMBER(INDEX(#REF!,MATCH(All[[#This Row],[Student No.]],#REF!,0))),TRUE,FALSE)</f>
        <v>0</v>
      </c>
      <c r="Z7" s="18" t="b">
        <f>IF(All[[#This Row],[Wrote Def]],
IF(INDEX(#REF!, MATCH(All[[#This Row],[Student No.]],#REF!,0))&lt;&gt;All[[#This Row],[Exam/Def]], TRUE, FALSE),
  IF(All[[#This Row],[Wrote Exam]], IF(INDEX(Exam[Total (%)], MATCH(All[[#This Row],[Student No.]],Exam[Student No.],0))&lt;&gt;All[[#This Row],[Exam/Def]],TRUE,FALSE), FALSE))</f>
        <v>0</v>
      </c>
      <c r="AA7" s="18" t="b">
        <f xml:space="preserve">    IF(AND(All[[#This Row],[Exam/Def]]&lt;35,OR(All[[#This Row],[Wrote Exam]],All[[#This Row],[Wrote Def]])), TRUE,FALSE)</f>
        <v>0</v>
      </c>
      <c r="AB7" s="18" t="b">
        <f>IF(AND(All[[#This Row],[Exam &lt; 35%]],All[[#This Row],[Final]]&gt;=50),TRUE,FALSE)</f>
        <v>0</v>
      </c>
      <c r="AD7" s="210"/>
    </row>
    <row r="8" spans="1:37" ht="43.2">
      <c r="A8" s="17" t="s">
        <v>272</v>
      </c>
      <c r="B8" s="17" t="s">
        <v>449</v>
      </c>
      <c r="C8" s="100" t="e">
        <f>IF(All[[#This Row],[Student]],
  IF(ISNA(INDEX(#REF!,MATCH(All[[#This Row],[Student No.]],#REF!,0))),
    "Cannot find student!",
    IF(INDEX(#REF!,MATCH(All[[#This Row],[Student No.]],#REF!,0))="",
      "",
      INDEX(#REF!,MATCH(All[[#This Row],[Student No.]],#REF!,0)))
    ),
  "No student!")</f>
        <v>#REF!</v>
      </c>
      <c r="D8"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8" s="18" t="str">
        <f>IF(All[[#This Row],[Student]],
  IF(ISNA(INDEX(Project[Total (%)],MATCH(All[[#This Row],[Student No.]],Project[Student No.],0))),
    "Cannot find student!",
    IF(INDEX(Project[Total (%)],MATCH(All[[#This Row],[Student No.]],Project[Student No.],0))="",
      "",
      INDEX(Project[Total (%)],MATCH(All[[#This Row],[Student No.]],Project[Student No.],0)))
    ),
  "No student!")</f>
        <v/>
      </c>
      <c r="F8" s="201">
        <f>IF(All[[#This Row],[Wrote Def]], INDEX(#REF!, MATCH(All[[#This Row],[Student No.]],#REF!,0)),
  IF(All[[#This Row],[Wrote Exam]], INDEX(Exam[Total (%)], MATCH(All[[#This Row],[Student No.]], Exam[Student No.],0)),
    ""))</f>
        <v>46</v>
      </c>
      <c r="G8" s="18" t="str">
        <f>IF(AND(All[[#This Row],[Student]], All[[#This Row],[All Components]]),
    IF(NOT(All[Has Test Mark]),ROUND((All[[#This Row],[Engagement]]*$C$5+All[[#This Row],[Project]]*$E$5+All[[#This Row],[Exam/Def]]*$F$5)/($C$5+$E$5+$F$5),0),
      ROUND((All[[#This Row],[Engagement]]*$C$5+All[[#This Row],[Test]]*$D$5+All[[#This Row],[Project]]*$E$5+All[[#This Row],[Exam/Def]]*$F$5)/($C$5+$D$5+$E$5+$F$5),0)
  ),
  "")</f>
        <v/>
      </c>
      <c r="H8" s="18" t="str">
        <f>All[[#This Row],[Course Mark]]</f>
        <v/>
      </c>
      <c r="I8" s="18" t="str">
        <f>IF(All[[#This Row],[Wrote Sup]], INDEX(#REF!,MATCH(All[[#This Row],[Student No.]],#REF!,0)), "")</f>
        <v/>
      </c>
      <c r="J8" s="18" t="str">
        <f>IF(AND(All[[#This Row],[Student]],ISNUMBER(All[[#This Row],[Final]])),_xlfn.RANK.EQ(All[[#This Row],[Final]],All[Final]),"")</f>
        <v/>
      </c>
      <c r="K8" s="31"/>
      <c r="L8" s="18" t="str">
        <f>IF(All[[#This Row],[Student]], IF(All[Wrote Sup],All[Sup],All[[#This Row],[Final]]),"No student")</f>
        <v/>
      </c>
      <c r="M8" s="18" t="str">
        <f>IF(All[[#This Row],[Final]]="","",
  IF(All[[#This Row],[Wrote Sup]],
    IF(All[[#This Row],[Sup]]&lt;50,"FAL","PAS"),
  IF(All[[#This Row],[Exam/Def]]&lt;35, "FSB",
    IF(All[[#This Row],[Final]]&lt;50,"FAL",
    IF(All[[#This Row],[Final]]&gt;=50,"PAS",
  "Error!")))))</f>
        <v/>
      </c>
      <c r="N8" s="18">
        <f>IF(All[[#This Row],[Student]], _xlfn.IFNA(INDEX(captured[Course Mark],MATCH(All[[#This Row],[Student No.]],captured[ID_TEXT],0) &amp; ""), "Cannot find student!"),"No student!")</f>
        <v>61</v>
      </c>
      <c r="O8" s="189" t="str">
        <f>IF(All[[#This Row],[Student]], _xlfn.IFNA(INDEX(captured[Grade],MATCH(All[[#This Row],[Student No.]],captured[ID_TEXT],0)), "Cannot find student!") &amp; "","No student!")</f>
        <v>PAS</v>
      </c>
      <c r="P8"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8" s="18" t="str">
        <f>IF(All[[#This Row],[My Grade]]&lt;&gt;"",IF(All[[#This Row],[My Grade]]&lt;&gt;All[[#This Row],[Cap Grade]],TRUE,FALSE),"")</f>
        <v/>
      </c>
      <c r="R8" s="18" t="b">
        <f>IF(NOT(ISBLANK(All[[#This Row],[Student No.]])),OR(ISNUMBER(FIND("FSB",All[[#This Row],[My Grade]])),ISNUMBER(FIND("PAS", All[[#This Row],[My Grade]])),ISNUMBER(FIND("FAL",All[[#This Row],[My Grade]])),ISNUMBER(FIND("FAB", All[[#This Row],[My Grade]])),COUNTBLANK(All[[#This Row],[My Grade]])=1),FALSE)</f>
        <v>1</v>
      </c>
      <c r="S8" s="18" t="b">
        <f>IF(All[[#This Row],[Student No.]]&lt;&gt;"", TRUE, FALSE)</f>
        <v>1</v>
      </c>
      <c r="T8" s="18" t="b">
        <f>IF(COUNTBLANK(All[[#This Row],[Engagement]:[Exam/Def]])=0,TRUE, FALSE)</f>
        <v>0</v>
      </c>
      <c r="U8" s="18" t="b">
        <f>IF(ISNUMBER(All[[#This Row],[Test]]),TRUE,FALSE)</f>
        <v>0</v>
      </c>
      <c r="V8" s="18" t="e">
        <f>IF((INDEX(Test[Total (%)],MATCH(All[[#This Row],[Student No.]],Test[Student No.],0)))="ABS", TRUE, FALSE)</f>
        <v>#N/A</v>
      </c>
      <c r="W8" s="18" t="b">
        <f>IF(ISNUMBER(INDEX(Exam[Total (%)],MATCH(All[[#This Row],[Student No.]],Exam[Student No.],0))), TRUE, FALSE)</f>
        <v>1</v>
      </c>
      <c r="X8" s="18" t="b">
        <f>IF(ISNUMBER(INDEX(#REF!,MATCH(All[[#This Row],[Student No.]],#REF!,0))),TRUE,FALSE)</f>
        <v>0</v>
      </c>
      <c r="Y8" s="18" t="b">
        <f>IF(ISNUMBER(INDEX(#REF!,MATCH(All[[#This Row],[Student No.]],#REF!,0))),TRUE,FALSE)</f>
        <v>0</v>
      </c>
      <c r="Z8" s="18" t="b">
        <f>IF(All[[#This Row],[Wrote Def]],
IF(INDEX(#REF!, MATCH(All[[#This Row],[Student No.]],#REF!,0))&lt;&gt;All[[#This Row],[Exam/Def]], TRUE, FALSE),
  IF(All[[#This Row],[Wrote Exam]], IF(INDEX(Exam[Total (%)], MATCH(All[[#This Row],[Student No.]],Exam[Student No.],0))&lt;&gt;All[[#This Row],[Exam/Def]],TRUE,FALSE), FALSE))</f>
        <v>0</v>
      </c>
      <c r="AA8" s="18" t="b">
        <f xml:space="preserve">    IF(AND(All[[#This Row],[Exam/Def]]&lt;35,OR(All[[#This Row],[Wrote Exam]],All[[#This Row],[Wrote Def]])), TRUE,FALSE)</f>
        <v>0</v>
      </c>
      <c r="AB8" s="18" t="b">
        <f>IF(AND(All[[#This Row],[Exam &lt; 35%]],All[[#This Row],[Final]]&gt;=50),TRUE,FALSE)</f>
        <v>0</v>
      </c>
      <c r="AD8" s="210"/>
    </row>
    <row r="9" spans="1:37">
      <c r="A9" s="17" t="s">
        <v>273</v>
      </c>
      <c r="B9" s="17" t="s">
        <v>450</v>
      </c>
      <c r="C9" s="100" t="e">
        <f>IF(All[[#This Row],[Student]],
  IF(ISNA(INDEX(#REF!,MATCH(All[[#This Row],[Student No.]],#REF!,0))),
    "Cannot find student!",
    IF(INDEX(#REF!,MATCH(All[[#This Row],[Student No.]],#REF!,0))="",
      "",
      INDEX(#REF!,MATCH(All[[#This Row],[Student No.]],#REF!,0)))
    ),
  "No student!")</f>
        <v>#REF!</v>
      </c>
      <c r="D9"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9" s="18" t="str">
        <f>IF(All[[#This Row],[Student]],
  IF(ISNA(INDEX(Project[Total (%)],MATCH(All[[#This Row],[Student No.]],Project[Student No.],0))),
    "Cannot find student!",
    IF(INDEX(Project[Total (%)],MATCH(All[[#This Row],[Student No.]],Project[Student No.],0))="",
      "",
      INDEX(Project[Total (%)],MATCH(All[[#This Row],[Student No.]],Project[Student No.],0)))
    ),
  "No student!")</f>
        <v/>
      </c>
      <c r="F9" s="201">
        <f>IF(All[[#This Row],[Wrote Def]], INDEX(#REF!, MATCH(All[[#This Row],[Student No.]],#REF!,0)),
  IF(All[[#This Row],[Wrote Exam]], INDEX(Exam[Total (%)], MATCH(All[[#This Row],[Student No.]], Exam[Student No.],0)),
    ""))</f>
        <v>32</v>
      </c>
      <c r="G9" s="18" t="str">
        <f>IF(AND(All[[#This Row],[Student]], All[[#This Row],[All Components]]),
    IF(NOT(All[Has Test Mark]),ROUND((All[[#This Row],[Engagement]]*$C$5+All[[#This Row],[Project]]*$E$5+All[[#This Row],[Exam/Def]]*$F$5)/($C$5+$E$5+$F$5),0),
      ROUND((All[[#This Row],[Engagement]]*$C$5+All[[#This Row],[Test]]*$D$5+All[[#This Row],[Project]]*$E$5+All[[#This Row],[Exam/Def]]*$F$5)/($C$5+$D$5+$E$5+$F$5),0)
  ),
  "")</f>
        <v/>
      </c>
      <c r="H9" s="18" t="str">
        <f>All[[#This Row],[Course Mark]]</f>
        <v/>
      </c>
      <c r="I9" s="18" t="str">
        <f>IF(All[[#This Row],[Wrote Sup]], INDEX(#REF!,MATCH(All[[#This Row],[Student No.]],#REF!,0)), "")</f>
        <v/>
      </c>
      <c r="J9" s="18" t="str">
        <f>IF(AND(All[[#This Row],[Student]],ISNUMBER(All[[#This Row],[Final]])),_xlfn.RANK.EQ(All[[#This Row],[Final]],All[Final]),"")</f>
        <v/>
      </c>
      <c r="K9" s="31"/>
      <c r="L9" s="18" t="str">
        <f>IF(All[[#This Row],[Student]], IF(All[Wrote Sup],All[Sup],All[[#This Row],[Final]]),"No student")</f>
        <v/>
      </c>
      <c r="M9" s="18" t="str">
        <f>IF(All[[#This Row],[Final]]="","",
  IF(All[[#This Row],[Wrote Sup]],
    IF(All[[#This Row],[Sup]]&lt;50,"FAL","PAS"),
  IF(All[[#This Row],[Exam/Def]]&lt;35, "FSB",
    IF(All[[#This Row],[Final]]&lt;50,"FAL",
    IF(All[[#This Row],[Final]]&gt;=50,"PAS",
  "Error!")))))</f>
        <v/>
      </c>
      <c r="N9" s="18">
        <f>IF(All[[#This Row],[Student]], _xlfn.IFNA(INDEX(captured[Course Mark],MATCH(All[[#This Row],[Student No.]],captured[ID_TEXT],0) &amp; ""), "Cannot find student!"),"No student!")</f>
        <v>35</v>
      </c>
      <c r="O9" s="189" t="str">
        <f>IF(All[[#This Row],[Student]], _xlfn.IFNA(INDEX(captured[Grade],MATCH(All[[#This Row],[Student No.]],captured[ID_TEXT],0)), "Cannot find student!") &amp; "","No student!")</f>
        <v/>
      </c>
      <c r="P9"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9" s="18" t="str">
        <f>IF(All[[#This Row],[My Grade]]&lt;&gt;"",IF(All[[#This Row],[My Grade]]&lt;&gt;All[[#This Row],[Cap Grade]],TRUE,FALSE),"")</f>
        <v/>
      </c>
      <c r="R9" s="18" t="b">
        <f>IF(NOT(ISBLANK(All[[#This Row],[Student No.]])),OR(ISNUMBER(FIND("FSB",All[[#This Row],[My Grade]])),ISNUMBER(FIND("PAS", All[[#This Row],[My Grade]])),ISNUMBER(FIND("FAL",All[[#This Row],[My Grade]])),ISNUMBER(FIND("FAB", All[[#This Row],[My Grade]])),COUNTBLANK(All[[#This Row],[My Grade]])=1),FALSE)</f>
        <v>1</v>
      </c>
      <c r="S9" s="18" t="b">
        <f>IF(All[[#This Row],[Student No.]]&lt;&gt;"", TRUE, FALSE)</f>
        <v>1</v>
      </c>
      <c r="T9" s="18" t="b">
        <f>IF(COUNTBLANK(All[[#This Row],[Engagement]:[Exam/Def]])=0,TRUE, FALSE)</f>
        <v>0</v>
      </c>
      <c r="U9" s="18" t="b">
        <f>IF(ISNUMBER(All[[#This Row],[Test]]),TRUE,FALSE)</f>
        <v>0</v>
      </c>
      <c r="V9" s="18" t="b">
        <f>IF((INDEX(Test[Total (%)],MATCH(All[[#This Row],[Student No.]],Test[Student No.],0)))="ABS", TRUE, FALSE)</f>
        <v>0</v>
      </c>
      <c r="W9" s="18" t="b">
        <f>IF(ISNUMBER(INDEX(Exam[Total (%)],MATCH(All[[#This Row],[Student No.]],Exam[Student No.],0))), TRUE, FALSE)</f>
        <v>1</v>
      </c>
      <c r="X9" s="18" t="b">
        <f>IF(ISNUMBER(INDEX(#REF!,MATCH(All[[#This Row],[Student No.]],#REF!,0))),TRUE,FALSE)</f>
        <v>0</v>
      </c>
      <c r="Y9" s="18" t="b">
        <f>IF(ISNUMBER(INDEX(#REF!,MATCH(All[[#This Row],[Student No.]],#REF!,0))),TRUE,FALSE)</f>
        <v>0</v>
      </c>
      <c r="Z9" s="18" t="b">
        <f>IF(All[[#This Row],[Wrote Def]],
IF(INDEX(#REF!, MATCH(All[[#This Row],[Student No.]],#REF!,0))&lt;&gt;All[[#This Row],[Exam/Def]], TRUE, FALSE),
  IF(All[[#This Row],[Wrote Exam]], IF(INDEX(Exam[Total (%)], MATCH(All[[#This Row],[Student No.]],Exam[Student No.],0))&lt;&gt;All[[#This Row],[Exam/Def]],TRUE,FALSE), FALSE))</f>
        <v>0</v>
      </c>
      <c r="AA9" s="18" t="b">
        <f xml:space="preserve">    IF(AND(All[[#This Row],[Exam/Def]]&lt;35,OR(All[[#This Row],[Wrote Exam]],All[[#This Row],[Wrote Def]])), TRUE,FALSE)</f>
        <v>1</v>
      </c>
      <c r="AB9" s="18" t="b">
        <f>IF(AND(All[[#This Row],[Exam &lt; 35%]],All[[#This Row],[Final]]&gt;=50),TRUE,FALSE)</f>
        <v>1</v>
      </c>
      <c r="AE9" s="210"/>
    </row>
    <row r="10" spans="1:37" ht="43.2">
      <c r="A10" s="17" t="s">
        <v>274</v>
      </c>
      <c r="B10" s="17" t="s">
        <v>451</v>
      </c>
      <c r="C10" s="100" t="e">
        <f>IF(All[[#This Row],[Student]],
  IF(ISNA(INDEX(#REF!,MATCH(All[[#This Row],[Student No.]],#REF!,0))),
    "Cannot find student!",
    IF(INDEX(#REF!,MATCH(All[[#This Row],[Student No.]],#REF!,0))="",
      "",
      INDEX(#REF!,MATCH(All[[#This Row],[Student No.]],#REF!,0)))
    ),
  "No student!")</f>
        <v>#REF!</v>
      </c>
      <c r="D10"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0" s="18" t="str">
        <f>IF(All[[#This Row],[Student]],
  IF(ISNA(INDEX(Project[Total (%)],MATCH(All[[#This Row],[Student No.]],Project[Student No.],0))),
    "Cannot find student!",
    IF(INDEX(Project[Total (%)],MATCH(All[[#This Row],[Student No.]],Project[Student No.],0))="",
      "",
      INDEX(Project[Total (%)],MATCH(All[[#This Row],[Student No.]],Project[Student No.],0)))
    ),
  "No student!")</f>
        <v/>
      </c>
      <c r="F10" s="201">
        <f>IF(All[[#This Row],[Wrote Def]], INDEX(#REF!, MATCH(All[[#This Row],[Student No.]],#REF!,0)),
  IF(All[[#This Row],[Wrote Exam]], INDEX(Exam[Total (%)], MATCH(All[[#This Row],[Student No.]], Exam[Student No.],0)),
    ""))</f>
        <v>55</v>
      </c>
      <c r="G10" s="18" t="str">
        <f>IF(AND(All[[#This Row],[Student]], All[[#This Row],[All Components]]),
    IF(NOT(All[Has Test Mark]),ROUND((All[[#This Row],[Engagement]]*$C$5+All[[#This Row],[Project]]*$E$5+All[[#This Row],[Exam/Def]]*$F$5)/($C$5+$E$5+$F$5),0),
      ROUND((All[[#This Row],[Engagement]]*$C$5+All[[#This Row],[Test]]*$D$5+All[[#This Row],[Project]]*$E$5+All[[#This Row],[Exam/Def]]*$F$5)/($C$5+$D$5+$E$5+$F$5),0)
  ),
  "")</f>
        <v/>
      </c>
      <c r="H10" s="18" t="str">
        <f>All[[#This Row],[Course Mark]]</f>
        <v/>
      </c>
      <c r="I10" s="18" t="str">
        <f>IF(All[[#This Row],[Wrote Sup]], INDEX(#REF!,MATCH(All[[#This Row],[Student No.]],#REF!,0)), "")</f>
        <v/>
      </c>
      <c r="J10" s="18" t="str">
        <f>IF(AND(All[[#This Row],[Student]],ISNUMBER(All[[#This Row],[Final]])),_xlfn.RANK.EQ(All[[#This Row],[Final]],All[Final]),"")</f>
        <v/>
      </c>
      <c r="K10" s="31"/>
      <c r="L10" s="18" t="str">
        <f>IF(All[[#This Row],[Student]], IF(All[Wrote Sup],All[Sup],All[[#This Row],[Final]]),"No student")</f>
        <v/>
      </c>
      <c r="M10" s="18" t="str">
        <f>IF(All[[#This Row],[Final]]="","",
  IF(All[[#This Row],[Wrote Sup]],
    IF(All[[#This Row],[Sup]]&lt;50,"FAL","PAS"),
  IF(All[[#This Row],[Exam/Def]]&lt;35, "FSB",
    IF(All[[#This Row],[Final]]&lt;50,"FAL",
    IF(All[[#This Row],[Final]]&gt;=50,"PAS",
  "Error!")))))</f>
        <v/>
      </c>
      <c r="N10" s="18">
        <f>IF(All[[#This Row],[Student]], _xlfn.IFNA(INDEX(captured[Course Mark],MATCH(All[[#This Row],[Student No.]],captured[ID_TEXT],0) &amp; ""), "Cannot find student!"),"No student!")</f>
        <v>58</v>
      </c>
      <c r="O10" s="189" t="str">
        <f>IF(All[[#This Row],[Student]], _xlfn.IFNA(INDEX(captured[Grade],MATCH(All[[#This Row],[Student No.]],captured[ID_TEXT],0)), "Cannot find student!") &amp; "","No student!")</f>
        <v>PAS</v>
      </c>
      <c r="P10"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0" s="18" t="str">
        <f>IF(All[[#This Row],[My Grade]]&lt;&gt;"",IF(All[[#This Row],[My Grade]]&lt;&gt;All[[#This Row],[Cap Grade]],TRUE,FALSE),"")</f>
        <v/>
      </c>
      <c r="R10" s="18" t="b">
        <f>IF(NOT(ISBLANK(All[[#This Row],[Student No.]])),OR(ISNUMBER(FIND("FSB",All[[#This Row],[My Grade]])),ISNUMBER(FIND("PAS", All[[#This Row],[My Grade]])),ISNUMBER(FIND("FAL",All[[#This Row],[My Grade]])),ISNUMBER(FIND("FAB", All[[#This Row],[My Grade]])),COUNTBLANK(All[[#This Row],[My Grade]])=1),FALSE)</f>
        <v>1</v>
      </c>
      <c r="S10" s="18" t="b">
        <f>IF(All[[#This Row],[Student No.]]&lt;&gt;"", TRUE, FALSE)</f>
        <v>1</v>
      </c>
      <c r="T10" s="18" t="b">
        <f>IF(COUNTBLANK(All[[#This Row],[Engagement]:[Exam/Def]])=0,TRUE, FALSE)</f>
        <v>0</v>
      </c>
      <c r="U10" s="18" t="b">
        <f>IF(ISNUMBER(All[[#This Row],[Test]]),TRUE,FALSE)</f>
        <v>0</v>
      </c>
      <c r="V10" s="18" t="e">
        <f>IF((INDEX(Test[Total (%)],MATCH(All[[#This Row],[Student No.]],Test[Student No.],0)))="ABS", TRUE, FALSE)</f>
        <v>#N/A</v>
      </c>
      <c r="W10" s="18" t="b">
        <f>IF(ISNUMBER(INDEX(Exam[Total (%)],MATCH(All[[#This Row],[Student No.]],Exam[Student No.],0))), TRUE, FALSE)</f>
        <v>1</v>
      </c>
      <c r="X10" s="18" t="b">
        <f>IF(ISNUMBER(INDEX(#REF!,MATCH(All[[#This Row],[Student No.]],#REF!,0))),TRUE,FALSE)</f>
        <v>0</v>
      </c>
      <c r="Y10" s="18" t="b">
        <f>IF(ISNUMBER(INDEX(#REF!,MATCH(All[[#This Row],[Student No.]],#REF!,0))),TRUE,FALSE)</f>
        <v>0</v>
      </c>
      <c r="Z10" s="18" t="b">
        <f>IF(All[[#This Row],[Wrote Def]],
IF(INDEX(#REF!, MATCH(All[[#This Row],[Student No.]],#REF!,0))&lt;&gt;All[[#This Row],[Exam/Def]], TRUE, FALSE),
  IF(All[[#This Row],[Wrote Exam]], IF(INDEX(Exam[Total (%)], MATCH(All[[#This Row],[Student No.]],Exam[Student No.],0))&lt;&gt;All[[#This Row],[Exam/Def]],TRUE,FALSE), FALSE))</f>
        <v>0</v>
      </c>
      <c r="AA10" s="18" t="b">
        <f xml:space="preserve">    IF(AND(All[[#This Row],[Exam/Def]]&lt;35,OR(All[[#This Row],[Wrote Exam]],All[[#This Row],[Wrote Def]])), TRUE,FALSE)</f>
        <v>0</v>
      </c>
      <c r="AB10" s="18" t="b">
        <f>IF(AND(All[[#This Row],[Exam &lt; 35%]],All[[#This Row],[Final]]&gt;=50),TRUE,FALSE)</f>
        <v>0</v>
      </c>
    </row>
    <row r="11" spans="1:37" ht="43.2">
      <c r="A11" s="17" t="s">
        <v>275</v>
      </c>
      <c r="B11" s="17" t="s">
        <v>452</v>
      </c>
      <c r="C11" s="100" t="e">
        <f>IF(All[[#This Row],[Student]],
  IF(ISNA(INDEX(#REF!,MATCH(All[[#This Row],[Student No.]],#REF!,0))),
    "Cannot find student!",
    IF(INDEX(#REF!,MATCH(All[[#This Row],[Student No.]],#REF!,0))="",
      "",
      INDEX(#REF!,MATCH(All[[#This Row],[Student No.]],#REF!,0)))
    ),
  "No student!")</f>
        <v>#REF!</v>
      </c>
      <c r="D11"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1" s="18" t="str">
        <f>IF(All[[#This Row],[Student]],
  IF(ISNA(INDEX(Project[Total (%)],MATCH(All[[#This Row],[Student No.]],Project[Student No.],0))),
    "Cannot find student!",
    IF(INDEX(Project[Total (%)],MATCH(All[[#This Row],[Student No.]],Project[Student No.],0))="",
      "",
      INDEX(Project[Total (%)],MATCH(All[[#This Row],[Student No.]],Project[Student No.],0)))
    ),
  "No student!")</f>
        <v/>
      </c>
      <c r="F11" s="201">
        <f>IF(All[[#This Row],[Wrote Def]], INDEX(#REF!, MATCH(All[[#This Row],[Student No.]],#REF!,0)),
  IF(All[[#This Row],[Wrote Exam]], INDEX(Exam[Total (%)], MATCH(All[[#This Row],[Student No.]], Exam[Student No.],0)),
    ""))</f>
        <v>39</v>
      </c>
      <c r="G11" s="18" t="str">
        <f>IF(AND(All[[#This Row],[Student]], All[[#This Row],[All Components]]),
    IF(NOT(All[Has Test Mark]),ROUND((All[[#This Row],[Engagement]]*$C$5+All[[#This Row],[Project]]*$E$5+All[[#This Row],[Exam/Def]]*$F$5)/($C$5+$E$5+$F$5),0),
      ROUND((All[[#This Row],[Engagement]]*$C$5+All[[#This Row],[Test]]*$D$5+All[[#This Row],[Project]]*$E$5+All[[#This Row],[Exam/Def]]*$F$5)/($C$5+$D$5+$E$5+$F$5),0)
  ),
  "")</f>
        <v/>
      </c>
      <c r="H11" s="18" t="str">
        <f>All[[#This Row],[Course Mark]]</f>
        <v/>
      </c>
      <c r="I11" s="18" t="str">
        <f>IF(All[[#This Row],[Wrote Sup]], INDEX(#REF!,MATCH(All[[#This Row],[Student No.]],#REF!,0)), "")</f>
        <v/>
      </c>
      <c r="J11" s="18" t="str">
        <f>IF(AND(All[[#This Row],[Student]],ISNUMBER(All[[#This Row],[Final]])),_xlfn.RANK.EQ(All[[#This Row],[Final]],All[Final]),"")</f>
        <v/>
      </c>
      <c r="K11" s="31"/>
      <c r="L11" s="18" t="str">
        <f>IF(All[[#This Row],[Student]], IF(All[Wrote Sup],All[Sup],All[[#This Row],[Final]]),"No student")</f>
        <v/>
      </c>
      <c r="M11" s="18" t="str">
        <f>IF(All[[#This Row],[Final]]="","",
  IF(All[[#This Row],[Wrote Sup]],
    IF(All[[#This Row],[Sup]]&lt;50,"FAL","PAS"),
  IF(All[[#This Row],[Exam/Def]]&lt;35, "FSB",
    IF(All[[#This Row],[Final]]&lt;50,"FAL",
    IF(All[[#This Row],[Final]]&gt;=50,"PAS",
  "Error!")))))</f>
        <v/>
      </c>
      <c r="N11" s="18">
        <f>IF(All[[#This Row],[Student]], _xlfn.IFNA(INDEX(captured[Course Mark],MATCH(All[[#This Row],[Student No.]],captured[ID_TEXT],0) &amp; ""), "Cannot find student!"),"No student!")</f>
        <v>53</v>
      </c>
      <c r="O11" s="189" t="str">
        <f>IF(All[[#This Row],[Student]], _xlfn.IFNA(INDEX(captured[Grade],MATCH(All[[#This Row],[Student No.]],captured[ID_TEXT],0)), "Cannot find student!") &amp; "","No student!")</f>
        <v>PAS</v>
      </c>
      <c r="P11"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1" s="18" t="str">
        <f>IF(All[[#This Row],[My Grade]]&lt;&gt;"",IF(All[[#This Row],[My Grade]]&lt;&gt;All[[#This Row],[Cap Grade]],TRUE,FALSE),"")</f>
        <v/>
      </c>
      <c r="R11" s="18" t="b">
        <f>IF(NOT(ISBLANK(All[[#This Row],[Student No.]])),OR(ISNUMBER(FIND("FSB",All[[#This Row],[My Grade]])),ISNUMBER(FIND("PAS", All[[#This Row],[My Grade]])),ISNUMBER(FIND("FAL",All[[#This Row],[My Grade]])),ISNUMBER(FIND("FAB", All[[#This Row],[My Grade]])),COUNTBLANK(All[[#This Row],[My Grade]])=1),FALSE)</f>
        <v>1</v>
      </c>
      <c r="S11" s="18" t="b">
        <f>IF(All[[#This Row],[Student No.]]&lt;&gt;"", TRUE, FALSE)</f>
        <v>1</v>
      </c>
      <c r="T11" s="18" t="b">
        <f>IF(COUNTBLANK(All[[#This Row],[Engagement]:[Exam/Def]])=0,TRUE, FALSE)</f>
        <v>0</v>
      </c>
      <c r="U11" s="18" t="b">
        <f>IF(ISNUMBER(All[[#This Row],[Test]]),TRUE,FALSE)</f>
        <v>0</v>
      </c>
      <c r="V11" s="18" t="e">
        <f>IF((INDEX(Test[Total (%)],MATCH(All[[#This Row],[Student No.]],Test[Student No.],0)))="ABS", TRUE, FALSE)</f>
        <v>#N/A</v>
      </c>
      <c r="W11" s="18" t="b">
        <f>IF(ISNUMBER(INDEX(Exam[Total (%)],MATCH(All[[#This Row],[Student No.]],Exam[Student No.],0))), TRUE, FALSE)</f>
        <v>1</v>
      </c>
      <c r="X11" s="18" t="b">
        <f>IF(ISNUMBER(INDEX(#REF!,MATCH(All[[#This Row],[Student No.]],#REF!,0))),TRUE,FALSE)</f>
        <v>0</v>
      </c>
      <c r="Y11" s="18" t="b">
        <f>IF(ISNUMBER(INDEX(#REF!,MATCH(All[[#This Row],[Student No.]],#REF!,0))),TRUE,FALSE)</f>
        <v>0</v>
      </c>
      <c r="Z11" s="18" t="b">
        <f>IF(All[[#This Row],[Wrote Def]],
IF(INDEX(#REF!, MATCH(All[[#This Row],[Student No.]],#REF!,0))&lt;&gt;All[[#This Row],[Exam/Def]], TRUE, FALSE),
  IF(All[[#This Row],[Wrote Exam]], IF(INDEX(Exam[Total (%)], MATCH(All[[#This Row],[Student No.]],Exam[Student No.],0))&lt;&gt;All[[#This Row],[Exam/Def]],TRUE,FALSE), FALSE))</f>
        <v>0</v>
      </c>
      <c r="AA11" s="18" t="b">
        <f xml:space="preserve">    IF(AND(All[[#This Row],[Exam/Def]]&lt;35,OR(All[[#This Row],[Wrote Exam]],All[[#This Row],[Wrote Def]])), TRUE,FALSE)</f>
        <v>0</v>
      </c>
      <c r="AB11" s="18" t="b">
        <f>IF(AND(All[[#This Row],[Exam &lt; 35%]],All[[#This Row],[Final]]&gt;=50),TRUE,FALSE)</f>
        <v>0</v>
      </c>
      <c r="AC11" s="195"/>
      <c r="AD11" s="210"/>
    </row>
    <row r="12" spans="1:37" ht="43.2">
      <c r="A12" s="17" t="s">
        <v>276</v>
      </c>
      <c r="B12" s="17" t="s">
        <v>453</v>
      </c>
      <c r="C12" s="100" t="e">
        <f>IF(All[[#This Row],[Student]],
  IF(ISNA(INDEX(#REF!,MATCH(All[[#This Row],[Student No.]],#REF!,0))),
    "Cannot find student!",
    IF(INDEX(#REF!,MATCH(All[[#This Row],[Student No.]],#REF!,0))="",
      "",
      INDEX(#REF!,MATCH(All[[#This Row],[Student No.]],#REF!,0)))
    ),
  "No student!")</f>
        <v>#REF!</v>
      </c>
      <c r="D12"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2" s="18" t="str">
        <f>IF(All[[#This Row],[Student]],
  IF(ISNA(INDEX(Project[Total (%)],MATCH(All[[#This Row],[Student No.]],Project[Student No.],0))),
    "Cannot find student!",
    IF(INDEX(Project[Total (%)],MATCH(All[[#This Row],[Student No.]],Project[Student No.],0))="",
      "",
      INDEX(Project[Total (%)],MATCH(All[[#This Row],[Student No.]],Project[Student No.],0)))
    ),
  "No student!")</f>
        <v/>
      </c>
      <c r="F12" s="201">
        <f>IF(All[[#This Row],[Wrote Def]], INDEX(#REF!, MATCH(All[[#This Row],[Student No.]],#REF!,0)),
  IF(All[[#This Row],[Wrote Exam]], INDEX(Exam[Total (%)], MATCH(All[[#This Row],[Student No.]], Exam[Student No.],0)),
    ""))</f>
        <v>16</v>
      </c>
      <c r="G12" s="18" t="str">
        <f>IF(AND(All[[#This Row],[Student]], All[[#This Row],[All Components]]),
    IF(NOT(All[Has Test Mark]),ROUND((All[[#This Row],[Engagement]]*$C$5+All[[#This Row],[Project]]*$E$5+All[[#This Row],[Exam/Def]]*$F$5)/($C$5+$E$5+$F$5),0),
      ROUND((All[[#This Row],[Engagement]]*$C$5+All[[#This Row],[Test]]*$D$5+All[[#This Row],[Project]]*$E$5+All[[#This Row],[Exam/Def]]*$F$5)/($C$5+$D$5+$E$5+$F$5),0)
  ),
  "")</f>
        <v/>
      </c>
      <c r="H12" s="18" t="str">
        <f>All[[#This Row],[Course Mark]]</f>
        <v/>
      </c>
      <c r="I12" s="18" t="str">
        <f>IF(All[[#This Row],[Wrote Sup]], INDEX(#REF!,MATCH(All[[#This Row],[Student No.]],#REF!,0)), "")</f>
        <v/>
      </c>
      <c r="J12" s="18" t="str">
        <f>IF(AND(All[[#This Row],[Student]],ISNUMBER(All[[#This Row],[Final]])),_xlfn.RANK.EQ(All[[#This Row],[Final]],All[Final]),"")</f>
        <v/>
      </c>
      <c r="K12" s="31"/>
      <c r="L12" s="18" t="str">
        <f>IF(All[[#This Row],[Student]], IF(All[Wrote Sup],All[Sup],All[[#This Row],[Final]]),"No student")</f>
        <v/>
      </c>
      <c r="M12" s="18" t="str">
        <f>IF(All[[#This Row],[Final]]="","",
  IF(All[[#This Row],[Wrote Sup]],
    IF(All[[#This Row],[Sup]]&lt;50,"FAL","PAS"),
  IF(All[[#This Row],[Exam/Def]]&lt;35, "FSB",
    IF(All[[#This Row],[Final]]&lt;50,"FAL",
    IF(All[[#This Row],[Final]]&gt;=50,"PAS",
  "Error!")))))</f>
        <v/>
      </c>
      <c r="N12" s="18">
        <f>IF(All[[#This Row],[Student]], _xlfn.IFNA(INDEX(captured[Course Mark],MATCH(All[[#This Row],[Student No.]],captured[ID_TEXT],0) &amp; ""), "Cannot find student!"),"No student!")</f>
        <v>14</v>
      </c>
      <c r="O12" s="189" t="str">
        <f>IF(All[[#This Row],[Student]], _xlfn.IFNA(INDEX(captured[Grade],MATCH(All[[#This Row],[Student No.]],captured[ID_TEXT],0)), "Cannot find student!") &amp; "","No student!")</f>
        <v>FSB</v>
      </c>
      <c r="P12"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2" s="18" t="str">
        <f>IF(All[[#This Row],[My Grade]]&lt;&gt;"",IF(All[[#This Row],[My Grade]]&lt;&gt;All[[#This Row],[Cap Grade]],TRUE,FALSE),"")</f>
        <v/>
      </c>
      <c r="R12" s="18" t="b">
        <f>IF(NOT(ISBLANK(All[[#This Row],[Student No.]])),OR(ISNUMBER(FIND("FSB",All[[#This Row],[My Grade]])),ISNUMBER(FIND("PAS", All[[#This Row],[My Grade]])),ISNUMBER(FIND("FAL",All[[#This Row],[My Grade]])),ISNUMBER(FIND("FAB", All[[#This Row],[My Grade]])),COUNTBLANK(All[[#This Row],[My Grade]])=1),FALSE)</f>
        <v>1</v>
      </c>
      <c r="S12" s="18" t="b">
        <f>IF(All[[#This Row],[Student No.]]&lt;&gt;"", TRUE, FALSE)</f>
        <v>1</v>
      </c>
      <c r="T12" s="18" t="b">
        <f>IF(COUNTBLANK(All[[#This Row],[Engagement]:[Exam/Def]])=0,TRUE, FALSE)</f>
        <v>0</v>
      </c>
      <c r="U12" s="18" t="b">
        <f>IF(ISNUMBER(All[[#This Row],[Test]]),TRUE,FALSE)</f>
        <v>0</v>
      </c>
      <c r="V12" s="18" t="e">
        <f>IF((INDEX(Test[Total (%)],MATCH(All[[#This Row],[Student No.]],Test[Student No.],0)))="ABS", TRUE, FALSE)</f>
        <v>#N/A</v>
      </c>
      <c r="W12" s="18" t="b">
        <f>IF(ISNUMBER(INDEX(Exam[Total (%)],MATCH(All[[#This Row],[Student No.]],Exam[Student No.],0))), TRUE, FALSE)</f>
        <v>1</v>
      </c>
      <c r="X12" s="18" t="b">
        <f>IF(ISNUMBER(INDEX(#REF!,MATCH(All[[#This Row],[Student No.]],#REF!,0))),TRUE,FALSE)</f>
        <v>0</v>
      </c>
      <c r="Y12" s="18" t="b">
        <f>IF(ISNUMBER(INDEX(#REF!,MATCH(All[[#This Row],[Student No.]],#REF!,0))),TRUE,FALSE)</f>
        <v>0</v>
      </c>
      <c r="Z12" s="18" t="b">
        <f>IF(All[[#This Row],[Wrote Def]],
IF(INDEX(#REF!, MATCH(All[[#This Row],[Student No.]],#REF!,0))&lt;&gt;All[[#This Row],[Exam/Def]], TRUE, FALSE),
  IF(All[[#This Row],[Wrote Exam]], IF(INDEX(Exam[Total (%)], MATCH(All[[#This Row],[Student No.]],Exam[Student No.],0))&lt;&gt;All[[#This Row],[Exam/Def]],TRUE,FALSE), FALSE))</f>
        <v>0</v>
      </c>
      <c r="AA12" s="18" t="b">
        <f xml:space="preserve">    IF(AND(All[[#This Row],[Exam/Def]]&lt;35,OR(All[[#This Row],[Wrote Exam]],All[[#This Row],[Wrote Def]])), TRUE,FALSE)</f>
        <v>1</v>
      </c>
      <c r="AB12" s="18" t="b">
        <f>IF(AND(All[[#This Row],[Exam &lt; 35%]],All[[#This Row],[Final]]&gt;=50),TRUE,FALSE)</f>
        <v>1</v>
      </c>
      <c r="AC12" s="18"/>
    </row>
    <row r="13" spans="1:37" ht="43.2">
      <c r="A13" s="17" t="s">
        <v>277</v>
      </c>
      <c r="B13" s="17" t="s">
        <v>454</v>
      </c>
      <c r="C13" s="100" t="e">
        <f>IF(All[[#This Row],[Student]],
  IF(ISNA(INDEX(#REF!,MATCH(All[[#This Row],[Student No.]],#REF!,0))),
    "Cannot find student!",
    IF(INDEX(#REF!,MATCH(All[[#This Row],[Student No.]],#REF!,0))="",
      "",
      INDEX(#REF!,MATCH(All[[#This Row],[Student No.]],#REF!,0)))
    ),
  "No student!")</f>
        <v>#REF!</v>
      </c>
      <c r="D13"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3" s="18" t="str">
        <f>IF(All[[#This Row],[Student]],
  IF(ISNA(INDEX(Project[Total (%)],MATCH(All[[#This Row],[Student No.]],Project[Student No.],0))),
    "Cannot find student!",
    IF(INDEX(Project[Total (%)],MATCH(All[[#This Row],[Student No.]],Project[Student No.],0))="",
      "",
      INDEX(Project[Total (%)],MATCH(All[[#This Row],[Student No.]],Project[Student No.],0)))
    ),
  "No student!")</f>
        <v/>
      </c>
      <c r="F13" s="201" t="str">
        <f>IF(All[[#This Row],[Wrote Def]], INDEX(#REF!, MATCH(All[[#This Row],[Student No.]],#REF!,0)),
  IF(All[[#This Row],[Wrote Exam]], INDEX(Exam[Total (%)], MATCH(All[[#This Row],[Student No.]], Exam[Student No.],0)),
    ""))</f>
        <v/>
      </c>
      <c r="G13" s="18" t="str">
        <f>IF(AND(All[[#This Row],[Student]], All[[#This Row],[All Components]]),
    IF(NOT(All[Has Test Mark]),ROUND((All[[#This Row],[Engagement]]*$C$5+All[[#This Row],[Project]]*$E$5+All[[#This Row],[Exam/Def]]*$F$5)/($C$5+$E$5+$F$5),0),
      ROUND((All[[#This Row],[Engagement]]*$C$5+All[[#This Row],[Test]]*$D$5+All[[#This Row],[Project]]*$E$5+All[[#This Row],[Exam/Def]]*$F$5)/($C$5+$D$5+$E$5+$F$5),0)
  ),
  "")</f>
        <v/>
      </c>
      <c r="H13" s="18" t="str">
        <f>All[[#This Row],[Course Mark]]</f>
        <v/>
      </c>
      <c r="I13" s="18" t="str">
        <f>IF(All[[#This Row],[Wrote Sup]], INDEX(#REF!,MATCH(All[[#This Row],[Student No.]],#REF!,0)), "")</f>
        <v/>
      </c>
      <c r="J13" s="18" t="str">
        <f>IF(AND(All[[#This Row],[Student]],ISNUMBER(All[[#This Row],[Final]])),_xlfn.RANK.EQ(All[[#This Row],[Final]],All[Final]),"")</f>
        <v/>
      </c>
      <c r="K13" s="31"/>
      <c r="L13" s="18" t="str">
        <f>IF(All[[#This Row],[Student]], IF(All[Wrote Sup],All[Sup],All[[#This Row],[Final]]),"No student")</f>
        <v/>
      </c>
      <c r="M13" s="18" t="str">
        <f>IF(All[[#This Row],[Final]]="","",
  IF(All[[#This Row],[Wrote Sup]],
    IF(All[[#This Row],[Sup]]&lt;50,"FAL","PAS"),
  IF(All[[#This Row],[Exam/Def]]&lt;35, "FSB",
    IF(All[[#This Row],[Final]]&lt;50,"FAL",
    IF(All[[#This Row],[Final]]&gt;=50,"PAS",
  "Error!")))))</f>
        <v/>
      </c>
      <c r="N13" s="18">
        <f>IF(All[[#This Row],[Student]], _xlfn.IFNA(INDEX(captured[Course Mark],MATCH(All[[#This Row],[Student No.]],captured[ID_TEXT],0) &amp; ""), "Cannot find student!"),"No student!")</f>
        <v>26</v>
      </c>
      <c r="O13" s="189" t="str">
        <f>IF(All[[#This Row],[Student]], _xlfn.IFNA(INDEX(captured[Grade],MATCH(All[[#This Row],[Student No.]],captured[ID_TEXT],0)), "Cannot find student!") &amp; "","No student!")</f>
        <v>FSB</v>
      </c>
      <c r="P13"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3" s="18" t="str">
        <f>IF(All[[#This Row],[My Grade]]&lt;&gt;"",IF(All[[#This Row],[My Grade]]&lt;&gt;All[[#This Row],[Cap Grade]],TRUE,FALSE),"")</f>
        <v/>
      </c>
      <c r="R13" s="18" t="b">
        <f>IF(NOT(ISBLANK(All[[#This Row],[Student No.]])),OR(ISNUMBER(FIND("FSB",All[[#This Row],[My Grade]])),ISNUMBER(FIND("PAS", All[[#This Row],[My Grade]])),ISNUMBER(FIND("FAL",All[[#This Row],[My Grade]])),ISNUMBER(FIND("FAB", All[[#This Row],[My Grade]])),COUNTBLANK(All[[#This Row],[My Grade]])=1),FALSE)</f>
        <v>1</v>
      </c>
      <c r="S13" s="18" t="b">
        <f>IF(All[[#This Row],[Student No.]]&lt;&gt;"", TRUE, FALSE)</f>
        <v>1</v>
      </c>
      <c r="T13" s="18" t="b">
        <f>IF(COUNTBLANK(All[[#This Row],[Engagement]:[Exam/Def]])=0,TRUE, FALSE)</f>
        <v>0</v>
      </c>
      <c r="U13" s="18" t="b">
        <f>IF(ISNUMBER(All[[#This Row],[Test]]),TRUE,FALSE)</f>
        <v>0</v>
      </c>
      <c r="V13" s="18" t="e">
        <f>IF((INDEX(Test[Total (%)],MATCH(All[[#This Row],[Student No.]],Test[Student No.],0)))="ABS", TRUE, FALSE)</f>
        <v>#N/A</v>
      </c>
      <c r="W13" s="18" t="b">
        <f>IF(ISNUMBER(INDEX(Exam[Total (%)],MATCH(All[[#This Row],[Student No.]],Exam[Student No.],0))), TRUE, FALSE)</f>
        <v>0</v>
      </c>
      <c r="X13" s="18" t="b">
        <f>IF(ISNUMBER(INDEX(#REF!,MATCH(All[[#This Row],[Student No.]],#REF!,0))),TRUE,FALSE)</f>
        <v>0</v>
      </c>
      <c r="Y13" s="18" t="b">
        <f>IF(ISNUMBER(INDEX(#REF!,MATCH(All[[#This Row],[Student No.]],#REF!,0))),TRUE,FALSE)</f>
        <v>0</v>
      </c>
      <c r="Z13" s="18" t="b">
        <f>IF(All[[#This Row],[Wrote Def]],
IF(INDEX(#REF!, MATCH(All[[#This Row],[Student No.]],#REF!,0))&lt;&gt;All[[#This Row],[Exam/Def]], TRUE, FALSE),
  IF(All[[#This Row],[Wrote Exam]], IF(INDEX(Exam[Total (%)], MATCH(All[[#This Row],[Student No.]],Exam[Student No.],0))&lt;&gt;All[[#This Row],[Exam/Def]],TRUE,FALSE), FALSE))</f>
        <v>0</v>
      </c>
      <c r="AA13" s="18" t="b">
        <f xml:space="preserve">    IF(AND(All[[#This Row],[Exam/Def]]&lt;35,OR(All[[#This Row],[Wrote Exam]],All[[#This Row],[Wrote Def]])), TRUE,FALSE)</f>
        <v>0</v>
      </c>
      <c r="AB13" s="18" t="b">
        <f>IF(AND(All[[#This Row],[Exam &lt; 35%]],All[[#This Row],[Final]]&gt;=50),TRUE,FALSE)</f>
        <v>0</v>
      </c>
      <c r="AC13" s="18"/>
      <c r="AE13" s="18"/>
      <c r="AF13" s="18"/>
      <c r="AG13" s="18"/>
      <c r="AH13" s="18"/>
    </row>
    <row r="14" spans="1:37">
      <c r="A14" s="17" t="s">
        <v>278</v>
      </c>
      <c r="B14" s="17" t="s">
        <v>455</v>
      </c>
      <c r="C14" s="100" t="e">
        <f>IF(All[[#This Row],[Student]],
  IF(ISNA(INDEX(#REF!,MATCH(All[[#This Row],[Student No.]],#REF!,0))),
    "Cannot find student!",
    IF(INDEX(#REF!,MATCH(All[[#This Row],[Student No.]],#REF!,0))="",
      "",
      INDEX(#REF!,MATCH(All[[#This Row],[Student No.]],#REF!,0)))
    ),
  "No student!")</f>
        <v>#REF!</v>
      </c>
      <c r="D14"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4" s="18" t="str">
        <f>IF(All[[#This Row],[Student]],
  IF(ISNA(INDEX(Project[Total (%)],MATCH(All[[#This Row],[Student No.]],Project[Student No.],0))),
    "Cannot find student!",
    IF(INDEX(Project[Total (%)],MATCH(All[[#This Row],[Student No.]],Project[Student No.],0))="",
      "",
      INDEX(Project[Total (%)],MATCH(All[[#This Row],[Student No.]],Project[Student No.],0)))
    ),
  "No student!")</f>
        <v/>
      </c>
      <c r="F14" s="201">
        <f>IF(All[[#This Row],[Wrote Def]], INDEX(#REF!, MATCH(All[[#This Row],[Student No.]],#REF!,0)),
  IF(All[[#This Row],[Wrote Exam]], INDEX(Exam[Total (%)], MATCH(All[[#This Row],[Student No.]], Exam[Student No.],0)),
    ""))</f>
        <v>17</v>
      </c>
      <c r="G14" s="18" t="str">
        <f>IF(AND(All[[#This Row],[Student]], All[[#This Row],[All Components]]),
    IF(NOT(All[Has Test Mark]),ROUND((All[[#This Row],[Engagement]]*$C$5+All[[#This Row],[Project]]*$E$5+All[[#This Row],[Exam/Def]]*$F$5)/($C$5+$E$5+$F$5),0),
      ROUND((All[[#This Row],[Engagement]]*$C$5+All[[#This Row],[Test]]*$D$5+All[[#This Row],[Project]]*$E$5+All[[#This Row],[Exam/Def]]*$F$5)/($C$5+$D$5+$E$5+$F$5),0)
  ),
  "")</f>
        <v/>
      </c>
      <c r="H14" s="18" t="str">
        <f>All[[#This Row],[Course Mark]]</f>
        <v/>
      </c>
      <c r="I14" s="18" t="str">
        <f>IF(All[[#This Row],[Wrote Sup]], INDEX(#REF!,MATCH(All[[#This Row],[Student No.]],#REF!,0)), "")</f>
        <v/>
      </c>
      <c r="J14" s="18" t="str">
        <f>IF(AND(All[[#This Row],[Student]],ISNUMBER(All[[#This Row],[Final]])),_xlfn.RANK.EQ(All[[#This Row],[Final]],All[Final]),"")</f>
        <v/>
      </c>
      <c r="K14" s="31"/>
      <c r="L14" s="18" t="str">
        <f>IF(All[[#This Row],[Student]], IF(All[Wrote Sup],All[Sup],All[[#This Row],[Final]]),"No student")</f>
        <v/>
      </c>
      <c r="M14" s="18" t="str">
        <f>IF(All[[#This Row],[Final]]="","",
  IF(All[[#This Row],[Wrote Sup]],
    IF(All[[#This Row],[Sup]]&lt;50,"FAL","PAS"),
  IF(All[[#This Row],[Exam/Def]]&lt;35, "FSB",
    IF(All[[#This Row],[Final]]&lt;50,"FAL",
    IF(All[[#This Row],[Final]]&gt;=50,"PAS",
  "Error!")))))</f>
        <v/>
      </c>
      <c r="N14" s="18">
        <f>IF(All[[#This Row],[Student]], _xlfn.IFNA(INDEX(captured[Course Mark],MATCH(All[[#This Row],[Student No.]],captured[ID_TEXT],0) &amp; ""), "Cannot find student!"),"No student!")</f>
        <v>34</v>
      </c>
      <c r="O14" s="189" t="str">
        <f>IF(All[[#This Row],[Student]], _xlfn.IFNA(INDEX(captured[Grade],MATCH(All[[#This Row],[Student No.]],captured[ID_TEXT],0)), "Cannot find student!") &amp; "","No student!")</f>
        <v>FSB</v>
      </c>
      <c r="P14"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4" s="18" t="str">
        <f>IF(All[[#This Row],[My Grade]]&lt;&gt;"",IF(All[[#This Row],[My Grade]]&lt;&gt;All[[#This Row],[Cap Grade]],TRUE,FALSE),"")</f>
        <v/>
      </c>
      <c r="R14" s="18" t="b">
        <f>IF(NOT(ISBLANK(All[[#This Row],[Student No.]])),OR(ISNUMBER(FIND("FSB",All[[#This Row],[My Grade]])),ISNUMBER(FIND("PAS", All[[#This Row],[My Grade]])),ISNUMBER(FIND("FAL",All[[#This Row],[My Grade]])),ISNUMBER(FIND("FAB", All[[#This Row],[My Grade]])),COUNTBLANK(All[[#This Row],[My Grade]])=1),FALSE)</f>
        <v>1</v>
      </c>
      <c r="S14" s="18" t="b">
        <f>IF(All[[#This Row],[Student No.]]&lt;&gt;"", TRUE, FALSE)</f>
        <v>1</v>
      </c>
      <c r="T14" s="18" t="b">
        <f>IF(COUNTBLANK(All[[#This Row],[Engagement]:[Exam/Def]])=0,TRUE, FALSE)</f>
        <v>0</v>
      </c>
      <c r="U14" s="18" t="b">
        <f>IF(ISNUMBER(All[[#This Row],[Test]]),TRUE,FALSE)</f>
        <v>0</v>
      </c>
      <c r="V14" s="18" t="b">
        <f>IF((INDEX(Test[Total (%)],MATCH(All[[#This Row],[Student No.]],Test[Student No.],0)))="ABS", TRUE, FALSE)</f>
        <v>0</v>
      </c>
      <c r="W14" s="18" t="b">
        <f>IF(ISNUMBER(INDEX(Exam[Total (%)],MATCH(All[[#This Row],[Student No.]],Exam[Student No.],0))), TRUE, FALSE)</f>
        <v>1</v>
      </c>
      <c r="X14" s="18" t="b">
        <f>IF(ISNUMBER(INDEX(#REF!,MATCH(All[[#This Row],[Student No.]],#REF!,0))),TRUE,FALSE)</f>
        <v>0</v>
      </c>
      <c r="Y14" s="18" t="b">
        <f>IF(ISNUMBER(INDEX(#REF!,MATCH(All[[#This Row],[Student No.]],#REF!,0))),TRUE,FALSE)</f>
        <v>0</v>
      </c>
      <c r="Z14" s="18" t="b">
        <f>IF(All[[#This Row],[Wrote Def]],
IF(INDEX(#REF!, MATCH(All[[#This Row],[Student No.]],#REF!,0))&lt;&gt;All[[#This Row],[Exam/Def]], TRUE, FALSE),
  IF(All[[#This Row],[Wrote Exam]], IF(INDEX(Exam[Total (%)], MATCH(All[[#This Row],[Student No.]],Exam[Student No.],0))&lt;&gt;All[[#This Row],[Exam/Def]],TRUE,FALSE), FALSE))</f>
        <v>0</v>
      </c>
      <c r="AA14" s="18" t="b">
        <f xml:space="preserve">    IF(AND(All[[#This Row],[Exam/Def]]&lt;35,OR(All[[#This Row],[Wrote Exam]],All[[#This Row],[Wrote Def]])), TRUE,FALSE)</f>
        <v>1</v>
      </c>
      <c r="AB14" s="18" t="b">
        <f>IF(AND(All[[#This Row],[Exam &lt; 35%]],All[[#This Row],[Final]]&gt;=50),TRUE,FALSE)</f>
        <v>1</v>
      </c>
      <c r="AC14" s="18"/>
    </row>
    <row r="15" spans="1:37">
      <c r="A15" s="17" t="s">
        <v>279</v>
      </c>
      <c r="B15" s="17" t="s">
        <v>456</v>
      </c>
      <c r="C15" s="100" t="e">
        <f>IF(All[[#This Row],[Student]],
  IF(ISNA(INDEX(#REF!,MATCH(All[[#This Row],[Student No.]],#REF!,0))),
    "Cannot find student!",
    IF(INDEX(#REF!,MATCH(All[[#This Row],[Student No.]],#REF!,0))="",
      "",
      INDEX(#REF!,MATCH(All[[#This Row],[Student No.]],#REF!,0)))
    ),
  "No student!")</f>
        <v>#REF!</v>
      </c>
      <c r="D15"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5" s="18" t="str">
        <f>IF(All[[#This Row],[Student]],
  IF(ISNA(INDEX(Project[Total (%)],MATCH(All[[#This Row],[Student No.]],Project[Student No.],0))),
    "Cannot find student!",
    IF(INDEX(Project[Total (%)],MATCH(All[[#This Row],[Student No.]],Project[Student No.],0))="",
      "",
      INDEX(Project[Total (%)],MATCH(All[[#This Row],[Student No.]],Project[Student No.],0)))
    ),
  "No student!")</f>
        <v/>
      </c>
      <c r="F15" s="201">
        <f>IF(All[[#This Row],[Wrote Def]], INDEX(#REF!, MATCH(All[[#This Row],[Student No.]],#REF!,0)),
  IF(All[[#This Row],[Wrote Exam]], INDEX(Exam[Total (%)], MATCH(All[[#This Row],[Student No.]], Exam[Student No.],0)),
    ""))</f>
        <v>22</v>
      </c>
      <c r="G15" s="18" t="str">
        <f>IF(AND(All[[#This Row],[Student]], All[[#This Row],[All Components]]),
    IF(NOT(All[Has Test Mark]),ROUND((All[[#This Row],[Engagement]]*$C$5+All[[#This Row],[Project]]*$E$5+All[[#This Row],[Exam/Def]]*$F$5)/($C$5+$E$5+$F$5),0),
      ROUND((All[[#This Row],[Engagement]]*$C$5+All[[#This Row],[Test]]*$D$5+All[[#This Row],[Project]]*$E$5+All[[#This Row],[Exam/Def]]*$F$5)/($C$5+$D$5+$E$5+$F$5),0)
  ),
  "")</f>
        <v/>
      </c>
      <c r="H15" s="18" t="str">
        <f>All[[#This Row],[Course Mark]]</f>
        <v/>
      </c>
      <c r="I15" s="18" t="str">
        <f>IF(All[[#This Row],[Wrote Sup]], INDEX(#REF!,MATCH(All[[#This Row],[Student No.]],#REF!,0)), "")</f>
        <v/>
      </c>
      <c r="J15" s="18" t="str">
        <f>IF(AND(All[[#This Row],[Student]],ISNUMBER(All[[#This Row],[Final]])),_xlfn.RANK.EQ(All[[#This Row],[Final]],All[Final]),"")</f>
        <v/>
      </c>
      <c r="K15" s="31"/>
      <c r="L15" s="18" t="str">
        <f>IF(All[[#This Row],[Student]], IF(All[Wrote Sup],All[Sup],All[[#This Row],[Final]]),"No student")</f>
        <v/>
      </c>
      <c r="M15" s="18" t="str">
        <f>IF(All[[#This Row],[Final]]="","",
  IF(All[[#This Row],[Wrote Sup]],
    IF(All[[#This Row],[Sup]]&lt;50,"FAL","PAS"),
  IF(All[[#This Row],[Exam/Def]]&lt;35, "FSB",
    IF(All[[#This Row],[Final]]&lt;50,"FAL",
    IF(All[[#This Row],[Final]]&gt;=50,"PAS",
  "Error!")))))</f>
        <v/>
      </c>
      <c r="N15" s="18">
        <f>IF(All[[#This Row],[Student]], _xlfn.IFNA(INDEX(captured[Course Mark],MATCH(All[[#This Row],[Student No.]],captured[ID_TEXT],0) &amp; ""), "Cannot find student!"),"No student!")</f>
        <v>43</v>
      </c>
      <c r="O15" s="189" t="str">
        <f>IF(All[[#This Row],[Student]], _xlfn.IFNA(INDEX(captured[Grade],MATCH(All[[#This Row],[Student No.]],captured[ID_TEXT],0)), "Cannot find student!") &amp; "","No student!")</f>
        <v>FSB</v>
      </c>
      <c r="P15"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5" s="18" t="str">
        <f>IF(All[[#This Row],[My Grade]]&lt;&gt;"",IF(All[[#This Row],[My Grade]]&lt;&gt;All[[#This Row],[Cap Grade]],TRUE,FALSE),"")</f>
        <v/>
      </c>
      <c r="R15" s="18" t="b">
        <f>IF(NOT(ISBLANK(All[[#This Row],[Student No.]])),OR(ISNUMBER(FIND("FSB",All[[#This Row],[My Grade]])),ISNUMBER(FIND("PAS", All[[#This Row],[My Grade]])),ISNUMBER(FIND("FAL",All[[#This Row],[My Grade]])),ISNUMBER(FIND("FAB", All[[#This Row],[My Grade]])),COUNTBLANK(All[[#This Row],[My Grade]])=1),FALSE)</f>
        <v>1</v>
      </c>
      <c r="S15" s="18" t="b">
        <f>IF(All[[#This Row],[Student No.]]&lt;&gt;"", TRUE, FALSE)</f>
        <v>1</v>
      </c>
      <c r="T15" s="18" t="b">
        <f>IF(COUNTBLANK(All[[#This Row],[Engagement]:[Exam/Def]])=0,TRUE, FALSE)</f>
        <v>0</v>
      </c>
      <c r="U15" s="18" t="b">
        <f>IF(ISNUMBER(All[[#This Row],[Test]]),TRUE,FALSE)</f>
        <v>0</v>
      </c>
      <c r="V15" s="18" t="b">
        <f>IF((INDEX(Test[Total (%)],MATCH(All[[#This Row],[Student No.]],Test[Student No.],0)))="ABS", TRUE, FALSE)</f>
        <v>0</v>
      </c>
      <c r="W15" s="18" t="b">
        <f>IF(ISNUMBER(INDEX(Exam[Total (%)],MATCH(All[[#This Row],[Student No.]],Exam[Student No.],0))), TRUE, FALSE)</f>
        <v>1</v>
      </c>
      <c r="X15" s="18" t="b">
        <f>IF(ISNUMBER(INDEX(#REF!,MATCH(All[[#This Row],[Student No.]],#REF!,0))),TRUE,FALSE)</f>
        <v>0</v>
      </c>
      <c r="Y15" s="18" t="b">
        <f>IF(ISNUMBER(INDEX(#REF!,MATCH(All[[#This Row],[Student No.]],#REF!,0))),TRUE,FALSE)</f>
        <v>0</v>
      </c>
      <c r="Z15" s="18" t="b">
        <f>IF(All[[#This Row],[Wrote Def]],
IF(INDEX(#REF!, MATCH(All[[#This Row],[Student No.]],#REF!,0))&lt;&gt;All[[#This Row],[Exam/Def]], TRUE, FALSE),
  IF(All[[#This Row],[Wrote Exam]], IF(INDEX(Exam[Total (%)], MATCH(All[[#This Row],[Student No.]],Exam[Student No.],0))&lt;&gt;All[[#This Row],[Exam/Def]],TRUE,FALSE), FALSE))</f>
        <v>0</v>
      </c>
      <c r="AA15" s="18" t="b">
        <f xml:space="preserve">    IF(AND(All[[#This Row],[Exam/Def]]&lt;35,OR(All[[#This Row],[Wrote Exam]],All[[#This Row],[Wrote Def]])), TRUE,FALSE)</f>
        <v>1</v>
      </c>
      <c r="AB15" s="18" t="b">
        <f>IF(AND(All[[#This Row],[Exam &lt; 35%]],All[[#This Row],[Final]]&gt;=50),TRUE,FALSE)</f>
        <v>1</v>
      </c>
      <c r="AC15" s="18"/>
    </row>
    <row r="16" spans="1:37">
      <c r="A16" s="17" t="s">
        <v>280</v>
      </c>
      <c r="B16" s="17" t="s">
        <v>457</v>
      </c>
      <c r="C16" s="100" t="e">
        <f>IF(All[[#This Row],[Student]],
  IF(ISNA(INDEX(#REF!,MATCH(All[[#This Row],[Student No.]],#REF!,0))),
    "Cannot find student!",
    IF(INDEX(#REF!,MATCH(All[[#This Row],[Student No.]],#REF!,0))="",
      "",
      INDEX(#REF!,MATCH(All[[#This Row],[Student No.]],#REF!,0)))
    ),
  "No student!")</f>
        <v>#REF!</v>
      </c>
      <c r="D16"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6" s="18" t="str">
        <f>IF(All[[#This Row],[Student]],
  IF(ISNA(INDEX(Project[Total (%)],MATCH(All[[#This Row],[Student No.]],Project[Student No.],0))),
    "Cannot find student!",
    IF(INDEX(Project[Total (%)],MATCH(All[[#This Row],[Student No.]],Project[Student No.],0))="",
      "",
      INDEX(Project[Total (%)],MATCH(All[[#This Row],[Student No.]],Project[Student No.],0)))
    ),
  "No student!")</f>
        <v/>
      </c>
      <c r="F16" s="201">
        <f>IF(All[[#This Row],[Wrote Def]], INDEX(#REF!, MATCH(All[[#This Row],[Student No.]],#REF!,0)),
  IF(All[[#This Row],[Wrote Exam]], INDEX(Exam[Total (%)], MATCH(All[[#This Row],[Student No.]], Exam[Student No.],0)),
    ""))</f>
        <v>20</v>
      </c>
      <c r="G16" s="18" t="str">
        <f>IF(AND(All[[#This Row],[Student]], All[[#This Row],[All Components]]),
    IF(NOT(All[Has Test Mark]),ROUND((All[[#This Row],[Engagement]]*$C$5+All[[#This Row],[Project]]*$E$5+All[[#This Row],[Exam/Def]]*$F$5)/($C$5+$E$5+$F$5),0),
      ROUND((All[[#This Row],[Engagement]]*$C$5+All[[#This Row],[Test]]*$D$5+All[[#This Row],[Project]]*$E$5+All[[#This Row],[Exam/Def]]*$F$5)/($C$5+$D$5+$E$5+$F$5),0)
  ),
  "")</f>
        <v/>
      </c>
      <c r="H16" s="18" t="str">
        <f>All[[#This Row],[Course Mark]]</f>
        <v/>
      </c>
      <c r="I16" s="18" t="str">
        <f>IF(All[[#This Row],[Wrote Sup]], INDEX(#REF!,MATCH(All[[#This Row],[Student No.]],#REF!,0)), "")</f>
        <v/>
      </c>
      <c r="J16" s="18" t="str">
        <f>IF(AND(All[[#This Row],[Student]],ISNUMBER(All[[#This Row],[Final]])),_xlfn.RANK.EQ(All[[#This Row],[Final]],All[Final]),"")</f>
        <v/>
      </c>
      <c r="K16" s="31"/>
      <c r="L16" s="18" t="str">
        <f>IF(All[[#This Row],[Student]], IF(All[Wrote Sup],All[Sup],All[[#This Row],[Final]]),"No student")</f>
        <v/>
      </c>
      <c r="M16" s="18" t="str">
        <f>IF(All[[#This Row],[Final]]="","",
  IF(All[[#This Row],[Wrote Sup]],
    IF(All[[#This Row],[Sup]]&lt;50,"FAL","PAS"),
  IF(All[[#This Row],[Exam/Def]]&lt;35, "FSB",
    IF(All[[#This Row],[Final]]&lt;50,"FAL",
    IF(All[[#This Row],[Final]]&gt;=50,"PAS",
  "Error!")))))</f>
        <v/>
      </c>
      <c r="N16" s="18">
        <f>IF(All[[#This Row],[Student]], _xlfn.IFNA(INDEX(captured[Course Mark],MATCH(All[[#This Row],[Student No.]],captured[ID_TEXT],0) &amp; ""), "Cannot find student!"),"No student!")</f>
        <v>17</v>
      </c>
      <c r="O16" s="189" t="str">
        <f>IF(All[[#This Row],[Student]], _xlfn.IFNA(INDEX(captured[Grade],MATCH(All[[#This Row],[Student No.]],captured[ID_TEXT],0)), "Cannot find student!") &amp; "","No student!")</f>
        <v>FSB</v>
      </c>
      <c r="P16"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6" s="18" t="str">
        <f>IF(All[[#This Row],[My Grade]]&lt;&gt;"",IF(All[[#This Row],[My Grade]]&lt;&gt;All[[#This Row],[Cap Grade]],TRUE,FALSE),"")</f>
        <v/>
      </c>
      <c r="R16" s="18" t="b">
        <f>IF(NOT(ISBLANK(All[[#This Row],[Student No.]])),OR(ISNUMBER(FIND("FSB",All[[#This Row],[My Grade]])),ISNUMBER(FIND("PAS", All[[#This Row],[My Grade]])),ISNUMBER(FIND("FAL",All[[#This Row],[My Grade]])),ISNUMBER(FIND("FAB", All[[#This Row],[My Grade]])),COUNTBLANK(All[[#This Row],[My Grade]])=1),FALSE)</f>
        <v>1</v>
      </c>
      <c r="S16" s="18" t="b">
        <f>IF(All[[#This Row],[Student No.]]&lt;&gt;"", TRUE, FALSE)</f>
        <v>1</v>
      </c>
      <c r="T16" s="18" t="b">
        <f>IF(COUNTBLANK(All[[#This Row],[Engagement]:[Exam/Def]])=0,TRUE, FALSE)</f>
        <v>0</v>
      </c>
      <c r="U16" s="18" t="b">
        <f>IF(ISNUMBER(All[[#This Row],[Test]]),TRUE,FALSE)</f>
        <v>0</v>
      </c>
      <c r="V16" s="18" t="b">
        <f>IF((INDEX(Test[Total (%)],MATCH(All[[#This Row],[Student No.]],Test[Student No.],0)))="ABS", TRUE, FALSE)</f>
        <v>0</v>
      </c>
      <c r="W16" s="18" t="b">
        <f>IF(ISNUMBER(INDEX(Exam[Total (%)],MATCH(All[[#This Row],[Student No.]],Exam[Student No.],0))), TRUE, FALSE)</f>
        <v>1</v>
      </c>
      <c r="X16" s="18" t="b">
        <f>IF(ISNUMBER(INDEX(#REF!,MATCH(All[[#This Row],[Student No.]],#REF!,0))),TRUE,FALSE)</f>
        <v>0</v>
      </c>
      <c r="Y16" s="18" t="b">
        <f>IF(ISNUMBER(INDEX(#REF!,MATCH(All[[#This Row],[Student No.]],#REF!,0))),TRUE,FALSE)</f>
        <v>0</v>
      </c>
      <c r="Z16" s="18" t="b">
        <f>IF(All[[#This Row],[Wrote Def]],
IF(INDEX(#REF!, MATCH(All[[#This Row],[Student No.]],#REF!,0))&lt;&gt;All[[#This Row],[Exam/Def]], TRUE, FALSE),
  IF(All[[#This Row],[Wrote Exam]], IF(INDEX(Exam[Total (%)], MATCH(All[[#This Row],[Student No.]],Exam[Student No.],0))&lt;&gt;All[[#This Row],[Exam/Def]],TRUE,FALSE), FALSE))</f>
        <v>0</v>
      </c>
      <c r="AA16" s="18" t="b">
        <f xml:space="preserve">    IF(AND(All[[#This Row],[Exam/Def]]&lt;35,OR(All[[#This Row],[Wrote Exam]],All[[#This Row],[Wrote Def]])), TRUE,FALSE)</f>
        <v>1</v>
      </c>
      <c r="AB16" s="18" t="b">
        <f>IF(AND(All[[#This Row],[Exam &lt; 35%]],All[[#This Row],[Final]]&gt;=50),TRUE,FALSE)</f>
        <v>1</v>
      </c>
      <c r="AC16" s="18"/>
    </row>
    <row r="17" spans="1:29" ht="43.2">
      <c r="A17" s="17" t="s">
        <v>281</v>
      </c>
      <c r="B17" s="17" t="s">
        <v>458</v>
      </c>
      <c r="C17" s="100" t="e">
        <f>IF(All[[#This Row],[Student]],
  IF(ISNA(INDEX(#REF!,MATCH(All[[#This Row],[Student No.]],#REF!,0))),
    "Cannot find student!",
    IF(INDEX(#REF!,MATCH(All[[#This Row],[Student No.]],#REF!,0))="",
      "",
      INDEX(#REF!,MATCH(All[[#This Row],[Student No.]],#REF!,0)))
    ),
  "No student!")</f>
        <v>#REF!</v>
      </c>
      <c r="D17"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7" s="18" t="str">
        <f>IF(All[[#This Row],[Student]],
  IF(ISNA(INDEX(Project[Total (%)],MATCH(All[[#This Row],[Student No.]],Project[Student No.],0))),
    "Cannot find student!",
    IF(INDEX(Project[Total (%)],MATCH(All[[#This Row],[Student No.]],Project[Student No.],0))="",
      "",
      INDEX(Project[Total (%)],MATCH(All[[#This Row],[Student No.]],Project[Student No.],0)))
    ),
  "No student!")</f>
        <v/>
      </c>
      <c r="F17" s="201">
        <f>IF(All[[#This Row],[Wrote Def]], INDEX(#REF!, MATCH(All[[#This Row],[Student No.]],#REF!,0)),
  IF(All[[#This Row],[Wrote Exam]], INDEX(Exam[Total (%)], MATCH(All[[#This Row],[Student No.]], Exam[Student No.],0)),
    ""))</f>
        <v>54</v>
      </c>
      <c r="G17" s="18" t="str">
        <f>IF(AND(All[[#This Row],[Student]], All[[#This Row],[All Components]]),
    IF(NOT(All[Has Test Mark]),ROUND((All[[#This Row],[Engagement]]*$C$5+All[[#This Row],[Project]]*$E$5+All[[#This Row],[Exam/Def]]*$F$5)/($C$5+$E$5+$F$5),0),
      ROUND((All[[#This Row],[Engagement]]*$C$5+All[[#This Row],[Test]]*$D$5+All[[#This Row],[Project]]*$E$5+All[[#This Row],[Exam/Def]]*$F$5)/($C$5+$D$5+$E$5+$F$5),0)
  ),
  "")</f>
        <v/>
      </c>
      <c r="H17" s="18" t="str">
        <f>All[[#This Row],[Course Mark]]</f>
        <v/>
      </c>
      <c r="I17" s="18" t="str">
        <f>IF(All[[#This Row],[Wrote Sup]], INDEX(#REF!,MATCH(All[[#This Row],[Student No.]],#REF!,0)), "")</f>
        <v/>
      </c>
      <c r="J17" s="18" t="str">
        <f>IF(AND(All[[#This Row],[Student]],ISNUMBER(All[[#This Row],[Final]])),_xlfn.RANK.EQ(All[[#This Row],[Final]],All[Final]),"")</f>
        <v/>
      </c>
      <c r="K17" s="31"/>
      <c r="L17" s="18" t="str">
        <f>IF(All[[#This Row],[Student]], IF(All[Wrote Sup],All[Sup],All[[#This Row],[Final]]),"No student")</f>
        <v/>
      </c>
      <c r="M17" s="18" t="str">
        <f>IF(All[[#This Row],[Final]]="","",
  IF(All[[#This Row],[Wrote Sup]],
    IF(All[[#This Row],[Sup]]&lt;50,"FAL","PAS"),
  IF(All[[#This Row],[Exam/Def]]&lt;35, "FSB",
    IF(All[[#This Row],[Final]]&lt;50,"FAL",
    IF(All[[#This Row],[Final]]&gt;=50,"PAS",
  "Error!")))))</f>
        <v/>
      </c>
      <c r="N17" s="18">
        <f>IF(All[[#This Row],[Student]], _xlfn.IFNA(INDEX(captured[Course Mark],MATCH(All[[#This Row],[Student No.]],captured[ID_TEXT],0) &amp; ""), "Cannot find student!"),"No student!")</f>
        <v>63</v>
      </c>
      <c r="O17" s="189" t="str">
        <f>IF(All[[#This Row],[Student]], _xlfn.IFNA(INDEX(captured[Grade],MATCH(All[[#This Row],[Student No.]],captured[ID_TEXT],0)), "Cannot find student!") &amp; "","No student!")</f>
        <v>PAS</v>
      </c>
      <c r="P17"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7" s="18" t="str">
        <f>IF(All[[#This Row],[My Grade]]&lt;&gt;"",IF(All[[#This Row],[My Grade]]&lt;&gt;All[[#This Row],[Cap Grade]],TRUE,FALSE),"")</f>
        <v/>
      </c>
      <c r="R17" s="18" t="b">
        <f>IF(NOT(ISBLANK(All[[#This Row],[Student No.]])),OR(ISNUMBER(FIND("FSB",All[[#This Row],[My Grade]])),ISNUMBER(FIND("PAS", All[[#This Row],[My Grade]])),ISNUMBER(FIND("FAL",All[[#This Row],[My Grade]])),ISNUMBER(FIND("FAB", All[[#This Row],[My Grade]])),COUNTBLANK(All[[#This Row],[My Grade]])=1),FALSE)</f>
        <v>1</v>
      </c>
      <c r="S17" s="18" t="b">
        <f>IF(All[[#This Row],[Student No.]]&lt;&gt;"", TRUE, FALSE)</f>
        <v>1</v>
      </c>
      <c r="T17" s="18" t="b">
        <f>IF(COUNTBLANK(All[[#This Row],[Engagement]:[Exam/Def]])=0,TRUE, FALSE)</f>
        <v>0</v>
      </c>
      <c r="U17" s="18" t="b">
        <f>IF(ISNUMBER(All[[#This Row],[Test]]),TRUE,FALSE)</f>
        <v>0</v>
      </c>
      <c r="V17" s="18" t="e">
        <f>IF((INDEX(Test[Total (%)],MATCH(All[[#This Row],[Student No.]],Test[Student No.],0)))="ABS", TRUE, FALSE)</f>
        <v>#N/A</v>
      </c>
      <c r="W17" s="18" t="b">
        <f>IF(ISNUMBER(INDEX(Exam[Total (%)],MATCH(All[[#This Row],[Student No.]],Exam[Student No.],0))), TRUE, FALSE)</f>
        <v>1</v>
      </c>
      <c r="X17" s="18" t="b">
        <f>IF(ISNUMBER(INDEX(#REF!,MATCH(All[[#This Row],[Student No.]],#REF!,0))),TRUE,FALSE)</f>
        <v>0</v>
      </c>
      <c r="Y17" s="18" t="b">
        <f>IF(ISNUMBER(INDEX(#REF!,MATCH(All[[#This Row],[Student No.]],#REF!,0))),TRUE,FALSE)</f>
        <v>0</v>
      </c>
      <c r="Z17" s="18" t="b">
        <f>IF(All[[#This Row],[Wrote Def]],
IF(INDEX(#REF!, MATCH(All[[#This Row],[Student No.]],#REF!,0))&lt;&gt;All[[#This Row],[Exam/Def]], TRUE, FALSE),
  IF(All[[#This Row],[Wrote Exam]], IF(INDEX(Exam[Total (%)], MATCH(All[[#This Row],[Student No.]],Exam[Student No.],0))&lt;&gt;All[[#This Row],[Exam/Def]],TRUE,FALSE), FALSE))</f>
        <v>0</v>
      </c>
      <c r="AA17" s="18" t="b">
        <f xml:space="preserve">    IF(AND(All[[#This Row],[Exam/Def]]&lt;35,OR(All[[#This Row],[Wrote Exam]],All[[#This Row],[Wrote Def]])), TRUE,FALSE)</f>
        <v>0</v>
      </c>
      <c r="AB17" s="18" t="b">
        <f>IF(AND(All[[#This Row],[Exam &lt; 35%]],All[[#This Row],[Final]]&gt;=50),TRUE,FALSE)</f>
        <v>0</v>
      </c>
      <c r="AC17" s="18"/>
    </row>
    <row r="18" spans="1:29" ht="43.2">
      <c r="A18" s="17" t="s">
        <v>282</v>
      </c>
      <c r="B18" s="17" t="s">
        <v>459</v>
      </c>
      <c r="C18" s="100" t="e">
        <f>IF(All[[#This Row],[Student]],
  IF(ISNA(INDEX(#REF!,MATCH(All[[#This Row],[Student No.]],#REF!,0))),
    "Cannot find student!",
    IF(INDEX(#REF!,MATCH(All[[#This Row],[Student No.]],#REF!,0))="",
      "",
      INDEX(#REF!,MATCH(All[[#This Row],[Student No.]],#REF!,0)))
    ),
  "No student!")</f>
        <v>#REF!</v>
      </c>
      <c r="D18"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8" s="18" t="str">
        <f>IF(All[[#This Row],[Student]],
  IF(ISNA(INDEX(Project[Total (%)],MATCH(All[[#This Row],[Student No.]],Project[Student No.],0))),
    "Cannot find student!",
    IF(INDEX(Project[Total (%)],MATCH(All[[#This Row],[Student No.]],Project[Student No.],0))="",
      "",
      INDEX(Project[Total (%)],MATCH(All[[#This Row],[Student No.]],Project[Student No.],0)))
    ),
  "No student!")</f>
        <v/>
      </c>
      <c r="F18" s="201">
        <f>IF(All[[#This Row],[Wrote Def]], INDEX(#REF!, MATCH(All[[#This Row],[Student No.]],#REF!,0)),
  IF(All[[#This Row],[Wrote Exam]], INDEX(Exam[Total (%)], MATCH(All[[#This Row],[Student No.]], Exam[Student No.],0)),
    ""))</f>
        <v>38</v>
      </c>
      <c r="G18" s="18" t="str">
        <f>IF(AND(All[[#This Row],[Student]], All[[#This Row],[All Components]]),
    IF(NOT(All[Has Test Mark]),ROUND((All[[#This Row],[Engagement]]*$C$5+All[[#This Row],[Project]]*$E$5+All[[#This Row],[Exam/Def]]*$F$5)/($C$5+$E$5+$F$5),0),
      ROUND((All[[#This Row],[Engagement]]*$C$5+All[[#This Row],[Test]]*$D$5+All[[#This Row],[Project]]*$E$5+All[[#This Row],[Exam/Def]]*$F$5)/($C$5+$D$5+$E$5+$F$5),0)
  ),
  "")</f>
        <v/>
      </c>
      <c r="H18" s="18" t="str">
        <f>All[[#This Row],[Course Mark]]</f>
        <v/>
      </c>
      <c r="I18" s="18" t="str">
        <f>IF(All[[#This Row],[Wrote Sup]], INDEX(#REF!,MATCH(All[[#This Row],[Student No.]],#REF!,0)), "")</f>
        <v/>
      </c>
      <c r="J18" s="18" t="str">
        <f>IF(AND(All[[#This Row],[Student]],ISNUMBER(All[[#This Row],[Final]])),_xlfn.RANK.EQ(All[[#This Row],[Final]],All[Final]),"")</f>
        <v/>
      </c>
      <c r="K18" s="31"/>
      <c r="L18" s="18" t="str">
        <f>IF(All[[#This Row],[Student]], IF(All[Wrote Sup],All[Sup],All[[#This Row],[Final]]),"No student")</f>
        <v/>
      </c>
      <c r="M18" s="18" t="str">
        <f>IF(All[[#This Row],[Final]]="","",
  IF(All[[#This Row],[Wrote Sup]],
    IF(All[[#This Row],[Sup]]&lt;50,"FAL","PAS"),
  IF(All[[#This Row],[Exam/Def]]&lt;35, "FSB",
    IF(All[[#This Row],[Final]]&lt;50,"FAL",
    IF(All[[#This Row],[Final]]&gt;=50,"PAS",
  "Error!")))))</f>
        <v/>
      </c>
      <c r="N18" s="18">
        <f>IF(All[[#This Row],[Student]], _xlfn.IFNA(INDEX(captured[Course Mark],MATCH(All[[#This Row],[Student No.]],captured[ID_TEXT],0) &amp; ""), "Cannot find student!"),"No student!")</f>
        <v>50</v>
      </c>
      <c r="O18" s="189" t="str">
        <f>IF(All[[#This Row],[Student]], _xlfn.IFNA(INDEX(captured[Grade],MATCH(All[[#This Row],[Student No.]],captured[ID_TEXT],0)), "Cannot find student!") &amp; "","No student!")</f>
        <v>PAS</v>
      </c>
      <c r="P18"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8" s="18" t="str">
        <f>IF(All[[#This Row],[My Grade]]&lt;&gt;"",IF(All[[#This Row],[My Grade]]&lt;&gt;All[[#This Row],[Cap Grade]],TRUE,FALSE),"")</f>
        <v/>
      </c>
      <c r="R18" s="18" t="b">
        <f>IF(NOT(ISBLANK(All[[#This Row],[Student No.]])),OR(ISNUMBER(FIND("FSB",All[[#This Row],[My Grade]])),ISNUMBER(FIND("PAS", All[[#This Row],[My Grade]])),ISNUMBER(FIND("FAL",All[[#This Row],[My Grade]])),ISNUMBER(FIND("FAB", All[[#This Row],[My Grade]])),COUNTBLANK(All[[#This Row],[My Grade]])=1),FALSE)</f>
        <v>1</v>
      </c>
      <c r="S18" s="18" t="b">
        <f>IF(All[[#This Row],[Student No.]]&lt;&gt;"", TRUE, FALSE)</f>
        <v>1</v>
      </c>
      <c r="T18" s="18" t="b">
        <f>IF(COUNTBLANK(All[[#This Row],[Engagement]:[Exam/Def]])=0,TRUE, FALSE)</f>
        <v>0</v>
      </c>
      <c r="U18" s="18" t="b">
        <f>IF(ISNUMBER(All[[#This Row],[Test]]),TRUE,FALSE)</f>
        <v>0</v>
      </c>
      <c r="V18" s="18" t="e">
        <f>IF((INDEX(Test[Total (%)],MATCH(All[[#This Row],[Student No.]],Test[Student No.],0)))="ABS", TRUE, FALSE)</f>
        <v>#N/A</v>
      </c>
      <c r="W18" s="18" t="b">
        <f>IF(ISNUMBER(INDEX(Exam[Total (%)],MATCH(All[[#This Row],[Student No.]],Exam[Student No.],0))), TRUE, FALSE)</f>
        <v>1</v>
      </c>
      <c r="X18" s="18" t="b">
        <f>IF(ISNUMBER(INDEX(#REF!,MATCH(All[[#This Row],[Student No.]],#REF!,0))),TRUE,FALSE)</f>
        <v>0</v>
      </c>
      <c r="Y18" s="18" t="b">
        <f>IF(ISNUMBER(INDEX(#REF!,MATCH(All[[#This Row],[Student No.]],#REF!,0))),TRUE,FALSE)</f>
        <v>0</v>
      </c>
      <c r="Z18" s="18" t="b">
        <f>IF(All[[#This Row],[Wrote Def]],
IF(INDEX(#REF!, MATCH(All[[#This Row],[Student No.]],#REF!,0))&lt;&gt;All[[#This Row],[Exam/Def]], TRUE, FALSE),
  IF(All[[#This Row],[Wrote Exam]], IF(INDEX(Exam[Total (%)], MATCH(All[[#This Row],[Student No.]],Exam[Student No.],0))&lt;&gt;All[[#This Row],[Exam/Def]],TRUE,FALSE), FALSE))</f>
        <v>0</v>
      </c>
      <c r="AA18" s="18" t="b">
        <f xml:space="preserve">    IF(AND(All[[#This Row],[Exam/Def]]&lt;35,OR(All[[#This Row],[Wrote Exam]],All[[#This Row],[Wrote Def]])), TRUE,FALSE)</f>
        <v>0</v>
      </c>
      <c r="AB18" s="18" t="b">
        <f>IF(AND(All[[#This Row],[Exam &lt; 35%]],All[[#This Row],[Final]]&gt;=50),TRUE,FALSE)</f>
        <v>0</v>
      </c>
      <c r="AC18" s="18"/>
    </row>
    <row r="19" spans="1:29" ht="43.2">
      <c r="A19" s="17" t="s">
        <v>283</v>
      </c>
      <c r="B19" s="17" t="s">
        <v>460</v>
      </c>
      <c r="C19" s="100" t="e">
        <f>IF(All[[#This Row],[Student]],
  IF(ISNA(INDEX(#REF!,MATCH(All[[#This Row],[Student No.]],#REF!,0))),
    "Cannot find student!",
    IF(INDEX(#REF!,MATCH(All[[#This Row],[Student No.]],#REF!,0))="",
      "",
      INDEX(#REF!,MATCH(All[[#This Row],[Student No.]],#REF!,0)))
    ),
  "No student!")</f>
        <v>#REF!</v>
      </c>
      <c r="D19"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9" s="18" t="str">
        <f>IF(All[[#This Row],[Student]],
  IF(ISNA(INDEX(Project[Total (%)],MATCH(All[[#This Row],[Student No.]],Project[Student No.],0))),
    "Cannot find student!",
    IF(INDEX(Project[Total (%)],MATCH(All[[#This Row],[Student No.]],Project[Student No.],0))="",
      "",
      INDEX(Project[Total (%)],MATCH(All[[#This Row],[Student No.]],Project[Student No.],0)))
    ),
  "No student!")</f>
        <v/>
      </c>
      <c r="F19" s="201">
        <f>IF(All[[#This Row],[Wrote Def]], INDEX(#REF!, MATCH(All[[#This Row],[Student No.]],#REF!,0)),
  IF(All[[#This Row],[Wrote Exam]], INDEX(Exam[Total (%)], MATCH(All[[#This Row],[Student No.]], Exam[Student No.],0)),
    ""))</f>
        <v>43</v>
      </c>
      <c r="G19" s="18" t="str">
        <f>IF(AND(All[[#This Row],[Student]], All[[#This Row],[All Components]]),
    IF(NOT(All[Has Test Mark]),ROUND((All[[#This Row],[Engagement]]*$C$5+All[[#This Row],[Project]]*$E$5+All[[#This Row],[Exam/Def]]*$F$5)/($C$5+$E$5+$F$5),0),
      ROUND((All[[#This Row],[Engagement]]*$C$5+All[[#This Row],[Test]]*$D$5+All[[#This Row],[Project]]*$E$5+All[[#This Row],[Exam/Def]]*$F$5)/($C$5+$D$5+$E$5+$F$5),0)
  ),
  "")</f>
        <v/>
      </c>
      <c r="H19" s="18" t="str">
        <f>All[[#This Row],[Course Mark]]</f>
        <v/>
      </c>
      <c r="I19" s="18" t="str">
        <f>IF(All[[#This Row],[Wrote Sup]], INDEX(#REF!,MATCH(All[[#This Row],[Student No.]],#REF!,0)), "")</f>
        <v/>
      </c>
      <c r="J19" s="18" t="str">
        <f>IF(AND(All[[#This Row],[Student]],ISNUMBER(All[[#This Row],[Final]])),_xlfn.RANK.EQ(All[[#This Row],[Final]],All[Final]),"")</f>
        <v/>
      </c>
      <c r="K19" s="31"/>
      <c r="L19" s="18" t="str">
        <f>IF(All[[#This Row],[Student]], IF(All[Wrote Sup],All[Sup],All[[#This Row],[Final]]),"No student")</f>
        <v/>
      </c>
      <c r="M19" s="18" t="str">
        <f>IF(All[[#This Row],[Final]]="","",
  IF(All[[#This Row],[Wrote Sup]],
    IF(All[[#This Row],[Sup]]&lt;50,"FAL","PAS"),
  IF(All[[#This Row],[Exam/Def]]&lt;35, "FSB",
    IF(All[[#This Row],[Final]]&lt;50,"FAL",
    IF(All[[#This Row],[Final]]&gt;=50,"PAS",
  "Error!")))))</f>
        <v/>
      </c>
      <c r="N19" s="18">
        <f>IF(All[[#This Row],[Student]], _xlfn.IFNA(INDEX(captured[Course Mark],MATCH(All[[#This Row],[Student No.]],captured[ID_TEXT],0) &amp; ""), "Cannot find student!"),"No student!")</f>
        <v>50</v>
      </c>
      <c r="O19" s="189" t="str">
        <f>IF(All[[#This Row],[Student]], _xlfn.IFNA(INDEX(captured[Grade],MATCH(All[[#This Row],[Student No.]],captured[ID_TEXT],0)), "Cannot find student!") &amp; "","No student!")</f>
        <v>PAS</v>
      </c>
      <c r="P19"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9" s="18" t="str">
        <f>IF(All[[#This Row],[My Grade]]&lt;&gt;"",IF(All[[#This Row],[My Grade]]&lt;&gt;All[[#This Row],[Cap Grade]],TRUE,FALSE),"")</f>
        <v/>
      </c>
      <c r="R19" s="18" t="b">
        <f>IF(NOT(ISBLANK(All[[#This Row],[Student No.]])),OR(ISNUMBER(FIND("FSB",All[[#This Row],[My Grade]])),ISNUMBER(FIND("PAS", All[[#This Row],[My Grade]])),ISNUMBER(FIND("FAL",All[[#This Row],[My Grade]])),ISNUMBER(FIND("FAB", All[[#This Row],[My Grade]])),COUNTBLANK(All[[#This Row],[My Grade]])=1),FALSE)</f>
        <v>1</v>
      </c>
      <c r="S19" s="18" t="b">
        <f>IF(All[[#This Row],[Student No.]]&lt;&gt;"", TRUE, FALSE)</f>
        <v>1</v>
      </c>
      <c r="T19" s="18" t="b">
        <f>IF(COUNTBLANK(All[[#This Row],[Engagement]:[Exam/Def]])=0,TRUE, FALSE)</f>
        <v>0</v>
      </c>
      <c r="U19" s="18" t="b">
        <f>IF(ISNUMBER(All[[#This Row],[Test]]),TRUE,FALSE)</f>
        <v>0</v>
      </c>
      <c r="V19" s="18" t="e">
        <f>IF((INDEX(Test[Total (%)],MATCH(All[[#This Row],[Student No.]],Test[Student No.],0)))="ABS", TRUE, FALSE)</f>
        <v>#N/A</v>
      </c>
      <c r="W19" s="18" t="b">
        <f>IF(ISNUMBER(INDEX(Exam[Total (%)],MATCH(All[[#This Row],[Student No.]],Exam[Student No.],0))), TRUE, FALSE)</f>
        <v>1</v>
      </c>
      <c r="X19" s="18" t="b">
        <f>IF(ISNUMBER(INDEX(#REF!,MATCH(All[[#This Row],[Student No.]],#REF!,0))),TRUE,FALSE)</f>
        <v>0</v>
      </c>
      <c r="Y19" s="18" t="b">
        <f>IF(ISNUMBER(INDEX(#REF!,MATCH(All[[#This Row],[Student No.]],#REF!,0))),TRUE,FALSE)</f>
        <v>0</v>
      </c>
      <c r="Z19" s="18" t="b">
        <f>IF(All[[#This Row],[Wrote Def]],
IF(INDEX(#REF!, MATCH(All[[#This Row],[Student No.]],#REF!,0))&lt;&gt;All[[#This Row],[Exam/Def]], TRUE, FALSE),
  IF(All[[#This Row],[Wrote Exam]], IF(INDEX(Exam[Total (%)], MATCH(All[[#This Row],[Student No.]],Exam[Student No.],0))&lt;&gt;All[[#This Row],[Exam/Def]],TRUE,FALSE), FALSE))</f>
        <v>0</v>
      </c>
      <c r="AA19" s="18" t="b">
        <f xml:space="preserve">    IF(AND(All[[#This Row],[Exam/Def]]&lt;35,OR(All[[#This Row],[Wrote Exam]],All[[#This Row],[Wrote Def]])), TRUE,FALSE)</f>
        <v>0</v>
      </c>
      <c r="AB19" s="18" t="b">
        <f>IF(AND(All[[#This Row],[Exam &lt; 35%]],All[[#This Row],[Final]]&gt;=50),TRUE,FALSE)</f>
        <v>0</v>
      </c>
      <c r="AC19" s="18"/>
    </row>
    <row r="20" spans="1:29" ht="43.2">
      <c r="A20" s="17" t="s">
        <v>284</v>
      </c>
      <c r="B20" s="17" t="s">
        <v>461</v>
      </c>
      <c r="C20" s="100" t="e">
        <f>IF(All[[#This Row],[Student]],
  IF(ISNA(INDEX(#REF!,MATCH(All[[#This Row],[Student No.]],#REF!,0))),
    "Cannot find student!",
    IF(INDEX(#REF!,MATCH(All[[#This Row],[Student No.]],#REF!,0))="",
      "",
      INDEX(#REF!,MATCH(All[[#This Row],[Student No.]],#REF!,0)))
    ),
  "No student!")</f>
        <v>#REF!</v>
      </c>
      <c r="D20"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20" s="18" t="str">
        <f>IF(All[[#This Row],[Student]],
  IF(ISNA(INDEX(Project[Total (%)],MATCH(All[[#This Row],[Student No.]],Project[Student No.],0))),
    "Cannot find student!",
    IF(INDEX(Project[Total (%)],MATCH(All[[#This Row],[Student No.]],Project[Student No.],0))="",
      "",
      INDEX(Project[Total (%)],MATCH(All[[#This Row],[Student No.]],Project[Student No.],0)))
    ),
  "No student!")</f>
        <v/>
      </c>
      <c r="F20" s="201">
        <f>IF(All[[#This Row],[Wrote Def]], INDEX(#REF!, MATCH(All[[#This Row],[Student No.]],#REF!,0)),
  IF(All[[#This Row],[Wrote Exam]], INDEX(Exam[Total (%)], MATCH(All[[#This Row],[Student No.]], Exam[Student No.],0)),
    ""))</f>
        <v>27</v>
      </c>
      <c r="G20" s="18" t="str">
        <f>IF(AND(All[[#This Row],[Student]], All[[#This Row],[All Components]]),
    IF(NOT(All[Has Test Mark]),ROUND((All[[#This Row],[Engagement]]*$C$5+All[[#This Row],[Project]]*$E$5+All[[#This Row],[Exam/Def]]*$F$5)/($C$5+$E$5+$F$5),0),
      ROUND((All[[#This Row],[Engagement]]*$C$5+All[[#This Row],[Test]]*$D$5+All[[#This Row],[Project]]*$E$5+All[[#This Row],[Exam/Def]]*$F$5)/($C$5+$D$5+$E$5+$F$5),0)
  ),
  "")</f>
        <v/>
      </c>
      <c r="H20" s="18" t="str">
        <f>All[[#This Row],[Course Mark]]</f>
        <v/>
      </c>
      <c r="I20" s="18" t="str">
        <f>IF(All[[#This Row],[Wrote Sup]], INDEX(#REF!,MATCH(All[[#This Row],[Student No.]],#REF!,0)), "")</f>
        <v/>
      </c>
      <c r="J20" s="18" t="str">
        <f>IF(AND(All[[#This Row],[Student]],ISNUMBER(All[[#This Row],[Final]])),_xlfn.RANK.EQ(All[[#This Row],[Final]],All[Final]),"")</f>
        <v/>
      </c>
      <c r="K20" s="31"/>
      <c r="L20" s="18" t="str">
        <f>IF(All[[#This Row],[Student]], IF(All[Wrote Sup],All[Sup],All[[#This Row],[Final]]),"No student")</f>
        <v/>
      </c>
      <c r="M20" s="18" t="str">
        <f>IF(All[[#This Row],[Final]]="","",
  IF(All[[#This Row],[Wrote Sup]],
    IF(All[[#This Row],[Sup]]&lt;50,"FAL","PAS"),
  IF(All[[#This Row],[Exam/Def]]&lt;35, "FSB",
    IF(All[[#This Row],[Final]]&lt;50,"FAL",
    IF(All[[#This Row],[Final]]&gt;=50,"PAS",
  "Error!")))))</f>
        <v/>
      </c>
      <c r="N20" s="18">
        <f>IF(All[[#This Row],[Student]], _xlfn.IFNA(INDEX(captured[Course Mark],MATCH(All[[#This Row],[Student No.]],captured[ID_TEXT],0) &amp; ""), "Cannot find student!"),"No student!")</f>
        <v>34</v>
      </c>
      <c r="O20" s="189" t="str">
        <f>IF(All[[#This Row],[Student]], _xlfn.IFNA(INDEX(captured[Grade],MATCH(All[[#This Row],[Student No.]],captured[ID_TEXT],0)), "Cannot find student!") &amp; "","No student!")</f>
        <v>FSB</v>
      </c>
      <c r="P20"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20" s="18" t="str">
        <f>IF(All[[#This Row],[My Grade]]&lt;&gt;"",IF(All[[#This Row],[My Grade]]&lt;&gt;All[[#This Row],[Cap Grade]],TRUE,FALSE),"")</f>
        <v/>
      </c>
      <c r="R20" s="18" t="b">
        <f>IF(NOT(ISBLANK(All[[#This Row],[Student No.]])),OR(ISNUMBER(FIND("FSB",All[[#This Row],[My Grade]])),ISNUMBER(FIND("PAS", All[[#This Row],[My Grade]])),ISNUMBER(FIND("FAL",All[[#This Row],[My Grade]])),ISNUMBER(FIND("FAB", All[[#This Row],[My Grade]])),COUNTBLANK(All[[#This Row],[My Grade]])=1),FALSE)</f>
        <v>1</v>
      </c>
      <c r="S20" s="18" t="b">
        <f>IF(All[[#This Row],[Student No.]]&lt;&gt;"", TRUE, FALSE)</f>
        <v>1</v>
      </c>
      <c r="T20" s="18" t="b">
        <f>IF(COUNTBLANK(All[[#This Row],[Engagement]:[Exam/Def]])=0,TRUE, FALSE)</f>
        <v>0</v>
      </c>
      <c r="U20" s="18" t="b">
        <f>IF(ISNUMBER(All[[#This Row],[Test]]),TRUE,FALSE)</f>
        <v>0</v>
      </c>
      <c r="V20" s="18" t="e">
        <f>IF((INDEX(Test[Total (%)],MATCH(All[[#This Row],[Student No.]],Test[Student No.],0)))="ABS", TRUE, FALSE)</f>
        <v>#N/A</v>
      </c>
      <c r="W20" s="18" t="b">
        <f>IF(ISNUMBER(INDEX(Exam[Total (%)],MATCH(All[[#This Row],[Student No.]],Exam[Student No.],0))), TRUE, FALSE)</f>
        <v>1</v>
      </c>
      <c r="X20" s="18" t="b">
        <f>IF(ISNUMBER(INDEX(#REF!,MATCH(All[[#This Row],[Student No.]],#REF!,0))),TRUE,FALSE)</f>
        <v>0</v>
      </c>
      <c r="Y20" s="18" t="b">
        <f>IF(ISNUMBER(INDEX(#REF!,MATCH(All[[#This Row],[Student No.]],#REF!,0))),TRUE,FALSE)</f>
        <v>0</v>
      </c>
      <c r="Z20" s="18" t="b">
        <f>IF(All[[#This Row],[Wrote Def]],
IF(INDEX(#REF!, MATCH(All[[#This Row],[Student No.]],#REF!,0))&lt;&gt;All[[#This Row],[Exam/Def]], TRUE, FALSE),
  IF(All[[#This Row],[Wrote Exam]], IF(INDEX(Exam[Total (%)], MATCH(All[[#This Row],[Student No.]],Exam[Student No.],0))&lt;&gt;All[[#This Row],[Exam/Def]],TRUE,FALSE), FALSE))</f>
        <v>0</v>
      </c>
      <c r="AA20" s="18" t="b">
        <f xml:space="preserve">    IF(AND(All[[#This Row],[Exam/Def]]&lt;35,OR(All[[#This Row],[Wrote Exam]],All[[#This Row],[Wrote Def]])), TRUE,FALSE)</f>
        <v>1</v>
      </c>
      <c r="AB20" s="18" t="b">
        <f>IF(AND(All[[#This Row],[Exam &lt; 35%]],All[[#This Row],[Final]]&gt;=50),TRUE,FALSE)</f>
        <v>1</v>
      </c>
      <c r="AC20" s="18"/>
    </row>
    <row r="21" spans="1:29">
      <c r="A21" s="17" t="s">
        <v>285</v>
      </c>
      <c r="B21" s="17" t="s">
        <v>462</v>
      </c>
      <c r="C21" s="100" t="e">
        <f>IF(All[[#This Row],[Student]],
  IF(ISNA(INDEX(#REF!,MATCH(All[[#This Row],[Student No.]],#REF!,0))),
    "Cannot find student!",
    IF(INDEX(#REF!,MATCH(All[[#This Row],[Student No.]],#REF!,0))="",
      "",
      INDEX(#REF!,MATCH(All[[#This Row],[Student No.]],#REF!,0)))
    ),
  "No student!")</f>
        <v>#REF!</v>
      </c>
      <c r="D21"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21" s="18" t="str">
        <f>IF(All[[#This Row],[Student]],
  IF(ISNA(INDEX(Project[Total (%)],MATCH(All[[#This Row],[Student No.]],Project[Student No.],0))),
    "Cannot find student!",
    IF(INDEX(Project[Total (%)],MATCH(All[[#This Row],[Student No.]],Project[Student No.],0))="",
      "",
      INDEX(Project[Total (%)],MATCH(All[[#This Row],[Student No.]],Project[Student No.],0)))
    ),
  "No student!")</f>
        <v/>
      </c>
      <c r="F21" s="201" t="str">
        <f>IF(All[[#This Row],[Wrote Def]], INDEX(#REF!, MATCH(All[[#This Row],[Student No.]],#REF!,0)),
  IF(All[[#This Row],[Wrote Exam]], INDEX(Exam[Total (%)], MATCH(All[[#This Row],[Student No.]], Exam[Student No.],0)),
    ""))</f>
        <v/>
      </c>
      <c r="G21" s="18" t="str">
        <f>IF(AND(All[[#This Row],[Student]], All[[#This Row],[All Components]]),
    IF(NOT(All[Has Test Mark]),ROUND((All[[#This Row],[Engagement]]*$C$5+All[[#This Row],[Project]]*$E$5+All[[#This Row],[Exam/Def]]*$F$5)/($C$5+$E$5+$F$5),0),
      ROUND((All[[#This Row],[Engagement]]*$C$5+All[[#This Row],[Test]]*$D$5+All[[#This Row],[Project]]*$E$5+All[[#This Row],[Exam/Def]]*$F$5)/($C$5+$D$5+$E$5+$F$5),0)
  ),
  "")</f>
        <v/>
      </c>
      <c r="H21" s="18" t="str">
        <f>All[[#This Row],[Course Mark]]</f>
        <v/>
      </c>
      <c r="I21" s="18" t="str">
        <f>IF(All[[#This Row],[Wrote Sup]], INDEX(#REF!,MATCH(All[[#This Row],[Student No.]],#REF!,0)), "")</f>
        <v/>
      </c>
      <c r="J21" s="18" t="str">
        <f>IF(AND(All[[#This Row],[Student]],ISNUMBER(All[[#This Row],[Final]])),_xlfn.RANK.EQ(All[[#This Row],[Final]],All[Final]),"")</f>
        <v/>
      </c>
      <c r="K21" s="31"/>
      <c r="L21" s="18" t="str">
        <f>IF(All[[#This Row],[Student]], IF(All[Wrote Sup],All[Sup],All[[#This Row],[Final]]),"No student")</f>
        <v/>
      </c>
      <c r="M21" s="18" t="str">
        <f>IF(All[[#This Row],[Final]]="","",
  IF(All[[#This Row],[Wrote Sup]],
    IF(All[[#This Row],[Sup]]&lt;50,"FAL","PAS"),
  IF(All[[#This Row],[Exam/Def]]&lt;35, "FSB",
    IF(All[[#This Row],[Final]]&lt;50,"FAL",
    IF(All[[#This Row],[Final]]&gt;=50,"PAS",
  "Error!")))))</f>
        <v/>
      </c>
      <c r="N21" s="18">
        <f>IF(All[[#This Row],[Student]], _xlfn.IFNA(INDEX(captured[Course Mark],MATCH(All[[#This Row],[Student No.]],captured[ID_TEXT],0) &amp; ""), "Cannot find student!"),"No student!")</f>
        <v>33</v>
      </c>
      <c r="O21" s="189" t="str">
        <f>IF(All[[#This Row],[Student]], _xlfn.IFNA(INDEX(captured[Grade],MATCH(All[[#This Row],[Student No.]],captured[ID_TEXT],0)), "Cannot find student!") &amp; "","No student!")</f>
        <v>FSB</v>
      </c>
      <c r="P21"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21" s="18" t="str">
        <f>IF(All[[#This Row],[My Grade]]&lt;&gt;"",IF(All[[#This Row],[My Grade]]&lt;&gt;All[[#This Row],[Cap Grade]],TRUE,FALSE),"")</f>
        <v/>
      </c>
      <c r="R21" s="18" t="b">
        <f>IF(NOT(ISBLANK(All[[#This Row],[Student No.]])),OR(ISNUMBER(FIND("FSB",All[[#This Row],[My Grade]])),ISNUMBER(FIND("PAS", All[[#This Row],[My Grade]])),ISNUMBER(FIND("FAL",All[[#This Row],[My Grade]])),ISNUMBER(FIND("FAB", All[[#This Row],[My Grade]])),COUNTBLANK(All[[#This Row],[My Grade]])=1),FALSE)</f>
        <v>1</v>
      </c>
      <c r="S21" s="18" t="b">
        <f>IF(All[[#This Row],[Student No.]]&lt;&gt;"", TRUE, FALSE)</f>
        <v>1</v>
      </c>
      <c r="T21" s="18" t="b">
        <f>IF(COUNTBLANK(All[[#This Row],[Engagement]:[Exam/Def]])=0,TRUE, FALSE)</f>
        <v>0</v>
      </c>
      <c r="U21" s="18" t="b">
        <f>IF(ISNUMBER(All[[#This Row],[Test]]),TRUE,FALSE)</f>
        <v>0</v>
      </c>
      <c r="V21" s="18" t="b">
        <f>IF((INDEX(Test[Total (%)],MATCH(All[[#This Row],[Student No.]],Test[Student No.],0)))="ABS", TRUE, FALSE)</f>
        <v>0</v>
      </c>
      <c r="W21" s="18" t="b">
        <f>IF(ISNUMBER(INDEX(Exam[Total (%)],MATCH(All[[#This Row],[Student No.]],Exam[Student No.],0))), TRUE, FALSE)</f>
        <v>0</v>
      </c>
      <c r="X21" s="18" t="b">
        <f>IF(ISNUMBER(INDEX(#REF!,MATCH(All[[#This Row],[Student No.]],#REF!,0))),TRUE,FALSE)</f>
        <v>0</v>
      </c>
      <c r="Y21" s="18" t="b">
        <f>IF(ISNUMBER(INDEX(#REF!,MATCH(All[[#This Row],[Student No.]],#REF!,0))),TRUE,FALSE)</f>
        <v>0</v>
      </c>
      <c r="Z21" s="18" t="b">
        <f>IF(All[[#This Row],[Wrote Def]],
IF(INDEX(#REF!, MATCH(All[[#This Row],[Student No.]],#REF!,0))&lt;&gt;All[[#This Row],[Exam/Def]], TRUE, FALSE),
  IF(All[[#This Row],[Wrote Exam]], IF(INDEX(Exam[Total (%)], MATCH(All[[#This Row],[Student No.]],Exam[Student No.],0))&lt;&gt;All[[#This Row],[Exam/Def]],TRUE,FALSE), FALSE))</f>
        <v>0</v>
      </c>
      <c r="AA21" s="18" t="b">
        <f xml:space="preserve">    IF(AND(All[[#This Row],[Exam/Def]]&lt;35,OR(All[[#This Row],[Wrote Exam]],All[[#This Row],[Wrote Def]])), TRUE,FALSE)</f>
        <v>0</v>
      </c>
      <c r="AB21" s="18" t="b">
        <f>IF(AND(All[[#This Row],[Exam &lt; 35%]],All[[#This Row],[Final]]&gt;=50),TRUE,FALSE)</f>
        <v>0</v>
      </c>
      <c r="AC21" s="18"/>
    </row>
    <row r="22" spans="1:29" ht="43.2">
      <c r="A22" s="17" t="s">
        <v>286</v>
      </c>
      <c r="B22" s="17" t="s">
        <v>463</v>
      </c>
      <c r="C22" s="100" t="e">
        <f>IF(All[[#This Row],[Student]],
  IF(ISNA(INDEX(#REF!,MATCH(All[[#This Row],[Student No.]],#REF!,0))),
    "Cannot find student!",
    IF(INDEX(#REF!,MATCH(All[[#This Row],[Student No.]],#REF!,0))="",
      "",
      INDEX(#REF!,MATCH(All[[#This Row],[Student No.]],#REF!,0)))
    ),
  "No student!")</f>
        <v>#REF!</v>
      </c>
      <c r="D22"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22" s="18" t="str">
        <f>IF(All[[#This Row],[Student]],
  IF(ISNA(INDEX(Project[Total (%)],MATCH(All[[#This Row],[Student No.]],Project[Student No.],0))),
    "Cannot find student!",
    IF(INDEX(Project[Total (%)],MATCH(All[[#This Row],[Student No.]],Project[Student No.],0))="",
      "",
      INDEX(Project[Total (%)],MATCH(All[[#This Row],[Student No.]],Project[Student No.],0)))
    ),
  "No student!")</f>
        <v/>
      </c>
      <c r="F22" s="201">
        <f>IF(All[[#This Row],[Wrote Def]], INDEX(#REF!, MATCH(All[[#This Row],[Student No.]],#REF!,0)),
  IF(All[[#This Row],[Wrote Exam]], INDEX(Exam[Total (%)], MATCH(All[[#This Row],[Student No.]], Exam[Student No.],0)),
    ""))</f>
        <v>20</v>
      </c>
      <c r="G22" s="18" t="str">
        <f>IF(AND(All[[#This Row],[Student]], All[[#This Row],[All Components]]),
    IF(NOT(All[Has Test Mark]),ROUND((All[[#This Row],[Engagement]]*$C$5+All[[#This Row],[Project]]*$E$5+All[[#This Row],[Exam/Def]]*$F$5)/($C$5+$E$5+$F$5),0),
      ROUND((All[[#This Row],[Engagement]]*$C$5+All[[#This Row],[Test]]*$D$5+All[[#This Row],[Project]]*$E$5+All[[#This Row],[Exam/Def]]*$F$5)/($C$5+$D$5+$E$5+$F$5),0)
  ),
  "")</f>
        <v/>
      </c>
      <c r="H22" s="18" t="str">
        <f>All[[#This Row],[Course Mark]]</f>
        <v/>
      </c>
      <c r="I22" s="18" t="str">
        <f>IF(All[[#This Row],[Wrote Sup]], INDEX(#REF!,MATCH(All[[#This Row],[Student No.]],#REF!,0)), "")</f>
        <v/>
      </c>
      <c r="J22" s="18" t="str">
        <f>IF(AND(All[[#This Row],[Student]],ISNUMBER(All[[#This Row],[Final]])),_xlfn.RANK.EQ(All[[#This Row],[Final]],All[Final]),"")</f>
        <v/>
      </c>
      <c r="K22" s="31"/>
      <c r="L22" s="18" t="str">
        <f>IF(All[[#This Row],[Student]], IF(All[Wrote Sup],All[Sup],All[[#This Row],[Final]]),"No student")</f>
        <v/>
      </c>
      <c r="M22" s="18" t="str">
        <f>IF(All[[#This Row],[Final]]="","",
  IF(All[[#This Row],[Wrote Sup]],
    IF(All[[#This Row],[Sup]]&lt;50,"FAL","PAS"),
  IF(All[[#This Row],[Exam/Def]]&lt;35, "FSB",
    IF(All[[#This Row],[Final]]&lt;50,"FAL",
    IF(All[[#This Row],[Final]]&gt;=50,"PAS",
  "Error!")))))</f>
        <v/>
      </c>
      <c r="N22" s="18">
        <f>IF(All[[#This Row],[Student]], _xlfn.IFNA(INDEX(captured[Course Mark],MATCH(All[[#This Row],[Student No.]],captured[ID_TEXT],0) &amp; ""), "Cannot find student!"),"No student!")</f>
        <v>50</v>
      </c>
      <c r="O22" s="189" t="str">
        <f>IF(All[[#This Row],[Student]], _xlfn.IFNA(INDEX(captured[Grade],MATCH(All[[#This Row],[Student No.]],captured[ID_TEXT],0)), "Cannot find student!") &amp; "","No student!")</f>
        <v>FSB</v>
      </c>
      <c r="P22"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22" s="18" t="str">
        <f>IF(All[[#This Row],[My Grade]]&lt;&gt;"",IF(All[[#This Row],[My Grade]]&lt;&gt;All[[#This Row],[Cap Grade]],TRUE,FALSE),"")</f>
        <v/>
      </c>
      <c r="R22" s="18" t="b">
        <f>IF(NOT(ISBLANK(All[[#This Row],[Student No.]])),OR(ISNUMBER(FIND("FSB",All[[#This Row],[My Grade]])),ISNUMBER(FIND("PAS", All[[#This Row],[My Grade]])),ISNUMBER(FIND("FAL",All[[#This Row],[My Grade]])),ISNUMBER(FIND("FAB", All[[#This Row],[My Grade]])),COUNTBLANK(All[[#This Row],[My Grade]])=1),FALSE)</f>
        <v>1</v>
      </c>
      <c r="S22" s="18" t="b">
        <f>IF(All[[#This Row],[Student No.]]&lt;&gt;"", TRUE, FALSE)</f>
        <v>1</v>
      </c>
      <c r="T22" s="18" t="b">
        <f>IF(COUNTBLANK(All[[#This Row],[Engagement]:[Exam/Def]])=0,TRUE, FALSE)</f>
        <v>0</v>
      </c>
      <c r="U22" s="18" t="b">
        <f>IF(ISNUMBER(All[[#This Row],[Test]]),TRUE,FALSE)</f>
        <v>0</v>
      </c>
      <c r="V22" s="18" t="e">
        <f>IF((INDEX(Test[Total (%)],MATCH(All[[#This Row],[Student No.]],Test[Student No.],0)))="ABS", TRUE, FALSE)</f>
        <v>#N/A</v>
      </c>
      <c r="W22" s="18" t="b">
        <f>IF(ISNUMBER(INDEX(Exam[Total (%)],MATCH(All[[#This Row],[Student No.]],Exam[Student No.],0))), TRUE, FALSE)</f>
        <v>1</v>
      </c>
      <c r="X22" s="18" t="b">
        <f>IF(ISNUMBER(INDEX(#REF!,MATCH(All[[#This Row],[Student No.]],#REF!,0))),TRUE,FALSE)</f>
        <v>0</v>
      </c>
      <c r="Y22" s="18" t="b">
        <f>IF(ISNUMBER(INDEX(#REF!,MATCH(All[[#This Row],[Student No.]],#REF!,0))),TRUE,FALSE)</f>
        <v>0</v>
      </c>
      <c r="Z22" s="18" t="b">
        <f>IF(All[[#This Row],[Wrote Def]],
IF(INDEX(#REF!, MATCH(All[[#This Row],[Student No.]],#REF!,0))&lt;&gt;All[[#This Row],[Exam/Def]], TRUE, FALSE),
  IF(All[[#This Row],[Wrote Exam]], IF(INDEX(Exam[Total (%)], MATCH(All[[#This Row],[Student No.]],Exam[Student No.],0))&lt;&gt;All[[#This Row],[Exam/Def]],TRUE,FALSE), FALSE))</f>
        <v>0</v>
      </c>
      <c r="AA22" s="18" t="b">
        <f xml:space="preserve">    IF(AND(All[[#This Row],[Exam/Def]]&lt;35,OR(All[[#This Row],[Wrote Exam]],All[[#This Row],[Wrote Def]])), TRUE,FALSE)</f>
        <v>1</v>
      </c>
      <c r="AB22" s="18" t="b">
        <f>IF(AND(All[[#This Row],[Exam &lt; 35%]],All[[#This Row],[Final]]&gt;=50),TRUE,FALSE)</f>
        <v>1</v>
      </c>
      <c r="AC22" s="18"/>
    </row>
    <row r="23" spans="1:29" ht="43.2">
      <c r="A23" s="17" t="s">
        <v>287</v>
      </c>
      <c r="B23" s="17" t="s">
        <v>464</v>
      </c>
      <c r="C23" s="100" t="e">
        <f>IF(All[[#This Row],[Student]],
  IF(ISNA(INDEX(#REF!,MATCH(All[[#This Row],[Student No.]],#REF!,0))),
    "Cannot find student!",
    IF(INDEX(#REF!,MATCH(All[[#This Row],[Student No.]],#REF!,0))="",
      "",
      INDEX(#REF!,MATCH(All[[#This Row],[Student No.]],#REF!,0)))
    ),
  "No student!")</f>
        <v>#REF!</v>
      </c>
      <c r="D23"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23" s="18" t="str">
        <f>IF(All[[#This Row],[Student]],
  IF(ISNA(INDEX(Project[Total (%)],MATCH(All[[#This Row],[Student No.]],Project[Student No.],0))),
    "Cannot find student!",
    IF(INDEX(Project[Total (%)],MATCH(All[[#This Row],[Student No.]],Project[Student No.],0))="",
      "",
      INDEX(Project[Total (%)],MATCH(All[[#This Row],[Student No.]],Project[Student No.],0)))
    ),
  "No student!")</f>
        <v/>
      </c>
      <c r="F23" s="201">
        <f>IF(All[[#This Row],[Wrote Def]], INDEX(#REF!, MATCH(All[[#This Row],[Student No.]],#REF!,0)),
  IF(All[[#This Row],[Wrote Exam]], INDEX(Exam[Total (%)], MATCH(All[[#This Row],[Student No.]], Exam[Student No.],0)),
    ""))</f>
        <v>40</v>
      </c>
      <c r="G23" s="18" t="str">
        <f>IF(AND(All[[#This Row],[Student]], All[[#This Row],[All Components]]),
    IF(NOT(All[Has Test Mark]),ROUND((All[[#This Row],[Engagement]]*$C$5+All[[#This Row],[Project]]*$E$5+All[[#This Row],[Exam/Def]]*$F$5)/($C$5+$E$5+$F$5),0),
      ROUND((All[[#This Row],[Engagement]]*$C$5+All[[#This Row],[Test]]*$D$5+All[[#This Row],[Project]]*$E$5+All[[#This Row],[Exam/Def]]*$F$5)/($C$5+$D$5+$E$5+$F$5),0)
  ),
  "")</f>
        <v/>
      </c>
      <c r="H23" s="18" t="str">
        <f>All[[#This Row],[Course Mark]]</f>
        <v/>
      </c>
      <c r="I23" s="18" t="str">
        <f>IF(All[[#This Row],[Wrote Sup]], INDEX(#REF!,MATCH(All[[#This Row],[Student No.]],#REF!,0)), "")</f>
        <v/>
      </c>
      <c r="J23" s="18" t="str">
        <f>IF(AND(All[[#This Row],[Student]],ISNUMBER(All[[#This Row],[Final]])),_xlfn.RANK.EQ(All[[#This Row],[Final]],All[Final]),"")</f>
        <v/>
      </c>
      <c r="K23" s="31"/>
      <c r="L23" s="18" t="str">
        <f>IF(All[[#This Row],[Student]], IF(All[Wrote Sup],All[Sup],All[[#This Row],[Final]]),"No student")</f>
        <v/>
      </c>
      <c r="M23" s="18" t="str">
        <f>IF(All[[#This Row],[Final]]="","",
  IF(All[[#This Row],[Wrote Sup]],
    IF(All[[#This Row],[Sup]]&lt;50,"FAL","PAS"),
  IF(All[[#This Row],[Exam/Def]]&lt;35, "FSB",
    IF(All[[#This Row],[Final]]&lt;50,"FAL",
    IF(All[[#This Row],[Final]]&gt;=50,"PAS",
  "Error!")))))</f>
        <v/>
      </c>
      <c r="N23" s="18">
        <f>IF(All[[#This Row],[Student]], _xlfn.IFNA(INDEX(captured[Course Mark],MATCH(All[[#This Row],[Student No.]],captured[ID_TEXT],0) &amp; ""), "Cannot find student!"),"No student!")</f>
        <v>56</v>
      </c>
      <c r="O23" s="189" t="str">
        <f>IF(All[[#This Row],[Student]], _xlfn.IFNA(INDEX(captured[Grade],MATCH(All[[#This Row],[Student No.]],captured[ID_TEXT],0)), "Cannot find student!") &amp; "","No student!")</f>
        <v>PAS</v>
      </c>
      <c r="P23"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23" s="18" t="str">
        <f>IF(All[[#This Row],[My Grade]]&lt;&gt;"",IF(All[[#This Row],[My Grade]]&lt;&gt;All[[#This Row],[Cap Grade]],TRUE,FALSE),"")</f>
        <v/>
      </c>
      <c r="R23" s="18" t="b">
        <f>IF(NOT(ISBLANK(All[[#This Row],[Student No.]])),OR(ISNUMBER(FIND("FSB",All[[#This Row],[My Grade]])),ISNUMBER(FIND("PAS", All[[#This Row],[My Grade]])),ISNUMBER(FIND("FAL",All[[#This Row],[My Grade]])),ISNUMBER(FIND("FAB", All[[#This Row],[My Grade]])),COUNTBLANK(All[[#This Row],[My Grade]])=1),FALSE)</f>
        <v>1</v>
      </c>
      <c r="S23" s="18" t="b">
        <f>IF(All[[#This Row],[Student No.]]&lt;&gt;"", TRUE, FALSE)</f>
        <v>1</v>
      </c>
      <c r="T23" s="18" t="b">
        <f>IF(COUNTBLANK(All[[#This Row],[Engagement]:[Exam/Def]])=0,TRUE, FALSE)</f>
        <v>0</v>
      </c>
      <c r="U23" s="18" t="b">
        <f>IF(ISNUMBER(All[[#This Row],[Test]]),TRUE,FALSE)</f>
        <v>0</v>
      </c>
      <c r="V23" s="18" t="e">
        <f>IF((INDEX(Test[Total (%)],MATCH(All[[#This Row],[Student No.]],Test[Student No.],0)))="ABS", TRUE, FALSE)</f>
        <v>#N/A</v>
      </c>
      <c r="W23" s="18" t="b">
        <f>IF(ISNUMBER(INDEX(Exam[Total (%)],MATCH(All[[#This Row],[Student No.]],Exam[Student No.],0))), TRUE, FALSE)</f>
        <v>1</v>
      </c>
      <c r="X23" s="18" t="b">
        <f>IF(ISNUMBER(INDEX(#REF!,MATCH(All[[#This Row],[Student No.]],#REF!,0))),TRUE,FALSE)</f>
        <v>0</v>
      </c>
      <c r="Y23" s="18" t="b">
        <f>IF(ISNUMBER(INDEX(#REF!,MATCH(All[[#This Row],[Student No.]],#REF!,0))),TRUE,FALSE)</f>
        <v>0</v>
      </c>
      <c r="Z23" s="18" t="b">
        <f>IF(All[[#This Row],[Wrote Def]],
IF(INDEX(#REF!, MATCH(All[[#This Row],[Student No.]],#REF!,0))&lt;&gt;All[[#This Row],[Exam/Def]], TRUE, FALSE),
  IF(All[[#This Row],[Wrote Exam]], IF(INDEX(Exam[Total (%)], MATCH(All[[#This Row],[Student No.]],Exam[Student No.],0))&lt;&gt;All[[#This Row],[Exam/Def]],TRUE,FALSE), FALSE))</f>
        <v>0</v>
      </c>
      <c r="AA23" s="18" t="b">
        <f xml:space="preserve">    IF(AND(All[[#This Row],[Exam/Def]]&lt;35,OR(All[[#This Row],[Wrote Exam]],All[[#This Row],[Wrote Def]])), TRUE,FALSE)</f>
        <v>0</v>
      </c>
      <c r="AB23" s="18" t="b">
        <f>IF(AND(All[[#This Row],[Exam &lt; 35%]],All[[#This Row],[Final]]&gt;=50),TRUE,FALSE)</f>
        <v>0</v>
      </c>
      <c r="AC23" s="18"/>
    </row>
    <row r="24" spans="1:29" ht="43.2">
      <c r="A24" s="17" t="s">
        <v>288</v>
      </c>
      <c r="B24" s="17" t="s">
        <v>465</v>
      </c>
      <c r="C24" s="100" t="e">
        <f>IF(All[[#This Row],[Student]],
  IF(ISNA(INDEX(#REF!,MATCH(All[[#This Row],[Student No.]],#REF!,0))),
    "Cannot find student!",
    IF(INDEX(#REF!,MATCH(All[[#This Row],[Student No.]],#REF!,0))="",
      "",
      INDEX(#REF!,MATCH(All[[#This Row],[Student No.]],#REF!,0)))
    ),
  "No student!")</f>
        <v>#REF!</v>
      </c>
      <c r="D24"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24" s="18" t="str">
        <f>IF(All[[#This Row],[Student]],
  IF(ISNA(INDEX(Project[Total (%)],MATCH(All[[#This Row],[Student No.]],Project[Student No.],0))),
    "Cannot find student!",
    IF(INDEX(Project[Total (%)],MATCH(All[[#This Row],[Student No.]],Project[Student No.],0))="",
      "",
      INDEX(Project[Total (%)],MATCH(All[[#This Row],[Student No.]],Project[Student No.],0)))
    ),
  "No student!")</f>
        <v/>
      </c>
      <c r="F24" s="201">
        <f>IF(All[[#This Row],[Wrote Def]], INDEX(#REF!, MATCH(All[[#This Row],[Student No.]],#REF!,0)),
  IF(All[[#This Row],[Wrote Exam]], INDEX(Exam[Total (%)], MATCH(All[[#This Row],[Student No.]], Exam[Student No.],0)),
    ""))</f>
        <v>48</v>
      </c>
      <c r="G24" s="18" t="str">
        <f>IF(AND(All[[#This Row],[Student]], All[[#This Row],[All Components]]),
    IF(NOT(All[Has Test Mark]),ROUND((All[[#This Row],[Engagement]]*$C$5+All[[#This Row],[Project]]*$E$5+All[[#This Row],[Exam/Def]]*$F$5)/($C$5+$E$5+$F$5),0),
      ROUND((All[[#This Row],[Engagement]]*$C$5+All[[#This Row],[Test]]*$D$5+All[[#This Row],[Project]]*$E$5+All[[#This Row],[Exam/Def]]*$F$5)/($C$5+$D$5+$E$5+$F$5),0)
  ),
  "")</f>
        <v/>
      </c>
      <c r="H24" s="18" t="str">
        <f>All[[#This Row],[Course Mark]]</f>
        <v/>
      </c>
      <c r="I24" s="18" t="str">
        <f>IF(All[[#This Row],[Wrote Sup]], INDEX(#REF!,MATCH(All[[#This Row],[Student No.]],#REF!,0)), "")</f>
        <v/>
      </c>
      <c r="J24" s="18" t="str">
        <f>IF(AND(All[[#This Row],[Student]],ISNUMBER(All[[#This Row],[Final]])),_xlfn.RANK.EQ(All[[#This Row],[Final]],All[Final]),"")</f>
        <v/>
      </c>
      <c r="K24" s="31"/>
      <c r="L24" s="18" t="str">
        <f>IF(All[[#This Row],[Student]], IF(All[Wrote Sup],All[Sup],All[[#This Row],[Final]]),"No student")</f>
        <v/>
      </c>
      <c r="M24" s="18" t="str">
        <f>IF(All[[#This Row],[Final]]="","",
  IF(All[[#This Row],[Wrote Sup]],
    IF(All[[#This Row],[Sup]]&lt;50,"FAL","PAS"),
  IF(All[[#This Row],[Exam/Def]]&lt;35, "FSB",
    IF(All[[#This Row],[Final]]&lt;50,"FAL",
    IF(All[[#This Row],[Final]]&gt;=50,"PAS",
  "Error!")))))</f>
        <v/>
      </c>
      <c r="N24" s="18">
        <f>IF(All[[#This Row],[Student]], _xlfn.IFNA(INDEX(captured[Course Mark],MATCH(All[[#This Row],[Student No.]],captured[ID_TEXT],0) &amp; ""), "Cannot find student!"),"No student!")</f>
        <v>60</v>
      </c>
      <c r="O24" s="189" t="str">
        <f>IF(All[[#This Row],[Student]], _xlfn.IFNA(INDEX(captured[Grade],MATCH(All[[#This Row],[Student No.]],captured[ID_TEXT],0)), "Cannot find student!") &amp; "","No student!")</f>
        <v>PAS</v>
      </c>
      <c r="P24"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24" s="18" t="str">
        <f>IF(All[[#This Row],[My Grade]]&lt;&gt;"",IF(All[[#This Row],[My Grade]]&lt;&gt;All[[#This Row],[Cap Grade]],TRUE,FALSE),"")</f>
        <v/>
      </c>
      <c r="R24" s="18" t="b">
        <f>IF(NOT(ISBLANK(All[[#This Row],[Student No.]])),OR(ISNUMBER(FIND("FSB",All[[#This Row],[My Grade]])),ISNUMBER(FIND("PAS", All[[#This Row],[My Grade]])),ISNUMBER(FIND("FAL",All[[#This Row],[My Grade]])),ISNUMBER(FIND("FAB", All[[#This Row],[My Grade]])),COUNTBLANK(All[[#This Row],[My Grade]])=1),FALSE)</f>
        <v>1</v>
      </c>
      <c r="S24" s="18" t="b">
        <f>IF(All[[#This Row],[Student No.]]&lt;&gt;"", TRUE, FALSE)</f>
        <v>1</v>
      </c>
      <c r="T24" s="18" t="b">
        <f>IF(COUNTBLANK(All[[#This Row],[Engagement]:[Exam/Def]])=0,TRUE, FALSE)</f>
        <v>0</v>
      </c>
      <c r="U24" s="18" t="b">
        <f>IF(ISNUMBER(All[[#This Row],[Test]]),TRUE,FALSE)</f>
        <v>0</v>
      </c>
      <c r="V24" s="18" t="e">
        <f>IF((INDEX(Test[Total (%)],MATCH(All[[#This Row],[Student No.]],Test[Student No.],0)))="ABS", TRUE, FALSE)</f>
        <v>#N/A</v>
      </c>
      <c r="W24" s="18" t="b">
        <f>IF(ISNUMBER(INDEX(Exam[Total (%)],MATCH(All[[#This Row],[Student No.]],Exam[Student No.],0))), TRUE, FALSE)</f>
        <v>1</v>
      </c>
      <c r="X24" s="18" t="b">
        <f>IF(ISNUMBER(INDEX(#REF!,MATCH(All[[#This Row],[Student No.]],#REF!,0))),TRUE,FALSE)</f>
        <v>0</v>
      </c>
      <c r="Y24" s="18" t="b">
        <f>IF(ISNUMBER(INDEX(#REF!,MATCH(All[[#This Row],[Student No.]],#REF!,0))),TRUE,FALSE)</f>
        <v>0</v>
      </c>
      <c r="Z24" s="18" t="b">
        <f>IF(All[[#This Row],[Wrote Def]],
IF(INDEX(#REF!, MATCH(All[[#This Row],[Student No.]],#REF!,0))&lt;&gt;All[[#This Row],[Exam/Def]], TRUE, FALSE),
  IF(All[[#This Row],[Wrote Exam]], IF(INDEX(Exam[Total (%)], MATCH(All[[#This Row],[Student No.]],Exam[Student No.],0))&lt;&gt;All[[#This Row],[Exam/Def]],TRUE,FALSE), FALSE))</f>
        <v>0</v>
      </c>
      <c r="AA24" s="18" t="b">
        <f xml:space="preserve">    IF(AND(All[[#This Row],[Exam/Def]]&lt;35,OR(All[[#This Row],[Wrote Exam]],All[[#This Row],[Wrote Def]])), TRUE,FALSE)</f>
        <v>0</v>
      </c>
      <c r="AB24" s="18" t="b">
        <f>IF(AND(All[[#This Row],[Exam &lt; 35%]],All[[#This Row],[Final]]&gt;=50),TRUE,FALSE)</f>
        <v>0</v>
      </c>
      <c r="AC24" s="18"/>
    </row>
    <row r="25" spans="1:29" ht="43.2">
      <c r="A25" s="17" t="s">
        <v>289</v>
      </c>
      <c r="B25" s="17" t="s">
        <v>466</v>
      </c>
      <c r="C25" s="100" t="e">
        <f>IF(All[[#This Row],[Student]],
  IF(ISNA(INDEX(#REF!,MATCH(All[[#This Row],[Student No.]],#REF!,0))),
    "Cannot find student!",
    IF(INDEX(#REF!,MATCH(All[[#This Row],[Student No.]],#REF!,0))="",
      "",
      INDEX(#REF!,MATCH(All[[#This Row],[Student No.]],#REF!,0)))
    ),
  "No student!")</f>
        <v>#REF!</v>
      </c>
      <c r="D25"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25" s="18" t="str">
        <f>IF(All[[#This Row],[Student]],
  IF(ISNA(INDEX(Project[Total (%)],MATCH(All[[#This Row],[Student No.]],Project[Student No.],0))),
    "Cannot find student!",
    IF(INDEX(Project[Total (%)],MATCH(All[[#This Row],[Student No.]],Project[Student No.],0))="",
      "",
      INDEX(Project[Total (%)],MATCH(All[[#This Row],[Student No.]],Project[Student No.],0)))
    ),
  "No student!")</f>
        <v/>
      </c>
      <c r="F25" s="201" t="str">
        <f>IF(All[[#This Row],[Wrote Def]], INDEX(#REF!, MATCH(All[[#This Row],[Student No.]],#REF!,0)),
  IF(All[[#This Row],[Wrote Exam]], INDEX(Exam[Total (%)], MATCH(All[[#This Row],[Student No.]], Exam[Student No.],0)),
    ""))</f>
        <v/>
      </c>
      <c r="G25" s="18" t="str">
        <f>IF(AND(All[[#This Row],[Student]], All[[#This Row],[All Components]]),
    IF(NOT(All[Has Test Mark]),ROUND((All[[#This Row],[Engagement]]*$C$5+All[[#This Row],[Project]]*$E$5+All[[#This Row],[Exam/Def]]*$F$5)/($C$5+$E$5+$F$5),0),
      ROUND((All[[#This Row],[Engagement]]*$C$5+All[[#This Row],[Test]]*$D$5+All[[#This Row],[Project]]*$E$5+All[[#This Row],[Exam/Def]]*$F$5)/($C$5+$D$5+$E$5+$F$5),0)
  ),
  "")</f>
        <v/>
      </c>
      <c r="H25" s="18" t="str">
        <f>All[[#This Row],[Course Mark]]</f>
        <v/>
      </c>
      <c r="I25" s="18" t="str">
        <f>IF(All[[#This Row],[Wrote Sup]], INDEX(#REF!,MATCH(All[[#This Row],[Student No.]],#REF!,0)), "")</f>
        <v/>
      </c>
      <c r="J25" s="18" t="str">
        <f>IF(AND(All[[#This Row],[Student]],ISNUMBER(All[[#This Row],[Final]])),_xlfn.RANK.EQ(All[[#This Row],[Final]],All[Final]),"")</f>
        <v/>
      </c>
      <c r="K25" s="31"/>
      <c r="L25" s="18" t="str">
        <f>IF(All[[#This Row],[Student]], IF(All[Wrote Sup],All[Sup],All[[#This Row],[Final]]),"No student")</f>
        <v/>
      </c>
      <c r="M25" s="18" t="str">
        <f>IF(All[[#This Row],[Final]]="","",
  IF(All[[#This Row],[Wrote Sup]],
    IF(All[[#This Row],[Sup]]&lt;50,"FAL","PAS"),
  IF(All[[#This Row],[Exam/Def]]&lt;35, "FSB",
    IF(All[[#This Row],[Final]]&lt;50,"FAL",
    IF(All[[#This Row],[Final]]&gt;=50,"PAS",
  "Error!")))))</f>
        <v/>
      </c>
      <c r="N25" s="18">
        <f>IF(All[[#This Row],[Student]], _xlfn.IFNA(INDEX(captured[Course Mark],MATCH(All[[#This Row],[Student No.]],captured[ID_TEXT],0) &amp; ""), "Cannot find student!"),"No student!")</f>
        <v>37</v>
      </c>
      <c r="O25" s="189" t="str">
        <f>IF(All[[#This Row],[Student]], _xlfn.IFNA(INDEX(captured[Grade],MATCH(All[[#This Row],[Student No.]],captured[ID_TEXT],0)), "Cannot find student!") &amp; "","No student!")</f>
        <v>FSB</v>
      </c>
      <c r="P25"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25" s="18" t="str">
        <f>IF(All[[#This Row],[My Grade]]&lt;&gt;"",IF(All[[#This Row],[My Grade]]&lt;&gt;All[[#This Row],[Cap Grade]],TRUE,FALSE),"")</f>
        <v/>
      </c>
      <c r="R25" s="18" t="b">
        <f>IF(NOT(ISBLANK(All[[#This Row],[Student No.]])),OR(ISNUMBER(FIND("FSB",All[[#This Row],[My Grade]])),ISNUMBER(FIND("PAS", All[[#This Row],[My Grade]])),ISNUMBER(FIND("FAL",All[[#This Row],[My Grade]])),ISNUMBER(FIND("FAB", All[[#This Row],[My Grade]])),COUNTBLANK(All[[#This Row],[My Grade]])=1),FALSE)</f>
        <v>1</v>
      </c>
      <c r="S25" s="18" t="b">
        <f>IF(All[[#This Row],[Student No.]]&lt;&gt;"", TRUE, FALSE)</f>
        <v>1</v>
      </c>
      <c r="T25" s="18" t="b">
        <f>IF(COUNTBLANK(All[[#This Row],[Engagement]:[Exam/Def]])=0,TRUE, FALSE)</f>
        <v>0</v>
      </c>
      <c r="U25" s="18" t="b">
        <f>IF(ISNUMBER(All[[#This Row],[Test]]),TRUE,FALSE)</f>
        <v>0</v>
      </c>
      <c r="V25" s="18" t="e">
        <f>IF((INDEX(Test[Total (%)],MATCH(All[[#This Row],[Student No.]],Test[Student No.],0)))="ABS", TRUE, FALSE)</f>
        <v>#N/A</v>
      </c>
      <c r="W25" s="18" t="b">
        <f>IF(ISNUMBER(INDEX(Exam[Total (%)],MATCH(All[[#This Row],[Student No.]],Exam[Student No.],0))), TRUE, FALSE)</f>
        <v>0</v>
      </c>
      <c r="X25" s="18" t="b">
        <f>IF(ISNUMBER(INDEX(#REF!,MATCH(All[[#This Row],[Student No.]],#REF!,0))),TRUE,FALSE)</f>
        <v>0</v>
      </c>
      <c r="Y25" s="18" t="b">
        <f>IF(ISNUMBER(INDEX(#REF!,MATCH(All[[#This Row],[Student No.]],#REF!,0))),TRUE,FALSE)</f>
        <v>0</v>
      </c>
      <c r="Z25" s="18" t="b">
        <f>IF(All[[#This Row],[Wrote Def]],
IF(INDEX(#REF!, MATCH(All[[#This Row],[Student No.]],#REF!,0))&lt;&gt;All[[#This Row],[Exam/Def]], TRUE, FALSE),
  IF(All[[#This Row],[Wrote Exam]], IF(INDEX(Exam[Total (%)], MATCH(All[[#This Row],[Student No.]],Exam[Student No.],0))&lt;&gt;All[[#This Row],[Exam/Def]],TRUE,FALSE), FALSE))</f>
        <v>0</v>
      </c>
      <c r="AA25" s="18" t="b">
        <f xml:space="preserve">    IF(AND(All[[#This Row],[Exam/Def]]&lt;35,OR(All[[#This Row],[Wrote Exam]],All[[#This Row],[Wrote Def]])), TRUE,FALSE)</f>
        <v>0</v>
      </c>
      <c r="AB25" s="18" t="b">
        <f>IF(AND(All[[#This Row],[Exam &lt; 35%]],All[[#This Row],[Final]]&gt;=50),TRUE,FALSE)</f>
        <v>0</v>
      </c>
      <c r="AC25" s="18"/>
    </row>
    <row r="26" spans="1:29">
      <c r="A26" s="17" t="s">
        <v>290</v>
      </c>
      <c r="B26" s="17" t="s">
        <v>467</v>
      </c>
      <c r="C26" s="100" t="e">
        <f>IF(All[[#This Row],[Student]],
  IF(ISNA(INDEX(#REF!,MATCH(All[[#This Row],[Student No.]],#REF!,0))),
    "Cannot find student!",
    IF(INDEX(#REF!,MATCH(All[[#This Row],[Student No.]],#REF!,0))="",
      "",
      INDEX(#REF!,MATCH(All[[#This Row],[Student No.]],#REF!,0)))
    ),
  "No student!")</f>
        <v>#REF!</v>
      </c>
      <c r="D26"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26" s="18" t="str">
        <f>IF(All[[#This Row],[Student]],
  IF(ISNA(INDEX(Project[Total (%)],MATCH(All[[#This Row],[Student No.]],Project[Student No.],0))),
    "Cannot find student!",
    IF(INDEX(Project[Total (%)],MATCH(All[[#This Row],[Student No.]],Project[Student No.],0))="",
      "",
      INDEX(Project[Total (%)],MATCH(All[[#This Row],[Student No.]],Project[Student No.],0)))
    ),
  "No student!")</f>
        <v/>
      </c>
      <c r="F26" s="201">
        <f>IF(All[[#This Row],[Wrote Def]], INDEX(#REF!, MATCH(All[[#This Row],[Student No.]],#REF!,0)),
  IF(All[[#This Row],[Wrote Exam]], INDEX(Exam[Total (%)], MATCH(All[[#This Row],[Student No.]], Exam[Student No.],0)),
    ""))</f>
        <v>34</v>
      </c>
      <c r="G26" s="18" t="str">
        <f>IF(AND(All[[#This Row],[Student]], All[[#This Row],[All Components]]),
    IF(NOT(All[Has Test Mark]),ROUND((All[[#This Row],[Engagement]]*$C$5+All[[#This Row],[Project]]*$E$5+All[[#This Row],[Exam/Def]]*$F$5)/($C$5+$E$5+$F$5),0),
      ROUND((All[[#This Row],[Engagement]]*$C$5+All[[#This Row],[Test]]*$D$5+All[[#This Row],[Project]]*$E$5+All[[#This Row],[Exam/Def]]*$F$5)/($C$5+$D$5+$E$5+$F$5),0)
  ),
  "")</f>
        <v/>
      </c>
      <c r="H26" s="18" t="str">
        <f>All[[#This Row],[Course Mark]]</f>
        <v/>
      </c>
      <c r="I26" s="18" t="str">
        <f>IF(All[[#This Row],[Wrote Sup]], INDEX(#REF!,MATCH(All[[#This Row],[Student No.]],#REF!,0)), "")</f>
        <v/>
      </c>
      <c r="J26" s="18" t="str">
        <f>IF(AND(All[[#This Row],[Student]],ISNUMBER(All[[#This Row],[Final]])),_xlfn.RANK.EQ(All[[#This Row],[Final]],All[Final]),"")</f>
        <v/>
      </c>
      <c r="K26" s="31"/>
      <c r="L26" s="18" t="str">
        <f>IF(All[[#This Row],[Student]], IF(All[Wrote Sup],All[Sup],All[[#This Row],[Final]]),"No student")</f>
        <v/>
      </c>
      <c r="M26" s="18" t="str">
        <f>IF(All[[#This Row],[Final]]="","",
  IF(All[[#This Row],[Wrote Sup]],
    IF(All[[#This Row],[Sup]]&lt;50,"FAL","PAS"),
  IF(All[[#This Row],[Exam/Def]]&lt;35, "FSB",
    IF(All[[#This Row],[Final]]&lt;50,"FAL",
    IF(All[[#This Row],[Final]]&gt;=50,"PAS",
  "Error!")))))</f>
        <v/>
      </c>
      <c r="N26" s="18">
        <f>IF(All[[#This Row],[Student]], _xlfn.IFNA(INDEX(captured[Course Mark],MATCH(All[[#This Row],[Student No.]],captured[ID_TEXT],0) &amp; ""), "Cannot find student!"),"No student!")</f>
        <v>39</v>
      </c>
      <c r="O26" s="189" t="str">
        <f>IF(All[[#This Row],[Student]], _xlfn.IFNA(INDEX(captured[Grade],MATCH(All[[#This Row],[Student No.]],captured[ID_TEXT],0)), "Cannot find student!") &amp; "","No student!")</f>
        <v>FSB</v>
      </c>
      <c r="P26"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26" s="18" t="str">
        <f>IF(All[[#This Row],[My Grade]]&lt;&gt;"",IF(All[[#This Row],[My Grade]]&lt;&gt;All[[#This Row],[Cap Grade]],TRUE,FALSE),"")</f>
        <v/>
      </c>
      <c r="R26" s="18" t="b">
        <f>IF(NOT(ISBLANK(All[[#This Row],[Student No.]])),OR(ISNUMBER(FIND("FSB",All[[#This Row],[My Grade]])),ISNUMBER(FIND("PAS", All[[#This Row],[My Grade]])),ISNUMBER(FIND("FAL",All[[#This Row],[My Grade]])),ISNUMBER(FIND("FAB", All[[#This Row],[My Grade]])),COUNTBLANK(All[[#This Row],[My Grade]])=1),FALSE)</f>
        <v>1</v>
      </c>
      <c r="S26" s="18" t="b">
        <f>IF(All[[#This Row],[Student No.]]&lt;&gt;"", TRUE, FALSE)</f>
        <v>1</v>
      </c>
      <c r="T26" s="18" t="b">
        <f>IF(COUNTBLANK(All[[#This Row],[Engagement]:[Exam/Def]])=0,TRUE, FALSE)</f>
        <v>0</v>
      </c>
      <c r="U26" s="18" t="b">
        <f>IF(ISNUMBER(All[[#This Row],[Test]]),TRUE,FALSE)</f>
        <v>0</v>
      </c>
      <c r="V26" s="18" t="b">
        <f>IF((INDEX(Test[Total (%)],MATCH(All[[#This Row],[Student No.]],Test[Student No.],0)))="ABS", TRUE, FALSE)</f>
        <v>0</v>
      </c>
      <c r="W26" s="18" t="b">
        <f>IF(ISNUMBER(INDEX(Exam[Total (%)],MATCH(All[[#This Row],[Student No.]],Exam[Student No.],0))), TRUE, FALSE)</f>
        <v>1</v>
      </c>
      <c r="X26" s="18" t="b">
        <f>IF(ISNUMBER(INDEX(#REF!,MATCH(All[[#This Row],[Student No.]],#REF!,0))),TRUE,FALSE)</f>
        <v>0</v>
      </c>
      <c r="Y26" s="18" t="b">
        <f>IF(ISNUMBER(INDEX(#REF!,MATCH(All[[#This Row],[Student No.]],#REF!,0))),TRUE,FALSE)</f>
        <v>0</v>
      </c>
      <c r="Z26" s="18" t="b">
        <f>IF(All[[#This Row],[Wrote Def]],
IF(INDEX(#REF!, MATCH(All[[#This Row],[Student No.]],#REF!,0))&lt;&gt;All[[#This Row],[Exam/Def]], TRUE, FALSE),
  IF(All[[#This Row],[Wrote Exam]], IF(INDEX(Exam[Total (%)], MATCH(All[[#This Row],[Student No.]],Exam[Student No.],0))&lt;&gt;All[[#This Row],[Exam/Def]],TRUE,FALSE), FALSE))</f>
        <v>0</v>
      </c>
      <c r="AA26" s="18" t="b">
        <f xml:space="preserve">    IF(AND(All[[#This Row],[Exam/Def]]&lt;35,OR(All[[#This Row],[Wrote Exam]],All[[#This Row],[Wrote Def]])), TRUE,FALSE)</f>
        <v>1</v>
      </c>
      <c r="AB26" s="18" t="b">
        <f>IF(AND(All[[#This Row],[Exam &lt; 35%]],All[[#This Row],[Final]]&gt;=50),TRUE,FALSE)</f>
        <v>1</v>
      </c>
      <c r="AC26" s="18"/>
    </row>
    <row r="27" spans="1:29" ht="43.2">
      <c r="A27" s="17" t="s">
        <v>291</v>
      </c>
      <c r="B27" s="17" t="s">
        <v>468</v>
      </c>
      <c r="C27" s="100" t="e">
        <f>IF(All[[#This Row],[Student]],
  IF(ISNA(INDEX(#REF!,MATCH(All[[#This Row],[Student No.]],#REF!,0))),
    "Cannot find student!",
    IF(INDEX(#REF!,MATCH(All[[#This Row],[Student No.]],#REF!,0))="",
      "",
      INDEX(#REF!,MATCH(All[[#This Row],[Student No.]],#REF!,0)))
    ),
  "No student!")</f>
        <v>#REF!</v>
      </c>
      <c r="D27"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27" s="18" t="str">
        <f>IF(All[[#This Row],[Student]],
  IF(ISNA(INDEX(Project[Total (%)],MATCH(All[[#This Row],[Student No.]],Project[Student No.],0))),
    "Cannot find student!",
    IF(INDEX(Project[Total (%)],MATCH(All[[#This Row],[Student No.]],Project[Student No.],0))="",
      "",
      INDEX(Project[Total (%)],MATCH(All[[#This Row],[Student No.]],Project[Student No.],0)))
    ),
  "No student!")</f>
        <v/>
      </c>
      <c r="F27" s="201">
        <f>IF(All[[#This Row],[Wrote Def]], INDEX(#REF!, MATCH(All[[#This Row],[Student No.]],#REF!,0)),
  IF(All[[#This Row],[Wrote Exam]], INDEX(Exam[Total (%)], MATCH(All[[#This Row],[Student No.]], Exam[Student No.],0)),
    ""))</f>
        <v>54</v>
      </c>
      <c r="G27" s="18" t="str">
        <f>IF(AND(All[[#This Row],[Student]], All[[#This Row],[All Components]]),
    IF(NOT(All[Has Test Mark]),ROUND((All[[#This Row],[Engagement]]*$C$5+All[[#This Row],[Project]]*$E$5+All[[#This Row],[Exam/Def]]*$F$5)/($C$5+$E$5+$F$5),0),
      ROUND((All[[#This Row],[Engagement]]*$C$5+All[[#This Row],[Test]]*$D$5+All[[#This Row],[Project]]*$E$5+All[[#This Row],[Exam/Def]]*$F$5)/($C$5+$D$5+$E$5+$F$5),0)
  ),
  "")</f>
        <v/>
      </c>
      <c r="H27" s="18" t="str">
        <f>All[[#This Row],[Course Mark]]</f>
        <v/>
      </c>
      <c r="I27" s="18" t="str">
        <f>IF(All[[#This Row],[Wrote Sup]], INDEX(#REF!,MATCH(All[[#This Row],[Student No.]],#REF!,0)), "")</f>
        <v/>
      </c>
      <c r="J27" s="18" t="str">
        <f>IF(AND(All[[#This Row],[Student]],ISNUMBER(All[[#This Row],[Final]])),_xlfn.RANK.EQ(All[[#This Row],[Final]],All[Final]),"")</f>
        <v/>
      </c>
      <c r="K27" s="31"/>
      <c r="L27" s="18" t="str">
        <f>IF(All[[#This Row],[Student]], IF(All[Wrote Sup],All[Sup],All[[#This Row],[Final]]),"No student")</f>
        <v/>
      </c>
      <c r="M27" s="18" t="str">
        <f>IF(All[[#This Row],[Final]]="","",
  IF(All[[#This Row],[Wrote Sup]],
    IF(All[[#This Row],[Sup]]&lt;50,"FAL","PAS"),
  IF(All[[#This Row],[Exam/Def]]&lt;35, "FSB",
    IF(All[[#This Row],[Final]]&lt;50,"FAL",
    IF(All[[#This Row],[Final]]&gt;=50,"PAS",
  "Error!")))))</f>
        <v/>
      </c>
      <c r="N27" s="18">
        <f>IF(All[[#This Row],[Student]], _xlfn.IFNA(INDEX(captured[Course Mark],MATCH(All[[#This Row],[Student No.]],captured[ID_TEXT],0) &amp; ""), "Cannot find student!"),"No student!")</f>
        <v>64</v>
      </c>
      <c r="O27" s="189" t="str">
        <f>IF(All[[#This Row],[Student]], _xlfn.IFNA(INDEX(captured[Grade],MATCH(All[[#This Row],[Student No.]],captured[ID_TEXT],0)), "Cannot find student!") &amp; "","No student!")</f>
        <v>PAS</v>
      </c>
      <c r="P27"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27" s="18" t="str">
        <f>IF(All[[#This Row],[My Grade]]&lt;&gt;"",IF(All[[#This Row],[My Grade]]&lt;&gt;All[[#This Row],[Cap Grade]],TRUE,FALSE),"")</f>
        <v/>
      </c>
      <c r="R27" s="18" t="b">
        <f>IF(NOT(ISBLANK(All[[#This Row],[Student No.]])),OR(ISNUMBER(FIND("FSB",All[[#This Row],[My Grade]])),ISNUMBER(FIND("PAS", All[[#This Row],[My Grade]])),ISNUMBER(FIND("FAL",All[[#This Row],[My Grade]])),ISNUMBER(FIND("FAB", All[[#This Row],[My Grade]])),COUNTBLANK(All[[#This Row],[My Grade]])=1),FALSE)</f>
        <v>1</v>
      </c>
      <c r="S27" s="18" t="b">
        <f>IF(All[[#This Row],[Student No.]]&lt;&gt;"", TRUE, FALSE)</f>
        <v>1</v>
      </c>
      <c r="T27" s="18" t="b">
        <f>IF(COUNTBLANK(All[[#This Row],[Engagement]:[Exam/Def]])=0,TRUE, FALSE)</f>
        <v>0</v>
      </c>
      <c r="U27" s="18" t="b">
        <f>IF(ISNUMBER(All[[#This Row],[Test]]),TRUE,FALSE)</f>
        <v>0</v>
      </c>
      <c r="V27" s="18" t="e">
        <f>IF((INDEX(Test[Total (%)],MATCH(All[[#This Row],[Student No.]],Test[Student No.],0)))="ABS", TRUE, FALSE)</f>
        <v>#N/A</v>
      </c>
      <c r="W27" s="18" t="b">
        <f>IF(ISNUMBER(INDEX(Exam[Total (%)],MATCH(All[[#This Row],[Student No.]],Exam[Student No.],0))), TRUE, FALSE)</f>
        <v>1</v>
      </c>
      <c r="X27" s="18" t="b">
        <f>IF(ISNUMBER(INDEX(#REF!,MATCH(All[[#This Row],[Student No.]],#REF!,0))),TRUE,FALSE)</f>
        <v>0</v>
      </c>
      <c r="Y27" s="18" t="b">
        <f>IF(ISNUMBER(INDEX(#REF!,MATCH(All[[#This Row],[Student No.]],#REF!,0))),TRUE,FALSE)</f>
        <v>0</v>
      </c>
      <c r="Z27" s="18" t="b">
        <f>IF(All[[#This Row],[Wrote Def]],
IF(INDEX(#REF!, MATCH(All[[#This Row],[Student No.]],#REF!,0))&lt;&gt;All[[#This Row],[Exam/Def]], TRUE, FALSE),
  IF(All[[#This Row],[Wrote Exam]], IF(INDEX(Exam[Total (%)], MATCH(All[[#This Row],[Student No.]],Exam[Student No.],0))&lt;&gt;All[[#This Row],[Exam/Def]],TRUE,FALSE), FALSE))</f>
        <v>0</v>
      </c>
      <c r="AA27" s="18" t="b">
        <f xml:space="preserve">    IF(AND(All[[#This Row],[Exam/Def]]&lt;35,OR(All[[#This Row],[Wrote Exam]],All[[#This Row],[Wrote Def]])), TRUE,FALSE)</f>
        <v>0</v>
      </c>
      <c r="AB27" s="18" t="b">
        <f>IF(AND(All[[#This Row],[Exam &lt; 35%]],All[[#This Row],[Final]]&gt;=50),TRUE,FALSE)</f>
        <v>0</v>
      </c>
      <c r="AC27" s="18"/>
    </row>
    <row r="28" spans="1:29" ht="43.2">
      <c r="A28" s="17" t="s">
        <v>292</v>
      </c>
      <c r="B28" s="17" t="s">
        <v>469</v>
      </c>
      <c r="C28" s="100" t="e">
        <f>IF(All[[#This Row],[Student]],
  IF(ISNA(INDEX(#REF!,MATCH(All[[#This Row],[Student No.]],#REF!,0))),
    "Cannot find student!",
    IF(INDEX(#REF!,MATCH(All[[#This Row],[Student No.]],#REF!,0))="",
      "",
      INDEX(#REF!,MATCH(All[[#This Row],[Student No.]],#REF!,0)))
    ),
  "No student!")</f>
        <v>#REF!</v>
      </c>
      <c r="D28"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28" s="18" t="str">
        <f>IF(All[[#This Row],[Student]],
  IF(ISNA(INDEX(Project[Total (%)],MATCH(All[[#This Row],[Student No.]],Project[Student No.],0))),
    "Cannot find student!",
    IF(INDEX(Project[Total (%)],MATCH(All[[#This Row],[Student No.]],Project[Student No.],0))="",
      "",
      INDEX(Project[Total (%)],MATCH(All[[#This Row],[Student No.]],Project[Student No.],0)))
    ),
  "No student!")</f>
        <v/>
      </c>
      <c r="F28" s="201">
        <f>IF(All[[#This Row],[Wrote Def]], INDEX(#REF!, MATCH(All[[#This Row],[Student No.]],#REF!,0)),
  IF(All[[#This Row],[Wrote Exam]], INDEX(Exam[Total (%)], MATCH(All[[#This Row],[Student No.]], Exam[Student No.],0)),
    ""))</f>
        <v>4</v>
      </c>
      <c r="G28" s="18" t="str">
        <f>IF(AND(All[[#This Row],[Student]], All[[#This Row],[All Components]]),
    IF(NOT(All[Has Test Mark]),ROUND((All[[#This Row],[Engagement]]*$C$5+All[[#This Row],[Project]]*$E$5+All[[#This Row],[Exam/Def]]*$F$5)/($C$5+$E$5+$F$5),0),
      ROUND((All[[#This Row],[Engagement]]*$C$5+All[[#This Row],[Test]]*$D$5+All[[#This Row],[Project]]*$E$5+All[[#This Row],[Exam/Def]]*$F$5)/($C$5+$D$5+$E$5+$F$5),0)
  ),
  "")</f>
        <v/>
      </c>
      <c r="H28" s="18" t="str">
        <f>All[[#This Row],[Course Mark]]</f>
        <v/>
      </c>
      <c r="I28" s="18" t="str">
        <f>IF(All[[#This Row],[Wrote Sup]], INDEX(#REF!,MATCH(All[[#This Row],[Student No.]],#REF!,0)), "")</f>
        <v/>
      </c>
      <c r="J28" s="18" t="str">
        <f>IF(AND(All[[#This Row],[Student]],ISNUMBER(All[[#This Row],[Final]])),_xlfn.RANK.EQ(All[[#This Row],[Final]],All[Final]),"")</f>
        <v/>
      </c>
      <c r="K28" s="31"/>
      <c r="L28" s="18" t="str">
        <f>IF(All[[#This Row],[Student]], IF(All[Wrote Sup],All[Sup],All[[#This Row],[Final]]),"No student")</f>
        <v/>
      </c>
      <c r="M28" s="18" t="str">
        <f>IF(All[[#This Row],[Final]]="","",
  IF(All[[#This Row],[Wrote Sup]],
    IF(All[[#This Row],[Sup]]&lt;50,"FAL","PAS"),
  IF(All[[#This Row],[Exam/Def]]&lt;35, "FSB",
    IF(All[[#This Row],[Final]]&lt;50,"FAL",
    IF(All[[#This Row],[Final]]&gt;=50,"PAS",
  "Error!")))))</f>
        <v/>
      </c>
      <c r="N28" s="18">
        <f>IF(All[[#This Row],[Student]], _xlfn.IFNA(INDEX(captured[Course Mark],MATCH(All[[#This Row],[Student No.]],captured[ID_TEXT],0) &amp; ""), "Cannot find student!"),"No student!")</f>
        <v>21</v>
      </c>
      <c r="O28" s="189" t="str">
        <f>IF(All[[#This Row],[Student]], _xlfn.IFNA(INDEX(captured[Grade],MATCH(All[[#This Row],[Student No.]],captured[ID_TEXT],0)), "Cannot find student!") &amp; "","No student!")</f>
        <v>FSB</v>
      </c>
      <c r="P28"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28" s="18" t="str">
        <f>IF(All[[#This Row],[My Grade]]&lt;&gt;"",IF(All[[#This Row],[My Grade]]&lt;&gt;All[[#This Row],[Cap Grade]],TRUE,FALSE),"")</f>
        <v/>
      </c>
      <c r="R28" s="18" t="b">
        <f>IF(NOT(ISBLANK(All[[#This Row],[Student No.]])),OR(ISNUMBER(FIND("FSB",All[[#This Row],[My Grade]])),ISNUMBER(FIND("PAS", All[[#This Row],[My Grade]])),ISNUMBER(FIND("FAL",All[[#This Row],[My Grade]])),ISNUMBER(FIND("FAB", All[[#This Row],[My Grade]])),COUNTBLANK(All[[#This Row],[My Grade]])=1),FALSE)</f>
        <v>1</v>
      </c>
      <c r="S28" s="18" t="b">
        <f>IF(All[[#This Row],[Student No.]]&lt;&gt;"", TRUE, FALSE)</f>
        <v>1</v>
      </c>
      <c r="T28" s="18" t="b">
        <f>IF(COUNTBLANK(All[[#This Row],[Engagement]:[Exam/Def]])=0,TRUE, FALSE)</f>
        <v>0</v>
      </c>
      <c r="U28" s="18" t="b">
        <f>IF(ISNUMBER(All[[#This Row],[Test]]),TRUE,FALSE)</f>
        <v>0</v>
      </c>
      <c r="V28" s="18" t="e">
        <f>IF((INDEX(Test[Total (%)],MATCH(All[[#This Row],[Student No.]],Test[Student No.],0)))="ABS", TRUE, FALSE)</f>
        <v>#N/A</v>
      </c>
      <c r="W28" s="18" t="b">
        <f>IF(ISNUMBER(INDEX(Exam[Total (%)],MATCH(All[[#This Row],[Student No.]],Exam[Student No.],0))), TRUE, FALSE)</f>
        <v>1</v>
      </c>
      <c r="X28" s="18" t="b">
        <f>IF(ISNUMBER(INDEX(#REF!,MATCH(All[[#This Row],[Student No.]],#REF!,0))),TRUE,FALSE)</f>
        <v>0</v>
      </c>
      <c r="Y28" s="18" t="b">
        <f>IF(ISNUMBER(INDEX(#REF!,MATCH(All[[#This Row],[Student No.]],#REF!,0))),TRUE,FALSE)</f>
        <v>0</v>
      </c>
      <c r="Z28" s="18" t="b">
        <f>IF(All[[#This Row],[Wrote Def]],
IF(INDEX(#REF!, MATCH(All[[#This Row],[Student No.]],#REF!,0))&lt;&gt;All[[#This Row],[Exam/Def]], TRUE, FALSE),
  IF(All[[#This Row],[Wrote Exam]], IF(INDEX(Exam[Total (%)], MATCH(All[[#This Row],[Student No.]],Exam[Student No.],0))&lt;&gt;All[[#This Row],[Exam/Def]],TRUE,FALSE), FALSE))</f>
        <v>0</v>
      </c>
      <c r="AA28" s="18" t="b">
        <f xml:space="preserve">    IF(AND(All[[#This Row],[Exam/Def]]&lt;35,OR(All[[#This Row],[Wrote Exam]],All[[#This Row],[Wrote Def]])), TRUE,FALSE)</f>
        <v>1</v>
      </c>
      <c r="AB28" s="18" t="b">
        <f>IF(AND(All[[#This Row],[Exam &lt; 35%]],All[[#This Row],[Final]]&gt;=50),TRUE,FALSE)</f>
        <v>1</v>
      </c>
      <c r="AC28" s="18"/>
    </row>
    <row r="29" spans="1:29" ht="43.2">
      <c r="A29" s="17" t="s">
        <v>293</v>
      </c>
      <c r="B29" s="17" t="s">
        <v>470</v>
      </c>
      <c r="C29" s="100" t="e">
        <f>IF(All[[#This Row],[Student]],
  IF(ISNA(INDEX(#REF!,MATCH(All[[#This Row],[Student No.]],#REF!,0))),
    "Cannot find student!",
    IF(INDEX(#REF!,MATCH(All[[#This Row],[Student No.]],#REF!,0))="",
      "",
      INDEX(#REF!,MATCH(All[[#This Row],[Student No.]],#REF!,0)))
    ),
  "No student!")</f>
        <v>#REF!</v>
      </c>
      <c r="D29"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29" s="18" t="str">
        <f>IF(All[[#This Row],[Student]],
  IF(ISNA(INDEX(Project[Total (%)],MATCH(All[[#This Row],[Student No.]],Project[Student No.],0))),
    "Cannot find student!",
    IF(INDEX(Project[Total (%)],MATCH(All[[#This Row],[Student No.]],Project[Student No.],0))="",
      "",
      INDEX(Project[Total (%)],MATCH(All[[#This Row],[Student No.]],Project[Student No.],0)))
    ),
  "No student!")</f>
        <v/>
      </c>
      <c r="F29" s="201" t="str">
        <f>IF(All[[#This Row],[Wrote Def]], INDEX(#REF!, MATCH(All[[#This Row],[Student No.]],#REF!,0)),
  IF(All[[#This Row],[Wrote Exam]], INDEX(Exam[Total (%)], MATCH(All[[#This Row],[Student No.]], Exam[Student No.],0)),
    ""))</f>
        <v/>
      </c>
      <c r="G29" s="18" t="str">
        <f>IF(AND(All[[#This Row],[Student]], All[[#This Row],[All Components]]),
    IF(NOT(All[Has Test Mark]),ROUND((All[[#This Row],[Engagement]]*$C$5+All[[#This Row],[Project]]*$E$5+All[[#This Row],[Exam/Def]]*$F$5)/($C$5+$E$5+$F$5),0),
      ROUND((All[[#This Row],[Engagement]]*$C$5+All[[#This Row],[Test]]*$D$5+All[[#This Row],[Project]]*$E$5+All[[#This Row],[Exam/Def]]*$F$5)/($C$5+$D$5+$E$5+$F$5),0)
  ),
  "")</f>
        <v/>
      </c>
      <c r="H29" s="18" t="str">
        <f>All[[#This Row],[Course Mark]]</f>
        <v/>
      </c>
      <c r="I29" s="18" t="str">
        <f>IF(All[[#This Row],[Wrote Sup]], INDEX(#REF!,MATCH(All[[#This Row],[Student No.]],#REF!,0)), "")</f>
        <v/>
      </c>
      <c r="J29" s="18" t="str">
        <f>IF(AND(All[[#This Row],[Student]],ISNUMBER(All[[#This Row],[Final]])),_xlfn.RANK.EQ(All[[#This Row],[Final]],All[Final]),"")</f>
        <v/>
      </c>
      <c r="K29" s="31"/>
      <c r="L29" s="18" t="str">
        <f>IF(All[[#This Row],[Student]], IF(All[Wrote Sup],All[Sup],All[[#This Row],[Final]]),"No student")</f>
        <v/>
      </c>
      <c r="M29" s="18" t="str">
        <f>IF(All[[#This Row],[Final]]="","",
  IF(All[[#This Row],[Wrote Sup]],
    IF(All[[#This Row],[Sup]]&lt;50,"FAL","PAS"),
  IF(All[[#This Row],[Exam/Def]]&lt;35, "FSB",
    IF(All[[#This Row],[Final]]&lt;50,"FAL",
    IF(All[[#This Row],[Final]]&gt;=50,"PAS",
  "Error!")))))</f>
        <v/>
      </c>
      <c r="N29" s="18">
        <f>IF(All[[#This Row],[Student]], _xlfn.IFNA(INDEX(captured[Course Mark],MATCH(All[[#This Row],[Student No.]],captured[ID_TEXT],0) &amp; ""), "Cannot find student!"),"No student!")</f>
        <v>27</v>
      </c>
      <c r="O29" s="189" t="str">
        <f>IF(All[[#This Row],[Student]], _xlfn.IFNA(INDEX(captured[Grade],MATCH(All[[#This Row],[Student No.]],captured[ID_TEXT],0)), "Cannot find student!") &amp; "","No student!")</f>
        <v>FSB</v>
      </c>
      <c r="P29"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29" s="18" t="str">
        <f>IF(All[[#This Row],[My Grade]]&lt;&gt;"",IF(All[[#This Row],[My Grade]]&lt;&gt;All[[#This Row],[Cap Grade]],TRUE,FALSE),"")</f>
        <v/>
      </c>
      <c r="R29" s="18" t="b">
        <f>IF(NOT(ISBLANK(All[[#This Row],[Student No.]])),OR(ISNUMBER(FIND("FSB",All[[#This Row],[My Grade]])),ISNUMBER(FIND("PAS", All[[#This Row],[My Grade]])),ISNUMBER(FIND("FAL",All[[#This Row],[My Grade]])),ISNUMBER(FIND("FAB", All[[#This Row],[My Grade]])),COUNTBLANK(All[[#This Row],[My Grade]])=1),FALSE)</f>
        <v>1</v>
      </c>
      <c r="S29" s="18" t="b">
        <f>IF(All[[#This Row],[Student No.]]&lt;&gt;"", TRUE, FALSE)</f>
        <v>1</v>
      </c>
      <c r="T29" s="18" t="b">
        <f>IF(COUNTBLANK(All[[#This Row],[Engagement]:[Exam/Def]])=0,TRUE, FALSE)</f>
        <v>0</v>
      </c>
      <c r="U29" s="18" t="b">
        <f>IF(ISNUMBER(All[[#This Row],[Test]]),TRUE,FALSE)</f>
        <v>0</v>
      </c>
      <c r="V29" s="18" t="e">
        <f>IF((INDEX(Test[Total (%)],MATCH(All[[#This Row],[Student No.]],Test[Student No.],0)))="ABS", TRUE, FALSE)</f>
        <v>#N/A</v>
      </c>
      <c r="W29" s="18" t="b">
        <f>IF(ISNUMBER(INDEX(Exam[Total (%)],MATCH(All[[#This Row],[Student No.]],Exam[Student No.],0))), TRUE, FALSE)</f>
        <v>0</v>
      </c>
      <c r="X29" s="18" t="b">
        <f>IF(ISNUMBER(INDEX(#REF!,MATCH(All[[#This Row],[Student No.]],#REF!,0))),TRUE,FALSE)</f>
        <v>0</v>
      </c>
      <c r="Y29" s="18" t="b">
        <f>IF(ISNUMBER(INDEX(#REF!,MATCH(All[[#This Row],[Student No.]],#REF!,0))),TRUE,FALSE)</f>
        <v>0</v>
      </c>
      <c r="Z29" s="18" t="b">
        <f>IF(All[[#This Row],[Wrote Def]],
IF(INDEX(#REF!, MATCH(All[[#This Row],[Student No.]],#REF!,0))&lt;&gt;All[[#This Row],[Exam/Def]], TRUE, FALSE),
  IF(All[[#This Row],[Wrote Exam]], IF(INDEX(Exam[Total (%)], MATCH(All[[#This Row],[Student No.]],Exam[Student No.],0))&lt;&gt;All[[#This Row],[Exam/Def]],TRUE,FALSE), FALSE))</f>
        <v>0</v>
      </c>
      <c r="AA29" s="18" t="b">
        <f xml:space="preserve">    IF(AND(All[[#This Row],[Exam/Def]]&lt;35,OR(All[[#This Row],[Wrote Exam]],All[[#This Row],[Wrote Def]])), TRUE,FALSE)</f>
        <v>0</v>
      </c>
      <c r="AB29" s="18" t="b">
        <f>IF(AND(All[[#This Row],[Exam &lt; 35%]],All[[#This Row],[Final]]&gt;=50),TRUE,FALSE)</f>
        <v>0</v>
      </c>
      <c r="AC29" s="18"/>
    </row>
    <row r="30" spans="1:29" ht="43.2">
      <c r="A30" s="17" t="s">
        <v>294</v>
      </c>
      <c r="B30" s="17" t="s">
        <v>471</v>
      </c>
      <c r="C30" s="100" t="e">
        <f>IF(All[[#This Row],[Student]],
  IF(ISNA(INDEX(#REF!,MATCH(All[[#This Row],[Student No.]],#REF!,0))),
    "Cannot find student!",
    IF(INDEX(#REF!,MATCH(All[[#This Row],[Student No.]],#REF!,0))="",
      "",
      INDEX(#REF!,MATCH(All[[#This Row],[Student No.]],#REF!,0)))
    ),
  "No student!")</f>
        <v>#REF!</v>
      </c>
      <c r="D30"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30" s="18" t="str">
        <f>IF(All[[#This Row],[Student]],
  IF(ISNA(INDEX(Project[Total (%)],MATCH(All[[#This Row],[Student No.]],Project[Student No.],0))),
    "Cannot find student!",
    IF(INDEX(Project[Total (%)],MATCH(All[[#This Row],[Student No.]],Project[Student No.],0))="",
      "",
      INDEX(Project[Total (%)],MATCH(All[[#This Row],[Student No.]],Project[Student No.],0)))
    ),
  "No student!")</f>
        <v/>
      </c>
      <c r="F30" s="201">
        <f>IF(All[[#This Row],[Wrote Def]], INDEX(#REF!, MATCH(All[[#This Row],[Student No.]],#REF!,0)),
  IF(All[[#This Row],[Wrote Exam]], INDEX(Exam[Total (%)], MATCH(All[[#This Row],[Student No.]], Exam[Student No.],0)),
    ""))</f>
        <v>48</v>
      </c>
      <c r="G30" s="18" t="str">
        <f>IF(AND(All[[#This Row],[Student]], All[[#This Row],[All Components]]),
    IF(NOT(All[Has Test Mark]),ROUND((All[[#This Row],[Engagement]]*$C$5+All[[#This Row],[Project]]*$E$5+All[[#This Row],[Exam/Def]]*$F$5)/($C$5+$E$5+$F$5),0),
      ROUND((All[[#This Row],[Engagement]]*$C$5+All[[#This Row],[Test]]*$D$5+All[[#This Row],[Project]]*$E$5+All[[#This Row],[Exam/Def]]*$F$5)/($C$5+$D$5+$E$5+$F$5),0)
  ),
  "")</f>
        <v/>
      </c>
      <c r="H30" s="18" t="str">
        <f>All[[#This Row],[Course Mark]]</f>
        <v/>
      </c>
      <c r="I30" s="18" t="str">
        <f>IF(All[[#This Row],[Wrote Sup]], INDEX(#REF!,MATCH(All[[#This Row],[Student No.]],#REF!,0)), "")</f>
        <v/>
      </c>
      <c r="J30" s="18" t="str">
        <f>IF(AND(All[[#This Row],[Student]],ISNUMBER(All[[#This Row],[Final]])),_xlfn.RANK.EQ(All[[#This Row],[Final]],All[Final]),"")</f>
        <v/>
      </c>
      <c r="K30" s="31"/>
      <c r="L30" s="18" t="str">
        <f>IF(All[[#This Row],[Student]], IF(All[Wrote Sup],All[Sup],All[[#This Row],[Final]]),"No student")</f>
        <v/>
      </c>
      <c r="M30" s="18" t="str">
        <f>IF(All[[#This Row],[Final]]="","",
  IF(All[[#This Row],[Wrote Sup]],
    IF(All[[#This Row],[Sup]]&lt;50,"FAL","PAS"),
  IF(All[[#This Row],[Exam/Def]]&lt;35, "FSB",
    IF(All[[#This Row],[Final]]&lt;50,"FAL",
    IF(All[[#This Row],[Final]]&gt;=50,"PAS",
  "Error!")))))</f>
        <v/>
      </c>
      <c r="N30" s="18">
        <f>IF(All[[#This Row],[Student]], _xlfn.IFNA(INDEX(captured[Course Mark],MATCH(All[[#This Row],[Student No.]],captured[ID_TEXT],0) &amp; ""), "Cannot find student!"),"No student!")</f>
        <v>54</v>
      </c>
      <c r="O30" s="189" t="str">
        <f>IF(All[[#This Row],[Student]], _xlfn.IFNA(INDEX(captured[Grade],MATCH(All[[#This Row],[Student No.]],captured[ID_TEXT],0)), "Cannot find student!") &amp; "","No student!")</f>
        <v>PAS</v>
      </c>
      <c r="P30"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30" s="18" t="str">
        <f>IF(All[[#This Row],[My Grade]]&lt;&gt;"",IF(All[[#This Row],[My Grade]]&lt;&gt;All[[#This Row],[Cap Grade]],TRUE,FALSE),"")</f>
        <v/>
      </c>
      <c r="R30" s="18" t="b">
        <f>IF(NOT(ISBLANK(All[[#This Row],[Student No.]])),OR(ISNUMBER(FIND("FSB",All[[#This Row],[My Grade]])),ISNUMBER(FIND("PAS", All[[#This Row],[My Grade]])),ISNUMBER(FIND("FAL",All[[#This Row],[My Grade]])),ISNUMBER(FIND("FAB", All[[#This Row],[My Grade]])),COUNTBLANK(All[[#This Row],[My Grade]])=1),FALSE)</f>
        <v>1</v>
      </c>
      <c r="S30" s="18" t="b">
        <f>IF(All[[#This Row],[Student No.]]&lt;&gt;"", TRUE, FALSE)</f>
        <v>1</v>
      </c>
      <c r="T30" s="18" t="b">
        <f>IF(COUNTBLANK(All[[#This Row],[Engagement]:[Exam/Def]])=0,TRUE, FALSE)</f>
        <v>0</v>
      </c>
      <c r="U30" s="18" t="b">
        <f>IF(ISNUMBER(All[[#This Row],[Test]]),TRUE,FALSE)</f>
        <v>0</v>
      </c>
      <c r="V30" s="18" t="e">
        <f>IF((INDEX(Test[Total (%)],MATCH(All[[#This Row],[Student No.]],Test[Student No.],0)))="ABS", TRUE, FALSE)</f>
        <v>#N/A</v>
      </c>
      <c r="W30" s="18" t="b">
        <f>IF(ISNUMBER(INDEX(Exam[Total (%)],MATCH(All[[#This Row],[Student No.]],Exam[Student No.],0))), TRUE, FALSE)</f>
        <v>1</v>
      </c>
      <c r="X30" s="18" t="b">
        <f>IF(ISNUMBER(INDEX(#REF!,MATCH(All[[#This Row],[Student No.]],#REF!,0))),TRUE,FALSE)</f>
        <v>0</v>
      </c>
      <c r="Y30" s="18" t="b">
        <f>IF(ISNUMBER(INDEX(#REF!,MATCH(All[[#This Row],[Student No.]],#REF!,0))),TRUE,FALSE)</f>
        <v>0</v>
      </c>
      <c r="Z30" s="18" t="b">
        <f>IF(All[[#This Row],[Wrote Def]],
IF(INDEX(#REF!, MATCH(All[[#This Row],[Student No.]],#REF!,0))&lt;&gt;All[[#This Row],[Exam/Def]], TRUE, FALSE),
  IF(All[[#This Row],[Wrote Exam]], IF(INDEX(Exam[Total (%)], MATCH(All[[#This Row],[Student No.]],Exam[Student No.],0))&lt;&gt;All[[#This Row],[Exam/Def]],TRUE,FALSE), FALSE))</f>
        <v>0</v>
      </c>
      <c r="AA30" s="18" t="b">
        <f xml:space="preserve">    IF(AND(All[[#This Row],[Exam/Def]]&lt;35,OR(All[[#This Row],[Wrote Exam]],All[[#This Row],[Wrote Def]])), TRUE,FALSE)</f>
        <v>0</v>
      </c>
      <c r="AB30" s="18" t="b">
        <f>IF(AND(All[[#This Row],[Exam &lt; 35%]],All[[#This Row],[Final]]&gt;=50),TRUE,FALSE)</f>
        <v>0</v>
      </c>
      <c r="AC30" s="18"/>
    </row>
    <row r="31" spans="1:29" ht="43.2">
      <c r="A31" s="17" t="s">
        <v>296</v>
      </c>
      <c r="B31" s="17" t="s">
        <v>472</v>
      </c>
      <c r="C31" s="100" t="e">
        <f>IF(All[[#This Row],[Student]],
  IF(ISNA(INDEX(#REF!,MATCH(All[[#This Row],[Student No.]],#REF!,0))),
    "Cannot find student!",
    IF(INDEX(#REF!,MATCH(All[[#This Row],[Student No.]],#REF!,0))="",
      "",
      INDEX(#REF!,MATCH(All[[#This Row],[Student No.]],#REF!,0)))
    ),
  "No student!")</f>
        <v>#REF!</v>
      </c>
      <c r="D31"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31" s="18" t="str">
        <f>IF(All[[#This Row],[Student]],
  IF(ISNA(INDEX(Project[Total (%)],MATCH(All[[#This Row],[Student No.]],Project[Student No.],0))),
    "Cannot find student!",
    IF(INDEX(Project[Total (%)],MATCH(All[[#This Row],[Student No.]],Project[Student No.],0))="",
      "",
      INDEX(Project[Total (%)],MATCH(All[[#This Row],[Student No.]],Project[Student No.],0)))
    ),
  "No student!")</f>
        <v/>
      </c>
      <c r="F31" s="201">
        <f>IF(All[[#This Row],[Wrote Def]], INDEX(#REF!, MATCH(All[[#This Row],[Student No.]],#REF!,0)),
  IF(All[[#This Row],[Wrote Exam]], INDEX(Exam[Total (%)], MATCH(All[[#This Row],[Student No.]], Exam[Student No.],0)),
    ""))</f>
        <v>58</v>
      </c>
      <c r="G31" s="18" t="str">
        <f>IF(AND(All[[#This Row],[Student]], All[[#This Row],[All Components]]),
    IF(NOT(All[Has Test Mark]),ROUND((All[[#This Row],[Engagement]]*$C$5+All[[#This Row],[Project]]*$E$5+All[[#This Row],[Exam/Def]]*$F$5)/($C$5+$E$5+$F$5),0),
      ROUND((All[[#This Row],[Engagement]]*$C$5+All[[#This Row],[Test]]*$D$5+All[[#This Row],[Project]]*$E$5+All[[#This Row],[Exam/Def]]*$F$5)/($C$5+$D$5+$E$5+$F$5),0)
  ),
  "")</f>
        <v/>
      </c>
      <c r="H31" s="18" t="str">
        <f>All[[#This Row],[Course Mark]]</f>
        <v/>
      </c>
      <c r="I31" s="18" t="str">
        <f>IF(All[[#This Row],[Wrote Sup]], INDEX(#REF!,MATCH(All[[#This Row],[Student No.]],#REF!,0)), "")</f>
        <v/>
      </c>
      <c r="J31" s="18" t="str">
        <f>IF(AND(All[[#This Row],[Student]],ISNUMBER(All[[#This Row],[Final]])),_xlfn.RANK.EQ(All[[#This Row],[Final]],All[Final]),"")</f>
        <v/>
      </c>
      <c r="K31" s="31"/>
      <c r="L31" s="18" t="str">
        <f>IF(All[[#This Row],[Student]], IF(All[Wrote Sup],All[Sup],All[[#This Row],[Final]]),"No student")</f>
        <v/>
      </c>
      <c r="M31" s="18" t="str">
        <f>IF(All[[#This Row],[Final]]="","",
  IF(All[[#This Row],[Wrote Sup]],
    IF(All[[#This Row],[Sup]]&lt;50,"FAL","PAS"),
  IF(All[[#This Row],[Exam/Def]]&lt;35, "FSB",
    IF(All[[#This Row],[Final]]&lt;50,"FAL",
    IF(All[[#This Row],[Final]]&gt;=50,"PAS",
  "Error!")))))</f>
        <v/>
      </c>
      <c r="N31" s="18">
        <f>IF(All[[#This Row],[Student]], _xlfn.IFNA(INDEX(captured[Course Mark],MATCH(All[[#This Row],[Student No.]],captured[ID_TEXT],0) &amp; ""), "Cannot find student!"),"No student!")</f>
        <v>66</v>
      </c>
      <c r="O31" s="189" t="str">
        <f>IF(All[[#This Row],[Student]], _xlfn.IFNA(INDEX(captured[Grade],MATCH(All[[#This Row],[Student No.]],captured[ID_TEXT],0)), "Cannot find student!") &amp; "","No student!")</f>
        <v>PAS</v>
      </c>
      <c r="P31"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31" s="18" t="str">
        <f>IF(All[[#This Row],[My Grade]]&lt;&gt;"",IF(All[[#This Row],[My Grade]]&lt;&gt;All[[#This Row],[Cap Grade]],TRUE,FALSE),"")</f>
        <v/>
      </c>
      <c r="R31" s="18" t="b">
        <f>IF(NOT(ISBLANK(All[[#This Row],[Student No.]])),OR(ISNUMBER(FIND("FSB",All[[#This Row],[My Grade]])),ISNUMBER(FIND("PAS", All[[#This Row],[My Grade]])),ISNUMBER(FIND("FAL",All[[#This Row],[My Grade]])),ISNUMBER(FIND("FAB", All[[#This Row],[My Grade]])),COUNTBLANK(All[[#This Row],[My Grade]])=1),FALSE)</f>
        <v>1</v>
      </c>
      <c r="S31" s="18" t="b">
        <f>IF(All[[#This Row],[Student No.]]&lt;&gt;"", TRUE, FALSE)</f>
        <v>1</v>
      </c>
      <c r="T31" s="18" t="b">
        <f>IF(COUNTBLANK(All[[#This Row],[Engagement]:[Exam/Def]])=0,TRUE, FALSE)</f>
        <v>0</v>
      </c>
      <c r="U31" s="18" t="b">
        <f>IF(ISNUMBER(All[[#This Row],[Test]]),TRUE,FALSE)</f>
        <v>0</v>
      </c>
      <c r="V31" s="18" t="e">
        <f>IF((INDEX(Test[Total (%)],MATCH(All[[#This Row],[Student No.]],Test[Student No.],0)))="ABS", TRUE, FALSE)</f>
        <v>#N/A</v>
      </c>
      <c r="W31" s="18" t="b">
        <f>IF(ISNUMBER(INDEX(Exam[Total (%)],MATCH(All[[#This Row],[Student No.]],Exam[Student No.],0))), TRUE, FALSE)</f>
        <v>1</v>
      </c>
      <c r="X31" s="18" t="b">
        <f>IF(ISNUMBER(INDEX(#REF!,MATCH(All[[#This Row],[Student No.]],#REF!,0))),TRUE,FALSE)</f>
        <v>0</v>
      </c>
      <c r="Y31" s="18" t="b">
        <f>IF(ISNUMBER(INDEX(#REF!,MATCH(All[[#This Row],[Student No.]],#REF!,0))),TRUE,FALSE)</f>
        <v>0</v>
      </c>
      <c r="Z31" s="18" t="b">
        <f>IF(All[[#This Row],[Wrote Def]],
IF(INDEX(#REF!, MATCH(All[[#This Row],[Student No.]],#REF!,0))&lt;&gt;All[[#This Row],[Exam/Def]], TRUE, FALSE),
  IF(All[[#This Row],[Wrote Exam]], IF(INDEX(Exam[Total (%)], MATCH(All[[#This Row],[Student No.]],Exam[Student No.],0))&lt;&gt;All[[#This Row],[Exam/Def]],TRUE,FALSE), FALSE))</f>
        <v>0</v>
      </c>
      <c r="AA31" s="18" t="b">
        <f xml:space="preserve">    IF(AND(All[[#This Row],[Exam/Def]]&lt;35,OR(All[[#This Row],[Wrote Exam]],All[[#This Row],[Wrote Def]])), TRUE,FALSE)</f>
        <v>0</v>
      </c>
      <c r="AB31" s="18" t="b">
        <f>IF(AND(All[[#This Row],[Exam &lt; 35%]],All[[#This Row],[Final]]&gt;=50),TRUE,FALSE)</f>
        <v>0</v>
      </c>
      <c r="AC31" s="18"/>
    </row>
    <row r="32" spans="1:29" ht="43.2">
      <c r="A32" s="17" t="s">
        <v>297</v>
      </c>
      <c r="B32" s="17" t="s">
        <v>473</v>
      </c>
      <c r="C32" s="100" t="e">
        <f>IF(All[[#This Row],[Student]],
  IF(ISNA(INDEX(#REF!,MATCH(All[[#This Row],[Student No.]],#REF!,0))),
    "Cannot find student!",
    IF(INDEX(#REF!,MATCH(All[[#This Row],[Student No.]],#REF!,0))="",
      "",
      INDEX(#REF!,MATCH(All[[#This Row],[Student No.]],#REF!,0)))
    ),
  "No student!")</f>
        <v>#REF!</v>
      </c>
      <c r="D32"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32" s="18" t="str">
        <f>IF(All[[#This Row],[Student]],
  IF(ISNA(INDEX(Project[Total (%)],MATCH(All[[#This Row],[Student No.]],Project[Student No.],0))),
    "Cannot find student!",
    IF(INDEX(Project[Total (%)],MATCH(All[[#This Row],[Student No.]],Project[Student No.],0))="",
      "",
      INDEX(Project[Total (%)],MATCH(All[[#This Row],[Student No.]],Project[Student No.],0)))
    ),
  "No student!")</f>
        <v/>
      </c>
      <c r="F32" s="201">
        <f>IF(All[[#This Row],[Wrote Def]], INDEX(#REF!, MATCH(All[[#This Row],[Student No.]],#REF!,0)),
  IF(All[[#This Row],[Wrote Exam]], INDEX(Exam[Total (%)], MATCH(All[[#This Row],[Student No.]], Exam[Student No.],0)),
    ""))</f>
        <v>37</v>
      </c>
      <c r="G32" s="18" t="str">
        <f>IF(AND(All[[#This Row],[Student]], All[[#This Row],[All Components]]),
    IF(NOT(All[Has Test Mark]),ROUND((All[[#This Row],[Engagement]]*$C$5+All[[#This Row],[Project]]*$E$5+All[[#This Row],[Exam/Def]]*$F$5)/($C$5+$E$5+$F$5),0),
      ROUND((All[[#This Row],[Engagement]]*$C$5+All[[#This Row],[Test]]*$D$5+All[[#This Row],[Project]]*$E$5+All[[#This Row],[Exam/Def]]*$F$5)/($C$5+$D$5+$E$5+$F$5),0)
  ),
  "")</f>
        <v/>
      </c>
      <c r="H32" s="18" t="str">
        <f>All[[#This Row],[Course Mark]]</f>
        <v/>
      </c>
      <c r="I32" s="18" t="str">
        <f>IF(All[[#This Row],[Wrote Sup]], INDEX(#REF!,MATCH(All[[#This Row],[Student No.]],#REF!,0)), "")</f>
        <v/>
      </c>
      <c r="J32" s="18" t="str">
        <f>IF(AND(All[[#This Row],[Student]],ISNUMBER(All[[#This Row],[Final]])),_xlfn.RANK.EQ(All[[#This Row],[Final]],All[Final]),"")</f>
        <v/>
      </c>
      <c r="K32" s="31"/>
      <c r="L32" s="18" t="str">
        <f>IF(All[[#This Row],[Student]], IF(All[Wrote Sup],All[Sup],All[[#This Row],[Final]]),"No student")</f>
        <v/>
      </c>
      <c r="M32" s="18" t="str">
        <f>IF(All[[#This Row],[Final]]="","",
  IF(All[[#This Row],[Wrote Sup]],
    IF(All[[#This Row],[Sup]]&lt;50,"FAL","PAS"),
  IF(All[[#This Row],[Exam/Def]]&lt;35, "FSB",
    IF(All[[#This Row],[Final]]&lt;50,"FAL",
    IF(All[[#This Row],[Final]]&gt;=50,"PAS",
  "Error!")))))</f>
        <v/>
      </c>
      <c r="N32" s="18">
        <f>IF(All[[#This Row],[Student]], _xlfn.IFNA(INDEX(captured[Course Mark],MATCH(All[[#This Row],[Student No.]],captured[ID_TEXT],0) &amp; ""), "Cannot find student!"),"No student!")</f>
        <v>52</v>
      </c>
      <c r="O32" s="189" t="str">
        <f>IF(All[[#This Row],[Student]], _xlfn.IFNA(INDEX(captured[Grade],MATCH(All[[#This Row],[Student No.]],captured[ID_TEXT],0)), "Cannot find student!") &amp; "","No student!")</f>
        <v>PAS</v>
      </c>
      <c r="P32"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32" s="18" t="str">
        <f>IF(All[[#This Row],[My Grade]]&lt;&gt;"",IF(All[[#This Row],[My Grade]]&lt;&gt;All[[#This Row],[Cap Grade]],TRUE,FALSE),"")</f>
        <v/>
      </c>
      <c r="R32" s="18" t="b">
        <f>IF(NOT(ISBLANK(All[[#This Row],[Student No.]])),OR(ISNUMBER(FIND("FSB",All[[#This Row],[My Grade]])),ISNUMBER(FIND("PAS", All[[#This Row],[My Grade]])),ISNUMBER(FIND("FAL",All[[#This Row],[My Grade]])),ISNUMBER(FIND("FAB", All[[#This Row],[My Grade]])),COUNTBLANK(All[[#This Row],[My Grade]])=1),FALSE)</f>
        <v>1</v>
      </c>
      <c r="S32" s="18" t="b">
        <f>IF(All[[#This Row],[Student No.]]&lt;&gt;"", TRUE, FALSE)</f>
        <v>1</v>
      </c>
      <c r="T32" s="18" t="b">
        <f>IF(COUNTBLANK(All[[#This Row],[Engagement]:[Exam/Def]])=0,TRUE, FALSE)</f>
        <v>0</v>
      </c>
      <c r="U32" s="18" t="b">
        <f>IF(ISNUMBER(All[[#This Row],[Test]]),TRUE,FALSE)</f>
        <v>0</v>
      </c>
      <c r="V32" s="18" t="e">
        <f>IF((INDEX(Test[Total (%)],MATCH(All[[#This Row],[Student No.]],Test[Student No.],0)))="ABS", TRUE, FALSE)</f>
        <v>#N/A</v>
      </c>
      <c r="W32" s="18" t="b">
        <f>IF(ISNUMBER(INDEX(Exam[Total (%)],MATCH(All[[#This Row],[Student No.]],Exam[Student No.],0))), TRUE, FALSE)</f>
        <v>1</v>
      </c>
      <c r="X32" s="18" t="b">
        <f>IF(ISNUMBER(INDEX(#REF!,MATCH(All[[#This Row],[Student No.]],#REF!,0))),TRUE,FALSE)</f>
        <v>0</v>
      </c>
      <c r="Y32" s="18" t="b">
        <f>IF(ISNUMBER(INDEX(#REF!,MATCH(All[[#This Row],[Student No.]],#REF!,0))),TRUE,FALSE)</f>
        <v>0</v>
      </c>
      <c r="Z32" s="18" t="b">
        <f>IF(All[[#This Row],[Wrote Def]],
IF(INDEX(#REF!, MATCH(All[[#This Row],[Student No.]],#REF!,0))&lt;&gt;All[[#This Row],[Exam/Def]], TRUE, FALSE),
  IF(All[[#This Row],[Wrote Exam]], IF(INDEX(Exam[Total (%)], MATCH(All[[#This Row],[Student No.]],Exam[Student No.],0))&lt;&gt;All[[#This Row],[Exam/Def]],TRUE,FALSE), FALSE))</f>
        <v>0</v>
      </c>
      <c r="AA32" s="18" t="b">
        <f xml:space="preserve">    IF(AND(All[[#This Row],[Exam/Def]]&lt;35,OR(All[[#This Row],[Wrote Exam]],All[[#This Row],[Wrote Def]])), TRUE,FALSE)</f>
        <v>0</v>
      </c>
      <c r="AB32" s="18" t="b">
        <f>IF(AND(All[[#This Row],[Exam &lt; 35%]],All[[#This Row],[Final]]&gt;=50),TRUE,FALSE)</f>
        <v>0</v>
      </c>
      <c r="AC32" s="18"/>
    </row>
    <row r="33" spans="1:29" ht="43.2">
      <c r="A33" s="17" t="s">
        <v>298</v>
      </c>
      <c r="B33" s="17" t="s">
        <v>474</v>
      </c>
      <c r="C33" s="100" t="e">
        <f>IF(All[[#This Row],[Student]],
  IF(ISNA(INDEX(#REF!,MATCH(All[[#This Row],[Student No.]],#REF!,0))),
    "Cannot find student!",
    IF(INDEX(#REF!,MATCH(All[[#This Row],[Student No.]],#REF!,0))="",
      "",
      INDEX(#REF!,MATCH(All[[#This Row],[Student No.]],#REF!,0)))
    ),
  "No student!")</f>
        <v>#REF!</v>
      </c>
      <c r="D33"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33" s="18" t="str">
        <f>IF(All[[#This Row],[Student]],
  IF(ISNA(INDEX(Project[Total (%)],MATCH(All[[#This Row],[Student No.]],Project[Student No.],0))),
    "Cannot find student!",
    IF(INDEX(Project[Total (%)],MATCH(All[[#This Row],[Student No.]],Project[Student No.],0))="",
      "",
      INDEX(Project[Total (%)],MATCH(All[[#This Row],[Student No.]],Project[Student No.],0)))
    ),
  "No student!")</f>
        <v/>
      </c>
      <c r="F33" s="201">
        <f>IF(All[[#This Row],[Wrote Def]], INDEX(#REF!, MATCH(All[[#This Row],[Student No.]],#REF!,0)),
  IF(All[[#This Row],[Wrote Exam]], INDEX(Exam[Total (%)], MATCH(All[[#This Row],[Student No.]], Exam[Student No.],0)),
    ""))</f>
        <v>39</v>
      </c>
      <c r="G33" s="18" t="str">
        <f>IF(AND(All[[#This Row],[Student]], All[[#This Row],[All Components]]),
    IF(NOT(All[Has Test Mark]),ROUND((All[[#This Row],[Engagement]]*$C$5+All[[#This Row],[Project]]*$E$5+All[[#This Row],[Exam/Def]]*$F$5)/($C$5+$E$5+$F$5),0),
      ROUND((All[[#This Row],[Engagement]]*$C$5+All[[#This Row],[Test]]*$D$5+All[[#This Row],[Project]]*$E$5+All[[#This Row],[Exam/Def]]*$F$5)/($C$5+$D$5+$E$5+$F$5),0)
  ),
  "")</f>
        <v/>
      </c>
      <c r="H33" s="18" t="str">
        <f>All[[#This Row],[Course Mark]]</f>
        <v/>
      </c>
      <c r="I33" s="18" t="str">
        <f>IF(All[[#This Row],[Wrote Sup]], INDEX(#REF!,MATCH(All[[#This Row],[Student No.]],#REF!,0)), "")</f>
        <v/>
      </c>
      <c r="J33" s="18" t="str">
        <f>IF(AND(All[[#This Row],[Student]],ISNUMBER(All[[#This Row],[Final]])),_xlfn.RANK.EQ(All[[#This Row],[Final]],All[Final]),"")</f>
        <v/>
      </c>
      <c r="K33" s="31"/>
      <c r="L33" s="18" t="str">
        <f>IF(All[[#This Row],[Student]], IF(All[Wrote Sup],All[Sup],All[[#This Row],[Final]]),"No student")</f>
        <v/>
      </c>
      <c r="M33" s="18" t="str">
        <f>IF(All[[#This Row],[Final]]="","",
  IF(All[[#This Row],[Wrote Sup]],
    IF(All[[#This Row],[Sup]]&lt;50,"FAL","PAS"),
  IF(All[[#This Row],[Exam/Def]]&lt;35, "FSB",
    IF(All[[#This Row],[Final]]&lt;50,"FAL",
    IF(All[[#This Row],[Final]]&gt;=50,"PAS",
  "Error!")))))</f>
        <v/>
      </c>
      <c r="N33" s="18">
        <f>IF(All[[#This Row],[Student]], _xlfn.IFNA(INDEX(captured[Course Mark],MATCH(All[[#This Row],[Student No.]],captured[ID_TEXT],0) &amp; ""), "Cannot find student!"),"No student!")</f>
        <v>50</v>
      </c>
      <c r="O33" s="189" t="str">
        <f>IF(All[[#This Row],[Student]], _xlfn.IFNA(INDEX(captured[Grade],MATCH(All[[#This Row],[Student No.]],captured[ID_TEXT],0)), "Cannot find student!") &amp; "","No student!")</f>
        <v>PAS</v>
      </c>
      <c r="P33"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33" s="18" t="str">
        <f>IF(All[[#This Row],[My Grade]]&lt;&gt;"",IF(All[[#This Row],[My Grade]]&lt;&gt;All[[#This Row],[Cap Grade]],TRUE,FALSE),"")</f>
        <v/>
      </c>
      <c r="R33" s="18" t="b">
        <f>IF(NOT(ISBLANK(All[[#This Row],[Student No.]])),OR(ISNUMBER(FIND("FSB",All[[#This Row],[My Grade]])),ISNUMBER(FIND("PAS", All[[#This Row],[My Grade]])),ISNUMBER(FIND("FAL",All[[#This Row],[My Grade]])),ISNUMBER(FIND("FAB", All[[#This Row],[My Grade]])),COUNTBLANK(All[[#This Row],[My Grade]])=1),FALSE)</f>
        <v>1</v>
      </c>
      <c r="S33" s="18" t="b">
        <f>IF(All[[#This Row],[Student No.]]&lt;&gt;"", TRUE, FALSE)</f>
        <v>1</v>
      </c>
      <c r="T33" s="18" t="b">
        <f>IF(COUNTBLANK(All[[#This Row],[Engagement]:[Exam/Def]])=0,TRUE, FALSE)</f>
        <v>0</v>
      </c>
      <c r="U33" s="18" t="b">
        <f>IF(ISNUMBER(All[[#This Row],[Test]]),TRUE,FALSE)</f>
        <v>0</v>
      </c>
      <c r="V33" s="18" t="e">
        <f>IF((INDEX(Test[Total (%)],MATCH(All[[#This Row],[Student No.]],Test[Student No.],0)))="ABS", TRUE, FALSE)</f>
        <v>#N/A</v>
      </c>
      <c r="W33" s="18" t="b">
        <f>IF(ISNUMBER(INDEX(Exam[Total (%)],MATCH(All[[#This Row],[Student No.]],Exam[Student No.],0))), TRUE, FALSE)</f>
        <v>1</v>
      </c>
      <c r="X33" s="18" t="b">
        <f>IF(ISNUMBER(INDEX(#REF!,MATCH(All[[#This Row],[Student No.]],#REF!,0))),TRUE,FALSE)</f>
        <v>0</v>
      </c>
      <c r="Y33" s="18" t="b">
        <f>IF(ISNUMBER(INDEX(#REF!,MATCH(All[[#This Row],[Student No.]],#REF!,0))),TRUE,FALSE)</f>
        <v>0</v>
      </c>
      <c r="Z33" s="18" t="b">
        <f>IF(All[[#This Row],[Wrote Def]],
IF(INDEX(#REF!, MATCH(All[[#This Row],[Student No.]],#REF!,0))&lt;&gt;All[[#This Row],[Exam/Def]], TRUE, FALSE),
  IF(All[[#This Row],[Wrote Exam]], IF(INDEX(Exam[Total (%)], MATCH(All[[#This Row],[Student No.]],Exam[Student No.],0))&lt;&gt;All[[#This Row],[Exam/Def]],TRUE,FALSE), FALSE))</f>
        <v>0</v>
      </c>
      <c r="AA33" s="18" t="b">
        <f xml:space="preserve">    IF(AND(All[[#This Row],[Exam/Def]]&lt;35,OR(All[[#This Row],[Wrote Exam]],All[[#This Row],[Wrote Def]])), TRUE,FALSE)</f>
        <v>0</v>
      </c>
      <c r="AB33" s="18" t="b">
        <f>IF(AND(All[[#This Row],[Exam &lt; 35%]],All[[#This Row],[Final]]&gt;=50),TRUE,FALSE)</f>
        <v>0</v>
      </c>
      <c r="AC33" s="18"/>
    </row>
    <row r="34" spans="1:29">
      <c r="A34" s="17" t="s">
        <v>299</v>
      </c>
      <c r="B34" s="17" t="s">
        <v>475</v>
      </c>
      <c r="C34" s="100" t="e">
        <f>IF(All[[#This Row],[Student]],
  IF(ISNA(INDEX(#REF!,MATCH(All[[#This Row],[Student No.]],#REF!,0))),
    "Cannot find student!",
    IF(INDEX(#REF!,MATCH(All[[#This Row],[Student No.]],#REF!,0))="",
      "",
      INDEX(#REF!,MATCH(All[[#This Row],[Student No.]],#REF!,0)))
    ),
  "No student!")</f>
        <v>#REF!</v>
      </c>
      <c r="D34"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34" s="18" t="str">
        <f>IF(All[[#This Row],[Student]],
  IF(ISNA(INDEX(Project[Total (%)],MATCH(All[[#This Row],[Student No.]],Project[Student No.],0))),
    "Cannot find student!",
    IF(INDEX(Project[Total (%)],MATCH(All[[#This Row],[Student No.]],Project[Student No.],0))="",
      "",
      INDEX(Project[Total (%)],MATCH(All[[#This Row],[Student No.]],Project[Student No.],0)))
    ),
  "No student!")</f>
        <v/>
      </c>
      <c r="F34" s="201">
        <f>IF(All[[#This Row],[Wrote Def]], INDEX(#REF!, MATCH(All[[#This Row],[Student No.]],#REF!,0)),
  IF(All[[#This Row],[Wrote Exam]], INDEX(Exam[Total (%)], MATCH(All[[#This Row],[Student No.]], Exam[Student No.],0)),
    ""))</f>
        <v>13</v>
      </c>
      <c r="G34" s="18" t="str">
        <f>IF(AND(All[[#This Row],[Student]], All[[#This Row],[All Components]]),
    IF(NOT(All[Has Test Mark]),ROUND((All[[#This Row],[Engagement]]*$C$5+All[[#This Row],[Project]]*$E$5+All[[#This Row],[Exam/Def]]*$F$5)/($C$5+$E$5+$F$5),0),
      ROUND((All[[#This Row],[Engagement]]*$C$5+All[[#This Row],[Test]]*$D$5+All[[#This Row],[Project]]*$E$5+All[[#This Row],[Exam/Def]]*$F$5)/($C$5+$D$5+$E$5+$F$5),0)
  ),
  "")</f>
        <v/>
      </c>
      <c r="H34" s="18" t="str">
        <f>All[[#This Row],[Course Mark]]</f>
        <v/>
      </c>
      <c r="I34" s="18" t="str">
        <f>IF(All[[#This Row],[Wrote Sup]], INDEX(#REF!,MATCH(All[[#This Row],[Student No.]],#REF!,0)), "")</f>
        <v/>
      </c>
      <c r="J34" s="18" t="str">
        <f>IF(AND(All[[#This Row],[Student]],ISNUMBER(All[[#This Row],[Final]])),_xlfn.RANK.EQ(All[[#This Row],[Final]],All[Final]),"")</f>
        <v/>
      </c>
      <c r="K34" s="31"/>
      <c r="L34" s="18" t="str">
        <f>IF(All[[#This Row],[Student]], IF(All[Wrote Sup],All[Sup],All[[#This Row],[Final]]),"No student")</f>
        <v/>
      </c>
      <c r="M34" s="18" t="str">
        <f>IF(All[[#This Row],[Final]]="","",
  IF(All[[#This Row],[Wrote Sup]],
    IF(All[[#This Row],[Sup]]&lt;50,"FAL","PAS"),
  IF(All[[#This Row],[Exam/Def]]&lt;35, "FSB",
    IF(All[[#This Row],[Final]]&lt;50,"FAL",
    IF(All[[#This Row],[Final]]&gt;=50,"PAS",
  "Error!")))))</f>
        <v/>
      </c>
      <c r="N34" s="18">
        <f>IF(All[[#This Row],[Student]], _xlfn.IFNA(INDEX(captured[Course Mark],MATCH(All[[#This Row],[Student No.]],captured[ID_TEXT],0) &amp; ""), "Cannot find student!"),"No student!")</f>
        <v>21</v>
      </c>
      <c r="O34" s="189" t="str">
        <f>IF(All[[#This Row],[Student]], _xlfn.IFNA(INDEX(captured[Grade],MATCH(All[[#This Row],[Student No.]],captured[ID_TEXT],0)), "Cannot find student!") &amp; "","No student!")</f>
        <v>FAL</v>
      </c>
      <c r="P34"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34" s="18" t="str">
        <f>IF(All[[#This Row],[My Grade]]&lt;&gt;"",IF(All[[#This Row],[My Grade]]&lt;&gt;All[[#This Row],[Cap Grade]],TRUE,FALSE),"")</f>
        <v/>
      </c>
      <c r="R34" s="18" t="b">
        <f>IF(NOT(ISBLANK(All[[#This Row],[Student No.]])),OR(ISNUMBER(FIND("FSB",All[[#This Row],[My Grade]])),ISNUMBER(FIND("PAS", All[[#This Row],[My Grade]])),ISNUMBER(FIND("FAL",All[[#This Row],[My Grade]])),ISNUMBER(FIND("FAB", All[[#This Row],[My Grade]])),COUNTBLANK(All[[#This Row],[My Grade]])=1),FALSE)</f>
        <v>1</v>
      </c>
      <c r="S34" s="18" t="b">
        <f>IF(All[[#This Row],[Student No.]]&lt;&gt;"", TRUE, FALSE)</f>
        <v>1</v>
      </c>
      <c r="T34" s="18" t="b">
        <f>IF(COUNTBLANK(All[[#This Row],[Engagement]:[Exam/Def]])=0,TRUE, FALSE)</f>
        <v>0</v>
      </c>
      <c r="U34" s="18" t="b">
        <f>IF(ISNUMBER(All[[#This Row],[Test]]),TRUE,FALSE)</f>
        <v>0</v>
      </c>
      <c r="V34" s="18" t="b">
        <f>IF((INDEX(Test[Total (%)],MATCH(All[[#This Row],[Student No.]],Test[Student No.],0)))="ABS", TRUE, FALSE)</f>
        <v>0</v>
      </c>
      <c r="W34" s="18" t="b">
        <f>IF(ISNUMBER(INDEX(Exam[Total (%)],MATCH(All[[#This Row],[Student No.]],Exam[Student No.],0))), TRUE, FALSE)</f>
        <v>1</v>
      </c>
      <c r="X34" s="18" t="b">
        <f>IF(ISNUMBER(INDEX(#REF!,MATCH(All[[#This Row],[Student No.]],#REF!,0))),TRUE,FALSE)</f>
        <v>0</v>
      </c>
      <c r="Y34" s="18" t="b">
        <f>IF(ISNUMBER(INDEX(#REF!,MATCH(All[[#This Row],[Student No.]],#REF!,0))),TRUE,FALSE)</f>
        <v>0</v>
      </c>
      <c r="Z34" s="18" t="b">
        <f>IF(All[[#This Row],[Wrote Def]],
IF(INDEX(#REF!, MATCH(All[[#This Row],[Student No.]],#REF!,0))&lt;&gt;All[[#This Row],[Exam/Def]], TRUE, FALSE),
  IF(All[[#This Row],[Wrote Exam]], IF(INDEX(Exam[Total (%)], MATCH(All[[#This Row],[Student No.]],Exam[Student No.],0))&lt;&gt;All[[#This Row],[Exam/Def]],TRUE,FALSE), FALSE))</f>
        <v>0</v>
      </c>
      <c r="AA34" s="18" t="b">
        <f xml:space="preserve">    IF(AND(All[[#This Row],[Exam/Def]]&lt;35,OR(All[[#This Row],[Wrote Exam]],All[[#This Row],[Wrote Def]])), TRUE,FALSE)</f>
        <v>1</v>
      </c>
      <c r="AB34" s="18" t="b">
        <f>IF(AND(All[[#This Row],[Exam &lt; 35%]],All[[#This Row],[Final]]&gt;=50),TRUE,FALSE)</f>
        <v>1</v>
      </c>
      <c r="AC34" s="18"/>
    </row>
    <row r="35" spans="1:29" ht="43.2">
      <c r="A35" s="17" t="s">
        <v>300</v>
      </c>
      <c r="B35" s="17" t="s">
        <v>476</v>
      </c>
      <c r="C35" s="100" t="e">
        <f>IF(All[[#This Row],[Student]],
  IF(ISNA(INDEX(#REF!,MATCH(All[[#This Row],[Student No.]],#REF!,0))),
    "Cannot find student!",
    IF(INDEX(#REF!,MATCH(All[[#This Row],[Student No.]],#REF!,0))="",
      "",
      INDEX(#REF!,MATCH(All[[#This Row],[Student No.]],#REF!,0)))
    ),
  "No student!")</f>
        <v>#REF!</v>
      </c>
      <c r="D35"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35" s="18" t="str">
        <f>IF(All[[#This Row],[Student]],
  IF(ISNA(INDEX(Project[Total (%)],MATCH(All[[#This Row],[Student No.]],Project[Student No.],0))),
    "Cannot find student!",
    IF(INDEX(Project[Total (%)],MATCH(All[[#This Row],[Student No.]],Project[Student No.],0))="",
      "",
      INDEX(Project[Total (%)],MATCH(All[[#This Row],[Student No.]],Project[Student No.],0)))
    ),
  "No student!")</f>
        <v/>
      </c>
      <c r="F35" s="201">
        <f>IF(All[[#This Row],[Wrote Def]], INDEX(#REF!, MATCH(All[[#This Row],[Student No.]],#REF!,0)),
  IF(All[[#This Row],[Wrote Exam]], INDEX(Exam[Total (%)], MATCH(All[[#This Row],[Student No.]], Exam[Student No.],0)),
    ""))</f>
        <v>47</v>
      </c>
      <c r="G35" s="18" t="str">
        <f>IF(AND(All[[#This Row],[Student]], All[[#This Row],[All Components]]),
    IF(NOT(All[Has Test Mark]),ROUND((All[[#This Row],[Engagement]]*$C$5+All[[#This Row],[Project]]*$E$5+All[[#This Row],[Exam/Def]]*$F$5)/($C$5+$E$5+$F$5),0),
      ROUND((All[[#This Row],[Engagement]]*$C$5+All[[#This Row],[Test]]*$D$5+All[[#This Row],[Project]]*$E$5+All[[#This Row],[Exam/Def]]*$F$5)/($C$5+$D$5+$E$5+$F$5),0)
  ),
  "")</f>
        <v/>
      </c>
      <c r="H35" s="18" t="str">
        <f>All[[#This Row],[Course Mark]]</f>
        <v/>
      </c>
      <c r="I35" s="18" t="str">
        <f>IF(All[[#This Row],[Wrote Sup]], INDEX(#REF!,MATCH(All[[#This Row],[Student No.]],#REF!,0)), "")</f>
        <v/>
      </c>
      <c r="J35" s="18" t="str">
        <f>IF(AND(All[[#This Row],[Student]],ISNUMBER(All[[#This Row],[Final]])),_xlfn.RANK.EQ(All[[#This Row],[Final]],All[Final]),"")</f>
        <v/>
      </c>
      <c r="K35" s="31"/>
      <c r="L35" s="18" t="str">
        <f>IF(All[[#This Row],[Student]], IF(All[Wrote Sup],All[Sup],All[[#This Row],[Final]]),"No student")</f>
        <v/>
      </c>
      <c r="M35" s="18" t="str">
        <f>IF(All[[#This Row],[Final]]="","",
  IF(All[[#This Row],[Wrote Sup]],
    IF(All[[#This Row],[Sup]]&lt;50,"FAL","PAS"),
  IF(All[[#This Row],[Exam/Def]]&lt;35, "FSB",
    IF(All[[#This Row],[Final]]&lt;50,"FAL",
    IF(All[[#This Row],[Final]]&gt;=50,"PAS",
  "Error!")))))</f>
        <v/>
      </c>
      <c r="N35" s="18">
        <f>IF(All[[#This Row],[Student]], _xlfn.IFNA(INDEX(captured[Course Mark],MATCH(All[[#This Row],[Student No.]],captured[ID_TEXT],0) &amp; ""), "Cannot find student!"),"No student!")</f>
        <v>54</v>
      </c>
      <c r="O35" s="189" t="str">
        <f>IF(All[[#This Row],[Student]], _xlfn.IFNA(INDEX(captured[Grade],MATCH(All[[#This Row],[Student No.]],captured[ID_TEXT],0)), "Cannot find student!") &amp; "","No student!")</f>
        <v>PAS</v>
      </c>
      <c r="P35"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35" s="18" t="str">
        <f>IF(All[[#This Row],[My Grade]]&lt;&gt;"",IF(All[[#This Row],[My Grade]]&lt;&gt;All[[#This Row],[Cap Grade]],TRUE,FALSE),"")</f>
        <v/>
      </c>
      <c r="R35" s="18" t="b">
        <f>IF(NOT(ISBLANK(All[[#This Row],[Student No.]])),OR(ISNUMBER(FIND("FSB",All[[#This Row],[My Grade]])),ISNUMBER(FIND("PAS", All[[#This Row],[My Grade]])),ISNUMBER(FIND("FAL",All[[#This Row],[My Grade]])),ISNUMBER(FIND("FAB", All[[#This Row],[My Grade]])),COUNTBLANK(All[[#This Row],[My Grade]])=1),FALSE)</f>
        <v>1</v>
      </c>
      <c r="S35" s="18" t="b">
        <f>IF(All[[#This Row],[Student No.]]&lt;&gt;"", TRUE, FALSE)</f>
        <v>1</v>
      </c>
      <c r="T35" s="18" t="b">
        <f>IF(COUNTBLANK(All[[#This Row],[Engagement]:[Exam/Def]])=0,TRUE, FALSE)</f>
        <v>0</v>
      </c>
      <c r="U35" s="18" t="b">
        <f>IF(ISNUMBER(All[[#This Row],[Test]]),TRUE,FALSE)</f>
        <v>0</v>
      </c>
      <c r="V35" s="18" t="e">
        <f>IF((INDEX(Test[Total (%)],MATCH(All[[#This Row],[Student No.]],Test[Student No.],0)))="ABS", TRUE, FALSE)</f>
        <v>#N/A</v>
      </c>
      <c r="W35" s="18" t="b">
        <f>IF(ISNUMBER(INDEX(Exam[Total (%)],MATCH(All[[#This Row],[Student No.]],Exam[Student No.],0))), TRUE, FALSE)</f>
        <v>1</v>
      </c>
      <c r="X35" s="18" t="b">
        <f>IF(ISNUMBER(INDEX(#REF!,MATCH(All[[#This Row],[Student No.]],#REF!,0))),TRUE,FALSE)</f>
        <v>0</v>
      </c>
      <c r="Y35" s="18" t="b">
        <f>IF(ISNUMBER(INDEX(#REF!,MATCH(All[[#This Row],[Student No.]],#REF!,0))),TRUE,FALSE)</f>
        <v>0</v>
      </c>
      <c r="Z35" s="18" t="b">
        <f>IF(All[[#This Row],[Wrote Def]],
IF(INDEX(#REF!, MATCH(All[[#This Row],[Student No.]],#REF!,0))&lt;&gt;All[[#This Row],[Exam/Def]], TRUE, FALSE),
  IF(All[[#This Row],[Wrote Exam]], IF(INDEX(Exam[Total (%)], MATCH(All[[#This Row],[Student No.]],Exam[Student No.],0))&lt;&gt;All[[#This Row],[Exam/Def]],TRUE,FALSE), FALSE))</f>
        <v>0</v>
      </c>
      <c r="AA35" s="18" t="b">
        <f xml:space="preserve">    IF(AND(All[[#This Row],[Exam/Def]]&lt;35,OR(All[[#This Row],[Wrote Exam]],All[[#This Row],[Wrote Def]])), TRUE,FALSE)</f>
        <v>0</v>
      </c>
      <c r="AB35" s="18" t="b">
        <f>IF(AND(All[[#This Row],[Exam &lt; 35%]],All[[#This Row],[Final]]&gt;=50),TRUE,FALSE)</f>
        <v>0</v>
      </c>
      <c r="AC35" s="18"/>
    </row>
    <row r="36" spans="1:29" ht="43.2">
      <c r="A36" s="17" t="s">
        <v>301</v>
      </c>
      <c r="B36" s="17" t="s">
        <v>477</v>
      </c>
      <c r="C36" s="100" t="e">
        <f>IF(All[[#This Row],[Student]],
  IF(ISNA(INDEX(#REF!,MATCH(All[[#This Row],[Student No.]],#REF!,0))),
    "Cannot find student!",
    IF(INDEX(#REF!,MATCH(All[[#This Row],[Student No.]],#REF!,0))="",
      "",
      INDEX(#REF!,MATCH(All[[#This Row],[Student No.]],#REF!,0)))
    ),
  "No student!")</f>
        <v>#REF!</v>
      </c>
      <c r="D36"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36" s="18" t="str">
        <f>IF(All[[#This Row],[Student]],
  IF(ISNA(INDEX(Project[Total (%)],MATCH(All[[#This Row],[Student No.]],Project[Student No.],0))),
    "Cannot find student!",
    IF(INDEX(Project[Total (%)],MATCH(All[[#This Row],[Student No.]],Project[Student No.],0))="",
      "",
      INDEX(Project[Total (%)],MATCH(All[[#This Row],[Student No.]],Project[Student No.],0)))
    ),
  "No student!")</f>
        <v/>
      </c>
      <c r="F36" s="201">
        <f>IF(All[[#This Row],[Wrote Def]], INDEX(#REF!, MATCH(All[[#This Row],[Student No.]],#REF!,0)),
  IF(All[[#This Row],[Wrote Exam]], INDEX(Exam[Total (%)], MATCH(All[[#This Row],[Student No.]], Exam[Student No.],0)),
    ""))</f>
        <v>31</v>
      </c>
      <c r="G36" s="18" t="str">
        <f>IF(AND(All[[#This Row],[Student]], All[[#This Row],[All Components]]),
    IF(NOT(All[Has Test Mark]),ROUND((All[[#This Row],[Engagement]]*$C$5+All[[#This Row],[Project]]*$E$5+All[[#This Row],[Exam/Def]]*$F$5)/($C$5+$E$5+$F$5),0),
      ROUND((All[[#This Row],[Engagement]]*$C$5+All[[#This Row],[Test]]*$D$5+All[[#This Row],[Project]]*$E$5+All[[#This Row],[Exam/Def]]*$F$5)/($C$5+$D$5+$E$5+$F$5),0)
  ),
  "")</f>
        <v/>
      </c>
      <c r="H36" s="18" t="str">
        <f>All[[#This Row],[Course Mark]]</f>
        <v/>
      </c>
      <c r="I36" s="18" t="str">
        <f>IF(All[[#This Row],[Wrote Sup]], INDEX(#REF!,MATCH(All[[#This Row],[Student No.]],#REF!,0)), "")</f>
        <v/>
      </c>
      <c r="J36" s="18" t="str">
        <f>IF(AND(All[[#This Row],[Student]],ISNUMBER(All[[#This Row],[Final]])),_xlfn.RANK.EQ(All[[#This Row],[Final]],All[Final]),"")</f>
        <v/>
      </c>
      <c r="K36" s="31"/>
      <c r="L36" s="18" t="str">
        <f>IF(All[[#This Row],[Student]], IF(All[Wrote Sup],All[Sup],All[[#This Row],[Final]]),"No student")</f>
        <v/>
      </c>
      <c r="M36" s="18" t="str">
        <f>IF(All[[#This Row],[Final]]="","",
  IF(All[[#This Row],[Wrote Sup]],
    IF(All[[#This Row],[Sup]]&lt;50,"FAL","PAS"),
  IF(All[[#This Row],[Exam/Def]]&lt;35, "FSB",
    IF(All[[#This Row],[Final]]&lt;50,"FAL",
    IF(All[[#This Row],[Final]]&gt;=50,"PAS",
  "Error!")))))</f>
        <v/>
      </c>
      <c r="N36" s="18">
        <f>IF(All[[#This Row],[Student]], _xlfn.IFNA(INDEX(captured[Course Mark],MATCH(All[[#This Row],[Student No.]],captured[ID_TEXT],0) &amp; ""), "Cannot find student!"),"No student!")</f>
        <v>31</v>
      </c>
      <c r="O36" s="189" t="str">
        <f>IF(All[[#This Row],[Student]], _xlfn.IFNA(INDEX(captured[Grade],MATCH(All[[#This Row],[Student No.]],captured[ID_TEXT],0)), "Cannot find student!") &amp; "","No student!")</f>
        <v>FSB</v>
      </c>
      <c r="P36"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36" s="18" t="str">
        <f>IF(All[[#This Row],[My Grade]]&lt;&gt;"",IF(All[[#This Row],[My Grade]]&lt;&gt;All[[#This Row],[Cap Grade]],TRUE,FALSE),"")</f>
        <v/>
      </c>
      <c r="R36" s="18" t="b">
        <f>IF(NOT(ISBLANK(All[[#This Row],[Student No.]])),OR(ISNUMBER(FIND("FSB",All[[#This Row],[My Grade]])),ISNUMBER(FIND("PAS", All[[#This Row],[My Grade]])),ISNUMBER(FIND("FAL",All[[#This Row],[My Grade]])),ISNUMBER(FIND("FAB", All[[#This Row],[My Grade]])),COUNTBLANK(All[[#This Row],[My Grade]])=1),FALSE)</f>
        <v>1</v>
      </c>
      <c r="S36" s="18" t="b">
        <f>IF(All[[#This Row],[Student No.]]&lt;&gt;"", TRUE, FALSE)</f>
        <v>1</v>
      </c>
      <c r="T36" s="18" t="b">
        <f>IF(COUNTBLANK(All[[#This Row],[Engagement]:[Exam/Def]])=0,TRUE, FALSE)</f>
        <v>0</v>
      </c>
      <c r="U36" s="18" t="b">
        <f>IF(ISNUMBER(All[[#This Row],[Test]]),TRUE,FALSE)</f>
        <v>0</v>
      </c>
      <c r="V36" s="18" t="e">
        <f>IF((INDEX(Test[Total (%)],MATCH(All[[#This Row],[Student No.]],Test[Student No.],0)))="ABS", TRUE, FALSE)</f>
        <v>#N/A</v>
      </c>
      <c r="W36" s="18" t="b">
        <f>IF(ISNUMBER(INDEX(Exam[Total (%)],MATCH(All[[#This Row],[Student No.]],Exam[Student No.],0))), TRUE, FALSE)</f>
        <v>1</v>
      </c>
      <c r="X36" s="18" t="b">
        <f>IF(ISNUMBER(INDEX(#REF!,MATCH(All[[#This Row],[Student No.]],#REF!,0))),TRUE,FALSE)</f>
        <v>0</v>
      </c>
      <c r="Y36" s="18" t="b">
        <f>IF(ISNUMBER(INDEX(#REF!,MATCH(All[[#This Row],[Student No.]],#REF!,0))),TRUE,FALSE)</f>
        <v>0</v>
      </c>
      <c r="Z36" s="18" t="b">
        <f>IF(All[[#This Row],[Wrote Def]],
IF(INDEX(#REF!, MATCH(All[[#This Row],[Student No.]],#REF!,0))&lt;&gt;All[[#This Row],[Exam/Def]], TRUE, FALSE),
  IF(All[[#This Row],[Wrote Exam]], IF(INDEX(Exam[Total (%)], MATCH(All[[#This Row],[Student No.]],Exam[Student No.],0))&lt;&gt;All[[#This Row],[Exam/Def]],TRUE,FALSE), FALSE))</f>
        <v>0</v>
      </c>
      <c r="AA36" s="18" t="b">
        <f xml:space="preserve">    IF(AND(All[[#This Row],[Exam/Def]]&lt;35,OR(All[[#This Row],[Wrote Exam]],All[[#This Row],[Wrote Def]])), TRUE,FALSE)</f>
        <v>1</v>
      </c>
      <c r="AB36" s="18" t="b">
        <f>IF(AND(All[[#This Row],[Exam &lt; 35%]],All[[#This Row],[Final]]&gt;=50),TRUE,FALSE)</f>
        <v>1</v>
      </c>
      <c r="AC36" s="18"/>
    </row>
    <row r="37" spans="1:29">
      <c r="A37" s="17" t="s">
        <v>302</v>
      </c>
      <c r="B37" s="17" t="s">
        <v>478</v>
      </c>
      <c r="C37" s="100" t="e">
        <f>IF(All[[#This Row],[Student]],
  IF(ISNA(INDEX(#REF!,MATCH(All[[#This Row],[Student No.]],#REF!,0))),
    "Cannot find student!",
    IF(INDEX(#REF!,MATCH(All[[#This Row],[Student No.]],#REF!,0))="",
      "",
      INDEX(#REF!,MATCH(All[[#This Row],[Student No.]],#REF!,0)))
    ),
  "No student!")</f>
        <v>#REF!</v>
      </c>
      <c r="D37"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37" s="18" t="str">
        <f>IF(All[[#This Row],[Student]],
  IF(ISNA(INDEX(Project[Total (%)],MATCH(All[[#This Row],[Student No.]],Project[Student No.],0))),
    "Cannot find student!",
    IF(INDEX(Project[Total (%)],MATCH(All[[#This Row],[Student No.]],Project[Student No.],0))="",
      "",
      INDEX(Project[Total (%)],MATCH(All[[#This Row],[Student No.]],Project[Student No.],0)))
    ),
  "No student!")</f>
        <v/>
      </c>
      <c r="F37" s="201">
        <f>IF(All[[#This Row],[Wrote Def]], INDEX(#REF!, MATCH(All[[#This Row],[Student No.]],#REF!,0)),
  IF(All[[#This Row],[Wrote Exam]], INDEX(Exam[Total (%)], MATCH(All[[#This Row],[Student No.]], Exam[Student No.],0)),
    ""))</f>
        <v>29</v>
      </c>
      <c r="G37" s="18" t="str">
        <f>IF(AND(All[[#This Row],[Student]], All[[#This Row],[All Components]]),
    IF(NOT(All[Has Test Mark]),ROUND((All[[#This Row],[Engagement]]*$C$5+All[[#This Row],[Project]]*$E$5+All[[#This Row],[Exam/Def]]*$F$5)/($C$5+$E$5+$F$5),0),
      ROUND((All[[#This Row],[Engagement]]*$C$5+All[[#This Row],[Test]]*$D$5+All[[#This Row],[Project]]*$E$5+All[[#This Row],[Exam/Def]]*$F$5)/($C$5+$D$5+$E$5+$F$5),0)
  ),
  "")</f>
        <v/>
      </c>
      <c r="H37" s="18" t="str">
        <f>All[[#This Row],[Course Mark]]</f>
        <v/>
      </c>
      <c r="I37" s="18" t="str">
        <f>IF(All[[#This Row],[Wrote Sup]], INDEX(#REF!,MATCH(All[[#This Row],[Student No.]],#REF!,0)), "")</f>
        <v/>
      </c>
      <c r="J37" s="18" t="str">
        <f>IF(AND(All[[#This Row],[Student]],ISNUMBER(All[[#This Row],[Final]])),_xlfn.RANK.EQ(All[[#This Row],[Final]],All[Final]),"")</f>
        <v/>
      </c>
      <c r="K37" s="31"/>
      <c r="L37" s="18" t="str">
        <f>IF(All[[#This Row],[Student]], IF(All[Wrote Sup],All[Sup],All[[#This Row],[Final]]),"No student")</f>
        <v/>
      </c>
      <c r="M37" s="18" t="str">
        <f>IF(All[[#This Row],[Final]]="","",
  IF(All[[#This Row],[Wrote Sup]],
    IF(All[[#This Row],[Sup]]&lt;50,"FAL","PAS"),
  IF(All[[#This Row],[Exam/Def]]&lt;35, "FSB",
    IF(All[[#This Row],[Final]]&lt;50,"FAL",
    IF(All[[#This Row],[Final]]&gt;=50,"PAS",
  "Error!")))))</f>
        <v/>
      </c>
      <c r="N37" s="18">
        <f>IF(All[[#This Row],[Student]], _xlfn.IFNA(INDEX(captured[Course Mark],MATCH(All[[#This Row],[Student No.]],captured[ID_TEXT],0) &amp; ""), "Cannot find student!"),"No student!")</f>
        <v>45</v>
      </c>
      <c r="O37" s="189" t="str">
        <f>IF(All[[#This Row],[Student]], _xlfn.IFNA(INDEX(captured[Grade],MATCH(All[[#This Row],[Student No.]],captured[ID_TEXT],0)), "Cannot find student!") &amp; "","No student!")</f>
        <v>FSB</v>
      </c>
      <c r="P37"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37" s="18" t="str">
        <f>IF(All[[#This Row],[My Grade]]&lt;&gt;"",IF(All[[#This Row],[My Grade]]&lt;&gt;All[[#This Row],[Cap Grade]],TRUE,FALSE),"")</f>
        <v/>
      </c>
      <c r="R37" s="18" t="b">
        <f>IF(NOT(ISBLANK(All[[#This Row],[Student No.]])),OR(ISNUMBER(FIND("FSB",All[[#This Row],[My Grade]])),ISNUMBER(FIND("PAS", All[[#This Row],[My Grade]])),ISNUMBER(FIND("FAL",All[[#This Row],[My Grade]])),ISNUMBER(FIND("FAB", All[[#This Row],[My Grade]])),COUNTBLANK(All[[#This Row],[My Grade]])=1),FALSE)</f>
        <v>1</v>
      </c>
      <c r="S37" s="18" t="b">
        <f>IF(All[[#This Row],[Student No.]]&lt;&gt;"", TRUE, FALSE)</f>
        <v>1</v>
      </c>
      <c r="T37" s="18" t="b">
        <f>IF(COUNTBLANK(All[[#This Row],[Engagement]:[Exam/Def]])=0,TRUE, FALSE)</f>
        <v>0</v>
      </c>
      <c r="U37" s="18" t="b">
        <f>IF(ISNUMBER(All[[#This Row],[Test]]),TRUE,FALSE)</f>
        <v>0</v>
      </c>
      <c r="V37" s="18" t="b">
        <f>IF((INDEX(Test[Total (%)],MATCH(All[[#This Row],[Student No.]],Test[Student No.],0)))="ABS", TRUE, FALSE)</f>
        <v>0</v>
      </c>
      <c r="W37" s="18" t="b">
        <f>IF(ISNUMBER(INDEX(Exam[Total (%)],MATCH(All[[#This Row],[Student No.]],Exam[Student No.],0))), TRUE, FALSE)</f>
        <v>1</v>
      </c>
      <c r="X37" s="18" t="b">
        <f>IF(ISNUMBER(INDEX(#REF!,MATCH(All[[#This Row],[Student No.]],#REF!,0))),TRUE,FALSE)</f>
        <v>0</v>
      </c>
      <c r="Y37" s="18" t="b">
        <f>IF(ISNUMBER(INDEX(#REF!,MATCH(All[[#This Row],[Student No.]],#REF!,0))),TRUE,FALSE)</f>
        <v>0</v>
      </c>
      <c r="Z37" s="18" t="b">
        <f>IF(All[[#This Row],[Wrote Def]],
IF(INDEX(#REF!, MATCH(All[[#This Row],[Student No.]],#REF!,0))&lt;&gt;All[[#This Row],[Exam/Def]], TRUE, FALSE),
  IF(All[[#This Row],[Wrote Exam]], IF(INDEX(Exam[Total (%)], MATCH(All[[#This Row],[Student No.]],Exam[Student No.],0))&lt;&gt;All[[#This Row],[Exam/Def]],TRUE,FALSE), FALSE))</f>
        <v>0</v>
      </c>
      <c r="AA37" s="18" t="b">
        <f xml:space="preserve">    IF(AND(All[[#This Row],[Exam/Def]]&lt;35,OR(All[[#This Row],[Wrote Exam]],All[[#This Row],[Wrote Def]])), TRUE,FALSE)</f>
        <v>1</v>
      </c>
      <c r="AB37" s="18" t="b">
        <f>IF(AND(All[[#This Row],[Exam &lt; 35%]],All[[#This Row],[Final]]&gt;=50),TRUE,FALSE)</f>
        <v>1</v>
      </c>
      <c r="AC37" s="18"/>
    </row>
    <row r="38" spans="1:29">
      <c r="A38" s="17" t="s">
        <v>303</v>
      </c>
      <c r="B38" s="17" t="s">
        <v>479</v>
      </c>
      <c r="C38" s="100" t="e">
        <f>IF(All[[#This Row],[Student]],
  IF(ISNA(INDEX(#REF!,MATCH(All[[#This Row],[Student No.]],#REF!,0))),
    "Cannot find student!",
    IF(INDEX(#REF!,MATCH(All[[#This Row],[Student No.]],#REF!,0))="",
      "",
      INDEX(#REF!,MATCH(All[[#This Row],[Student No.]],#REF!,0)))
    ),
  "No student!")</f>
        <v>#REF!</v>
      </c>
      <c r="D38"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38" s="18" t="str">
        <f>IF(All[[#This Row],[Student]],
  IF(ISNA(INDEX(Project[Total (%)],MATCH(All[[#This Row],[Student No.]],Project[Student No.],0))),
    "Cannot find student!",
    IF(INDEX(Project[Total (%)],MATCH(All[[#This Row],[Student No.]],Project[Student No.],0))="",
      "",
      INDEX(Project[Total (%)],MATCH(All[[#This Row],[Student No.]],Project[Student No.],0)))
    ),
  "No student!")</f>
        <v/>
      </c>
      <c r="F38" s="201">
        <f>IF(All[[#This Row],[Wrote Def]], INDEX(#REF!, MATCH(All[[#This Row],[Student No.]],#REF!,0)),
  IF(All[[#This Row],[Wrote Exam]], INDEX(Exam[Total (%)], MATCH(All[[#This Row],[Student No.]], Exam[Student No.],0)),
    ""))</f>
        <v>24</v>
      </c>
      <c r="G38" s="18" t="str">
        <f>IF(AND(All[[#This Row],[Student]], All[[#This Row],[All Components]]),
    IF(NOT(All[Has Test Mark]),ROUND((All[[#This Row],[Engagement]]*$C$5+All[[#This Row],[Project]]*$E$5+All[[#This Row],[Exam/Def]]*$F$5)/($C$5+$E$5+$F$5),0),
      ROUND((All[[#This Row],[Engagement]]*$C$5+All[[#This Row],[Test]]*$D$5+All[[#This Row],[Project]]*$E$5+All[[#This Row],[Exam/Def]]*$F$5)/($C$5+$D$5+$E$5+$F$5),0)
  ),
  "")</f>
        <v/>
      </c>
      <c r="H38" s="18" t="str">
        <f>All[[#This Row],[Course Mark]]</f>
        <v/>
      </c>
      <c r="I38" s="18" t="str">
        <f>IF(All[[#This Row],[Wrote Sup]], INDEX(#REF!,MATCH(All[[#This Row],[Student No.]],#REF!,0)), "")</f>
        <v/>
      </c>
      <c r="J38" s="18" t="str">
        <f>IF(AND(All[[#This Row],[Student]],ISNUMBER(All[[#This Row],[Final]])),_xlfn.RANK.EQ(All[[#This Row],[Final]],All[Final]),"")</f>
        <v/>
      </c>
      <c r="K38" s="31"/>
      <c r="L38" s="18" t="str">
        <f>IF(All[[#This Row],[Student]], IF(All[Wrote Sup],All[Sup],All[[#This Row],[Final]]),"No student")</f>
        <v/>
      </c>
      <c r="M38" s="18" t="str">
        <f>IF(All[[#This Row],[Final]]="","",
  IF(All[[#This Row],[Wrote Sup]],
    IF(All[[#This Row],[Sup]]&lt;50,"FAL","PAS"),
  IF(All[[#This Row],[Exam/Def]]&lt;35, "FSB",
    IF(All[[#This Row],[Final]]&lt;50,"FAL",
    IF(All[[#This Row],[Final]]&gt;=50,"PAS",
  "Error!")))))</f>
        <v/>
      </c>
      <c r="N38" s="18">
        <f>IF(All[[#This Row],[Student]], _xlfn.IFNA(INDEX(captured[Course Mark],MATCH(All[[#This Row],[Student No.]],captured[ID_TEXT],0) &amp; ""), "Cannot find student!"),"No student!")</f>
        <v>42</v>
      </c>
      <c r="O38" s="189" t="str">
        <f>IF(All[[#This Row],[Student]], _xlfn.IFNA(INDEX(captured[Grade],MATCH(All[[#This Row],[Student No.]],captured[ID_TEXT],0)), "Cannot find student!") &amp; "","No student!")</f>
        <v/>
      </c>
      <c r="P38"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38" s="18" t="str">
        <f>IF(All[[#This Row],[My Grade]]&lt;&gt;"",IF(All[[#This Row],[My Grade]]&lt;&gt;All[[#This Row],[Cap Grade]],TRUE,FALSE),"")</f>
        <v/>
      </c>
      <c r="R38" s="18" t="b">
        <f>IF(NOT(ISBLANK(All[[#This Row],[Student No.]])),OR(ISNUMBER(FIND("FSB",All[[#This Row],[My Grade]])),ISNUMBER(FIND("PAS", All[[#This Row],[My Grade]])),ISNUMBER(FIND("FAL",All[[#This Row],[My Grade]])),ISNUMBER(FIND("FAB", All[[#This Row],[My Grade]])),COUNTBLANK(All[[#This Row],[My Grade]])=1),FALSE)</f>
        <v>1</v>
      </c>
      <c r="S38" s="18" t="b">
        <f>IF(All[[#This Row],[Student No.]]&lt;&gt;"", TRUE, FALSE)</f>
        <v>1</v>
      </c>
      <c r="T38" s="18" t="b">
        <f>IF(COUNTBLANK(All[[#This Row],[Engagement]:[Exam/Def]])=0,TRUE, FALSE)</f>
        <v>0</v>
      </c>
      <c r="U38" s="18" t="b">
        <f>IF(ISNUMBER(All[[#This Row],[Test]]),TRUE,FALSE)</f>
        <v>0</v>
      </c>
      <c r="V38" s="18" t="b">
        <f>IF((INDEX(Test[Total (%)],MATCH(All[[#This Row],[Student No.]],Test[Student No.],0)))="ABS", TRUE, FALSE)</f>
        <v>0</v>
      </c>
      <c r="W38" s="18" t="b">
        <f>IF(ISNUMBER(INDEX(Exam[Total (%)],MATCH(All[[#This Row],[Student No.]],Exam[Student No.],0))), TRUE, FALSE)</f>
        <v>1</v>
      </c>
      <c r="X38" s="18" t="b">
        <f>IF(ISNUMBER(INDEX(#REF!,MATCH(All[[#This Row],[Student No.]],#REF!,0))),TRUE,FALSE)</f>
        <v>0</v>
      </c>
      <c r="Y38" s="18" t="b">
        <f>IF(ISNUMBER(INDEX(#REF!,MATCH(All[[#This Row],[Student No.]],#REF!,0))),TRUE,FALSE)</f>
        <v>0</v>
      </c>
      <c r="Z38" s="18" t="b">
        <f>IF(All[[#This Row],[Wrote Def]],
IF(INDEX(#REF!, MATCH(All[[#This Row],[Student No.]],#REF!,0))&lt;&gt;All[[#This Row],[Exam/Def]], TRUE, FALSE),
  IF(All[[#This Row],[Wrote Exam]], IF(INDEX(Exam[Total (%)], MATCH(All[[#This Row],[Student No.]],Exam[Student No.],0))&lt;&gt;All[[#This Row],[Exam/Def]],TRUE,FALSE), FALSE))</f>
        <v>0</v>
      </c>
      <c r="AA38" s="18" t="b">
        <f xml:space="preserve">    IF(AND(All[[#This Row],[Exam/Def]]&lt;35,OR(All[[#This Row],[Wrote Exam]],All[[#This Row],[Wrote Def]])), TRUE,FALSE)</f>
        <v>1</v>
      </c>
      <c r="AB38" s="18" t="b">
        <f>IF(AND(All[[#This Row],[Exam &lt; 35%]],All[[#This Row],[Final]]&gt;=50),TRUE,FALSE)</f>
        <v>1</v>
      </c>
      <c r="AC38" s="18"/>
    </row>
    <row r="39" spans="1:29" ht="43.2">
      <c r="A39" s="17" t="s">
        <v>304</v>
      </c>
      <c r="B39" s="17" t="s">
        <v>480</v>
      </c>
      <c r="C39" s="100" t="e">
        <f>IF(All[[#This Row],[Student]],
  IF(ISNA(INDEX(#REF!,MATCH(All[[#This Row],[Student No.]],#REF!,0))),
    "Cannot find student!",
    IF(INDEX(#REF!,MATCH(All[[#This Row],[Student No.]],#REF!,0))="",
      "",
      INDEX(#REF!,MATCH(All[[#This Row],[Student No.]],#REF!,0)))
    ),
  "No student!")</f>
        <v>#REF!</v>
      </c>
      <c r="D39"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39" s="18" t="str">
        <f>IF(All[[#This Row],[Student]],
  IF(ISNA(INDEX(Project[Total (%)],MATCH(All[[#This Row],[Student No.]],Project[Student No.],0))),
    "Cannot find student!",
    IF(INDEX(Project[Total (%)],MATCH(All[[#This Row],[Student No.]],Project[Student No.],0))="",
      "",
      INDEX(Project[Total (%)],MATCH(All[[#This Row],[Student No.]],Project[Student No.],0)))
    ),
  "No student!")</f>
        <v/>
      </c>
      <c r="F39" s="201">
        <f>IF(All[[#This Row],[Wrote Def]], INDEX(#REF!, MATCH(All[[#This Row],[Student No.]],#REF!,0)),
  IF(All[[#This Row],[Wrote Exam]], INDEX(Exam[Total (%)], MATCH(All[[#This Row],[Student No.]], Exam[Student No.],0)),
    ""))</f>
        <v>61</v>
      </c>
      <c r="G39" s="18" t="str">
        <f>IF(AND(All[[#This Row],[Student]], All[[#This Row],[All Components]]),
    IF(NOT(All[Has Test Mark]),ROUND((All[[#This Row],[Engagement]]*$C$5+All[[#This Row],[Project]]*$E$5+All[[#This Row],[Exam/Def]]*$F$5)/($C$5+$E$5+$F$5),0),
      ROUND((All[[#This Row],[Engagement]]*$C$5+All[[#This Row],[Test]]*$D$5+All[[#This Row],[Project]]*$E$5+All[[#This Row],[Exam/Def]]*$F$5)/($C$5+$D$5+$E$5+$F$5),0)
  ),
  "")</f>
        <v/>
      </c>
      <c r="H39" s="18" t="str">
        <f>All[[#This Row],[Course Mark]]</f>
        <v/>
      </c>
      <c r="I39" s="18" t="str">
        <f>IF(All[[#This Row],[Wrote Sup]], INDEX(#REF!,MATCH(All[[#This Row],[Student No.]],#REF!,0)), "")</f>
        <v/>
      </c>
      <c r="J39" s="18" t="str">
        <f>IF(AND(All[[#This Row],[Student]],ISNUMBER(All[[#This Row],[Final]])),_xlfn.RANK.EQ(All[[#This Row],[Final]],All[Final]),"")</f>
        <v/>
      </c>
      <c r="K39" s="31"/>
      <c r="L39" s="18" t="str">
        <f>IF(All[[#This Row],[Student]], IF(All[Wrote Sup],All[Sup],All[[#This Row],[Final]]),"No student")</f>
        <v/>
      </c>
      <c r="M39" s="18" t="str">
        <f>IF(All[[#This Row],[Final]]="","",
  IF(All[[#This Row],[Wrote Sup]],
    IF(All[[#This Row],[Sup]]&lt;50,"FAL","PAS"),
  IF(All[[#This Row],[Exam/Def]]&lt;35, "FSB",
    IF(All[[#This Row],[Final]]&lt;50,"FAL",
    IF(All[[#This Row],[Final]]&gt;=50,"PAS",
  "Error!")))))</f>
        <v/>
      </c>
      <c r="N39" s="18">
        <f>IF(All[[#This Row],[Student]], _xlfn.IFNA(INDEX(captured[Course Mark],MATCH(All[[#This Row],[Student No.]],captured[ID_TEXT],0) &amp; ""), "Cannot find student!"),"No student!")</f>
        <v>64</v>
      </c>
      <c r="O39" s="189" t="str">
        <f>IF(All[[#This Row],[Student]], _xlfn.IFNA(INDEX(captured[Grade],MATCH(All[[#This Row],[Student No.]],captured[ID_TEXT],0)), "Cannot find student!") &amp; "","No student!")</f>
        <v>PAS</v>
      </c>
      <c r="P39"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39" s="18" t="str">
        <f>IF(All[[#This Row],[My Grade]]&lt;&gt;"",IF(All[[#This Row],[My Grade]]&lt;&gt;All[[#This Row],[Cap Grade]],TRUE,FALSE),"")</f>
        <v/>
      </c>
      <c r="R39" s="18" t="b">
        <f>IF(NOT(ISBLANK(All[[#This Row],[Student No.]])),OR(ISNUMBER(FIND("FSB",All[[#This Row],[My Grade]])),ISNUMBER(FIND("PAS", All[[#This Row],[My Grade]])),ISNUMBER(FIND("FAL",All[[#This Row],[My Grade]])),ISNUMBER(FIND("FAB", All[[#This Row],[My Grade]])),COUNTBLANK(All[[#This Row],[My Grade]])=1),FALSE)</f>
        <v>1</v>
      </c>
      <c r="S39" s="18" t="b">
        <f>IF(All[[#This Row],[Student No.]]&lt;&gt;"", TRUE, FALSE)</f>
        <v>1</v>
      </c>
      <c r="T39" s="18" t="b">
        <f>IF(COUNTBLANK(All[[#This Row],[Engagement]:[Exam/Def]])=0,TRUE, FALSE)</f>
        <v>0</v>
      </c>
      <c r="U39" s="18" t="b">
        <f>IF(ISNUMBER(All[[#This Row],[Test]]),TRUE,FALSE)</f>
        <v>0</v>
      </c>
      <c r="V39" s="18" t="e">
        <f>IF((INDEX(Test[Total (%)],MATCH(All[[#This Row],[Student No.]],Test[Student No.],0)))="ABS", TRUE, FALSE)</f>
        <v>#N/A</v>
      </c>
      <c r="W39" s="18" t="b">
        <f>IF(ISNUMBER(INDEX(Exam[Total (%)],MATCH(All[[#This Row],[Student No.]],Exam[Student No.],0))), TRUE, FALSE)</f>
        <v>1</v>
      </c>
      <c r="X39" s="18" t="b">
        <f>IF(ISNUMBER(INDEX(#REF!,MATCH(All[[#This Row],[Student No.]],#REF!,0))),TRUE,FALSE)</f>
        <v>0</v>
      </c>
      <c r="Y39" s="18" t="b">
        <f>IF(ISNUMBER(INDEX(#REF!,MATCH(All[[#This Row],[Student No.]],#REF!,0))),TRUE,FALSE)</f>
        <v>0</v>
      </c>
      <c r="Z39" s="18" t="b">
        <f>IF(All[[#This Row],[Wrote Def]],
IF(INDEX(#REF!, MATCH(All[[#This Row],[Student No.]],#REF!,0))&lt;&gt;All[[#This Row],[Exam/Def]], TRUE, FALSE),
  IF(All[[#This Row],[Wrote Exam]], IF(INDEX(Exam[Total (%)], MATCH(All[[#This Row],[Student No.]],Exam[Student No.],0))&lt;&gt;All[[#This Row],[Exam/Def]],TRUE,FALSE), FALSE))</f>
        <v>0</v>
      </c>
      <c r="AA39" s="18" t="b">
        <f xml:space="preserve">    IF(AND(All[[#This Row],[Exam/Def]]&lt;35,OR(All[[#This Row],[Wrote Exam]],All[[#This Row],[Wrote Def]])), TRUE,FALSE)</f>
        <v>0</v>
      </c>
      <c r="AB39" s="18" t="b">
        <f>IF(AND(All[[#This Row],[Exam &lt; 35%]],All[[#This Row],[Final]]&gt;=50),TRUE,FALSE)</f>
        <v>0</v>
      </c>
      <c r="AC39" s="18"/>
    </row>
    <row r="40" spans="1:29" ht="43.2">
      <c r="A40" s="17" t="s">
        <v>305</v>
      </c>
      <c r="B40" s="17" t="s">
        <v>481</v>
      </c>
      <c r="C40" s="100" t="e">
        <f>IF(All[[#This Row],[Student]],
  IF(ISNA(INDEX(#REF!,MATCH(All[[#This Row],[Student No.]],#REF!,0))),
    "Cannot find student!",
    IF(INDEX(#REF!,MATCH(All[[#This Row],[Student No.]],#REF!,0))="",
      "",
      INDEX(#REF!,MATCH(All[[#This Row],[Student No.]],#REF!,0)))
    ),
  "No student!")</f>
        <v>#REF!</v>
      </c>
      <c r="D40"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40" s="18" t="str">
        <f>IF(All[[#This Row],[Student]],
  IF(ISNA(INDEX(Project[Total (%)],MATCH(All[[#This Row],[Student No.]],Project[Student No.],0))),
    "Cannot find student!",
    IF(INDEX(Project[Total (%)],MATCH(All[[#This Row],[Student No.]],Project[Student No.],0))="",
      "",
      INDEX(Project[Total (%)],MATCH(All[[#This Row],[Student No.]],Project[Student No.],0)))
    ),
  "No student!")</f>
        <v/>
      </c>
      <c r="F40" s="201">
        <f>IF(All[[#This Row],[Wrote Def]], INDEX(#REF!, MATCH(All[[#This Row],[Student No.]],#REF!,0)),
  IF(All[[#This Row],[Wrote Exam]], INDEX(Exam[Total (%)], MATCH(All[[#This Row],[Student No.]], Exam[Student No.],0)),
    ""))</f>
        <v>66</v>
      </c>
      <c r="G40" s="18" t="str">
        <f>IF(AND(All[[#This Row],[Student]], All[[#This Row],[All Components]]),
    IF(NOT(All[Has Test Mark]),ROUND((All[[#This Row],[Engagement]]*$C$5+All[[#This Row],[Project]]*$E$5+All[[#This Row],[Exam/Def]]*$F$5)/($C$5+$E$5+$F$5),0),
      ROUND((All[[#This Row],[Engagement]]*$C$5+All[[#This Row],[Test]]*$D$5+All[[#This Row],[Project]]*$E$5+All[[#This Row],[Exam/Def]]*$F$5)/($C$5+$D$5+$E$5+$F$5),0)
  ),
  "")</f>
        <v/>
      </c>
      <c r="H40" s="18" t="str">
        <f>All[[#This Row],[Course Mark]]</f>
        <v/>
      </c>
      <c r="I40" s="18" t="str">
        <f>IF(All[[#This Row],[Wrote Sup]], INDEX(#REF!,MATCH(All[[#This Row],[Student No.]],#REF!,0)), "")</f>
        <v/>
      </c>
      <c r="J40" s="18" t="str">
        <f>IF(AND(All[[#This Row],[Student]],ISNUMBER(All[[#This Row],[Final]])),_xlfn.RANK.EQ(All[[#This Row],[Final]],All[Final]),"")</f>
        <v/>
      </c>
      <c r="K40" s="31"/>
      <c r="L40" s="18" t="str">
        <f>IF(All[[#This Row],[Student]], IF(All[Wrote Sup],All[Sup],All[[#This Row],[Final]]),"No student")</f>
        <v/>
      </c>
      <c r="M40" s="18" t="str">
        <f>IF(All[[#This Row],[Final]]="","",
  IF(All[[#This Row],[Wrote Sup]],
    IF(All[[#This Row],[Sup]]&lt;50,"FAL","PAS"),
  IF(All[[#This Row],[Exam/Def]]&lt;35, "FSB",
    IF(All[[#This Row],[Final]]&lt;50,"FAL",
    IF(All[[#This Row],[Final]]&gt;=50,"PAS",
  "Error!")))))</f>
        <v/>
      </c>
      <c r="N40" s="18">
        <f>IF(All[[#This Row],[Student]], _xlfn.IFNA(INDEX(captured[Course Mark],MATCH(All[[#This Row],[Student No.]],captured[ID_TEXT],0) &amp; ""), "Cannot find student!"),"No student!")</f>
        <v>68</v>
      </c>
      <c r="O40" s="189" t="str">
        <f>IF(All[[#This Row],[Student]], _xlfn.IFNA(INDEX(captured[Grade],MATCH(All[[#This Row],[Student No.]],captured[ID_TEXT],0)), "Cannot find student!") &amp; "","No student!")</f>
        <v>PAS</v>
      </c>
      <c r="P40"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40" s="18" t="str">
        <f>IF(All[[#This Row],[My Grade]]&lt;&gt;"",IF(All[[#This Row],[My Grade]]&lt;&gt;All[[#This Row],[Cap Grade]],TRUE,FALSE),"")</f>
        <v/>
      </c>
      <c r="R40" s="18" t="b">
        <f>IF(NOT(ISBLANK(All[[#This Row],[Student No.]])),OR(ISNUMBER(FIND("FSB",All[[#This Row],[My Grade]])),ISNUMBER(FIND("PAS", All[[#This Row],[My Grade]])),ISNUMBER(FIND("FAL",All[[#This Row],[My Grade]])),ISNUMBER(FIND("FAB", All[[#This Row],[My Grade]])),COUNTBLANK(All[[#This Row],[My Grade]])=1),FALSE)</f>
        <v>1</v>
      </c>
      <c r="S40" s="18" t="b">
        <f>IF(All[[#This Row],[Student No.]]&lt;&gt;"", TRUE, FALSE)</f>
        <v>1</v>
      </c>
      <c r="T40" s="18" t="b">
        <f>IF(COUNTBLANK(All[[#This Row],[Engagement]:[Exam/Def]])=0,TRUE, FALSE)</f>
        <v>0</v>
      </c>
      <c r="U40" s="18" t="b">
        <f>IF(ISNUMBER(All[[#This Row],[Test]]),TRUE,FALSE)</f>
        <v>0</v>
      </c>
      <c r="V40" s="18" t="e">
        <f>IF((INDEX(Test[Total (%)],MATCH(All[[#This Row],[Student No.]],Test[Student No.],0)))="ABS", TRUE, FALSE)</f>
        <v>#N/A</v>
      </c>
      <c r="W40" s="18" t="b">
        <f>IF(ISNUMBER(INDEX(Exam[Total (%)],MATCH(All[[#This Row],[Student No.]],Exam[Student No.],0))), TRUE, FALSE)</f>
        <v>1</v>
      </c>
      <c r="X40" s="18" t="b">
        <f>IF(ISNUMBER(INDEX(#REF!,MATCH(All[[#This Row],[Student No.]],#REF!,0))),TRUE,FALSE)</f>
        <v>0</v>
      </c>
      <c r="Y40" s="18" t="b">
        <f>IF(ISNUMBER(INDEX(#REF!,MATCH(All[[#This Row],[Student No.]],#REF!,0))),TRUE,FALSE)</f>
        <v>0</v>
      </c>
      <c r="Z40" s="18" t="b">
        <f>IF(All[[#This Row],[Wrote Def]],
IF(INDEX(#REF!, MATCH(All[[#This Row],[Student No.]],#REF!,0))&lt;&gt;All[[#This Row],[Exam/Def]], TRUE, FALSE),
  IF(All[[#This Row],[Wrote Exam]], IF(INDEX(Exam[Total (%)], MATCH(All[[#This Row],[Student No.]],Exam[Student No.],0))&lt;&gt;All[[#This Row],[Exam/Def]],TRUE,FALSE), FALSE))</f>
        <v>0</v>
      </c>
      <c r="AA40" s="18" t="b">
        <f xml:space="preserve">    IF(AND(All[[#This Row],[Exam/Def]]&lt;35,OR(All[[#This Row],[Wrote Exam]],All[[#This Row],[Wrote Def]])), TRUE,FALSE)</f>
        <v>0</v>
      </c>
      <c r="AB40" s="18" t="b">
        <f>IF(AND(All[[#This Row],[Exam &lt; 35%]],All[[#This Row],[Final]]&gt;=50),TRUE,FALSE)</f>
        <v>0</v>
      </c>
      <c r="AC40" s="18"/>
    </row>
    <row r="41" spans="1:29">
      <c r="A41" s="17" t="s">
        <v>306</v>
      </c>
      <c r="B41" s="17" t="s">
        <v>482</v>
      </c>
      <c r="C41" s="100" t="e">
        <f>IF(All[[#This Row],[Student]],
  IF(ISNA(INDEX(#REF!,MATCH(All[[#This Row],[Student No.]],#REF!,0))),
    "Cannot find student!",
    IF(INDEX(#REF!,MATCH(All[[#This Row],[Student No.]],#REF!,0))="",
      "",
      INDEX(#REF!,MATCH(All[[#This Row],[Student No.]],#REF!,0)))
    ),
  "No student!")</f>
        <v>#REF!</v>
      </c>
      <c r="D41"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41" s="18" t="str">
        <f>IF(All[[#This Row],[Student]],
  IF(ISNA(INDEX(Project[Total (%)],MATCH(All[[#This Row],[Student No.]],Project[Student No.],0))),
    "Cannot find student!",
    IF(INDEX(Project[Total (%)],MATCH(All[[#This Row],[Student No.]],Project[Student No.],0))="",
      "",
      INDEX(Project[Total (%)],MATCH(All[[#This Row],[Student No.]],Project[Student No.],0)))
    ),
  "No student!")</f>
        <v/>
      </c>
      <c r="F41" s="201">
        <f>IF(All[[#This Row],[Wrote Def]], INDEX(#REF!, MATCH(All[[#This Row],[Student No.]],#REF!,0)),
  IF(All[[#This Row],[Wrote Exam]], INDEX(Exam[Total (%)], MATCH(All[[#This Row],[Student No.]], Exam[Student No.],0)),
    ""))</f>
        <v>20</v>
      </c>
      <c r="G41" s="18" t="str">
        <f>IF(AND(All[[#This Row],[Student]], All[[#This Row],[All Components]]),
    IF(NOT(All[Has Test Mark]),ROUND((All[[#This Row],[Engagement]]*$C$5+All[[#This Row],[Project]]*$E$5+All[[#This Row],[Exam/Def]]*$F$5)/($C$5+$E$5+$F$5),0),
      ROUND((All[[#This Row],[Engagement]]*$C$5+All[[#This Row],[Test]]*$D$5+All[[#This Row],[Project]]*$E$5+All[[#This Row],[Exam/Def]]*$F$5)/($C$5+$D$5+$E$5+$F$5),0)
  ),
  "")</f>
        <v/>
      </c>
      <c r="H41" s="18" t="str">
        <f>All[[#This Row],[Course Mark]]</f>
        <v/>
      </c>
      <c r="I41" s="18" t="str">
        <f>IF(All[[#This Row],[Wrote Sup]], INDEX(#REF!,MATCH(All[[#This Row],[Student No.]],#REF!,0)), "")</f>
        <v/>
      </c>
      <c r="J41" s="18" t="str">
        <f>IF(AND(All[[#This Row],[Student]],ISNUMBER(All[[#This Row],[Final]])),_xlfn.RANK.EQ(All[[#This Row],[Final]],All[Final]),"")</f>
        <v/>
      </c>
      <c r="K41" s="31"/>
      <c r="L41" s="18" t="str">
        <f>IF(All[[#This Row],[Student]], IF(All[Wrote Sup],All[Sup],All[[#This Row],[Final]]),"No student")</f>
        <v/>
      </c>
      <c r="M41" s="18" t="str">
        <f>IF(All[[#This Row],[Final]]="","",
  IF(All[[#This Row],[Wrote Sup]],
    IF(All[[#This Row],[Sup]]&lt;50,"FAL","PAS"),
  IF(All[[#This Row],[Exam/Def]]&lt;35, "FSB",
    IF(All[[#This Row],[Final]]&lt;50,"FAL",
    IF(All[[#This Row],[Final]]&gt;=50,"PAS",
  "Error!")))))</f>
        <v/>
      </c>
      <c r="N41" s="18">
        <f>IF(All[[#This Row],[Student]], _xlfn.IFNA(INDEX(captured[Course Mark],MATCH(All[[#This Row],[Student No.]],captured[ID_TEXT],0) &amp; ""), "Cannot find student!"),"No student!")</f>
        <v>35</v>
      </c>
      <c r="O41" s="189" t="str">
        <f>IF(All[[#This Row],[Student]], _xlfn.IFNA(INDEX(captured[Grade],MATCH(All[[#This Row],[Student No.]],captured[ID_TEXT],0)), "Cannot find student!") &amp; "","No student!")</f>
        <v/>
      </c>
      <c r="P41"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41" s="18" t="str">
        <f>IF(All[[#This Row],[My Grade]]&lt;&gt;"",IF(All[[#This Row],[My Grade]]&lt;&gt;All[[#This Row],[Cap Grade]],TRUE,FALSE),"")</f>
        <v/>
      </c>
      <c r="R41" s="18" t="b">
        <f>IF(NOT(ISBLANK(All[[#This Row],[Student No.]])),OR(ISNUMBER(FIND("FSB",All[[#This Row],[My Grade]])),ISNUMBER(FIND("PAS", All[[#This Row],[My Grade]])),ISNUMBER(FIND("FAL",All[[#This Row],[My Grade]])),ISNUMBER(FIND("FAB", All[[#This Row],[My Grade]])),COUNTBLANK(All[[#This Row],[My Grade]])=1),FALSE)</f>
        <v>1</v>
      </c>
      <c r="S41" s="18" t="b">
        <f>IF(All[[#This Row],[Student No.]]&lt;&gt;"", TRUE, FALSE)</f>
        <v>1</v>
      </c>
      <c r="T41" s="18" t="b">
        <f>IF(COUNTBLANK(All[[#This Row],[Engagement]:[Exam/Def]])=0,TRUE, FALSE)</f>
        <v>0</v>
      </c>
      <c r="U41" s="18" t="b">
        <f>IF(ISNUMBER(All[[#This Row],[Test]]),TRUE,FALSE)</f>
        <v>0</v>
      </c>
      <c r="V41" s="18" t="b">
        <f>IF((INDEX(Test[Total (%)],MATCH(All[[#This Row],[Student No.]],Test[Student No.],0)))="ABS", TRUE, FALSE)</f>
        <v>0</v>
      </c>
      <c r="W41" s="18" t="b">
        <f>IF(ISNUMBER(INDEX(Exam[Total (%)],MATCH(All[[#This Row],[Student No.]],Exam[Student No.],0))), TRUE, FALSE)</f>
        <v>1</v>
      </c>
      <c r="X41" s="18" t="b">
        <f>IF(ISNUMBER(INDEX(#REF!,MATCH(All[[#This Row],[Student No.]],#REF!,0))),TRUE,FALSE)</f>
        <v>0</v>
      </c>
      <c r="Y41" s="18" t="b">
        <f>IF(ISNUMBER(INDEX(#REF!,MATCH(All[[#This Row],[Student No.]],#REF!,0))),TRUE,FALSE)</f>
        <v>0</v>
      </c>
      <c r="Z41" s="18" t="b">
        <f>IF(All[[#This Row],[Wrote Def]],
IF(INDEX(#REF!, MATCH(All[[#This Row],[Student No.]],#REF!,0))&lt;&gt;All[[#This Row],[Exam/Def]], TRUE, FALSE),
  IF(All[[#This Row],[Wrote Exam]], IF(INDEX(Exam[Total (%)], MATCH(All[[#This Row],[Student No.]],Exam[Student No.],0))&lt;&gt;All[[#This Row],[Exam/Def]],TRUE,FALSE), FALSE))</f>
        <v>0</v>
      </c>
      <c r="AA41" s="18" t="b">
        <f xml:space="preserve">    IF(AND(All[[#This Row],[Exam/Def]]&lt;35,OR(All[[#This Row],[Wrote Exam]],All[[#This Row],[Wrote Def]])), TRUE,FALSE)</f>
        <v>1</v>
      </c>
      <c r="AB41" s="18" t="b">
        <f>IF(AND(All[[#This Row],[Exam &lt; 35%]],All[[#This Row],[Final]]&gt;=50),TRUE,FALSE)</f>
        <v>1</v>
      </c>
      <c r="AC41" s="18"/>
    </row>
    <row r="42" spans="1:29" ht="43.2">
      <c r="A42" s="17" t="s">
        <v>307</v>
      </c>
      <c r="B42" s="17" t="s">
        <v>483</v>
      </c>
      <c r="C42" s="100" t="e">
        <f>IF(All[[#This Row],[Student]],
  IF(ISNA(INDEX(#REF!,MATCH(All[[#This Row],[Student No.]],#REF!,0))),
    "Cannot find student!",
    IF(INDEX(#REF!,MATCH(All[[#This Row],[Student No.]],#REF!,0))="",
      "",
      INDEX(#REF!,MATCH(All[[#This Row],[Student No.]],#REF!,0)))
    ),
  "No student!")</f>
        <v>#REF!</v>
      </c>
      <c r="D42"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42" s="18" t="str">
        <f>IF(All[[#This Row],[Student]],
  IF(ISNA(INDEX(Project[Total (%)],MATCH(All[[#This Row],[Student No.]],Project[Student No.],0))),
    "Cannot find student!",
    IF(INDEX(Project[Total (%)],MATCH(All[[#This Row],[Student No.]],Project[Student No.],0))="",
      "",
      INDEX(Project[Total (%)],MATCH(All[[#This Row],[Student No.]],Project[Student No.],0)))
    ),
  "No student!")</f>
        <v/>
      </c>
      <c r="F42" s="201">
        <f>IF(All[[#This Row],[Wrote Def]], INDEX(#REF!, MATCH(All[[#This Row],[Student No.]],#REF!,0)),
  IF(All[[#This Row],[Wrote Exam]], INDEX(Exam[Total (%)], MATCH(All[[#This Row],[Student No.]], Exam[Student No.],0)),
    ""))</f>
        <v>55</v>
      </c>
      <c r="G42" s="18" t="str">
        <f>IF(AND(All[[#This Row],[Student]], All[[#This Row],[All Components]]),
    IF(NOT(All[Has Test Mark]),ROUND((All[[#This Row],[Engagement]]*$C$5+All[[#This Row],[Project]]*$E$5+All[[#This Row],[Exam/Def]]*$F$5)/($C$5+$E$5+$F$5),0),
      ROUND((All[[#This Row],[Engagement]]*$C$5+All[[#This Row],[Test]]*$D$5+All[[#This Row],[Project]]*$E$5+All[[#This Row],[Exam/Def]]*$F$5)/($C$5+$D$5+$E$5+$F$5),0)
  ),
  "")</f>
        <v/>
      </c>
      <c r="H42" s="18" t="str">
        <f>All[[#This Row],[Course Mark]]</f>
        <v/>
      </c>
      <c r="I42" s="18" t="str">
        <f>IF(All[[#This Row],[Wrote Sup]], INDEX(#REF!,MATCH(All[[#This Row],[Student No.]],#REF!,0)), "")</f>
        <v/>
      </c>
      <c r="J42" s="18" t="str">
        <f>IF(AND(All[[#This Row],[Student]],ISNUMBER(All[[#This Row],[Final]])),_xlfn.RANK.EQ(All[[#This Row],[Final]],All[Final]),"")</f>
        <v/>
      </c>
      <c r="K42" s="31"/>
      <c r="L42" s="18" t="str">
        <f>IF(All[[#This Row],[Student]], IF(All[Wrote Sup],All[Sup],All[[#This Row],[Final]]),"No student")</f>
        <v/>
      </c>
      <c r="M42" s="18" t="str">
        <f>IF(All[[#This Row],[Final]]="","",
  IF(All[[#This Row],[Wrote Sup]],
    IF(All[[#This Row],[Sup]]&lt;50,"FAL","PAS"),
  IF(All[[#This Row],[Exam/Def]]&lt;35, "FSB",
    IF(All[[#This Row],[Final]]&lt;50,"FAL",
    IF(All[[#This Row],[Final]]&gt;=50,"PAS",
  "Error!")))))</f>
        <v/>
      </c>
      <c r="N42" s="18">
        <f>IF(All[[#This Row],[Student]], _xlfn.IFNA(INDEX(captured[Course Mark],MATCH(All[[#This Row],[Student No.]],captured[ID_TEXT],0) &amp; ""), "Cannot find student!"),"No student!")</f>
        <v>70</v>
      </c>
      <c r="O42" s="189" t="str">
        <f>IF(All[[#This Row],[Student]], _xlfn.IFNA(INDEX(captured[Grade],MATCH(All[[#This Row],[Student No.]],captured[ID_TEXT],0)), "Cannot find student!") &amp; "","No student!")</f>
        <v>PAS</v>
      </c>
      <c r="P42"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42" s="18" t="str">
        <f>IF(All[[#This Row],[My Grade]]&lt;&gt;"",IF(All[[#This Row],[My Grade]]&lt;&gt;All[[#This Row],[Cap Grade]],TRUE,FALSE),"")</f>
        <v/>
      </c>
      <c r="R42" s="18" t="b">
        <f>IF(NOT(ISBLANK(All[[#This Row],[Student No.]])),OR(ISNUMBER(FIND("FSB",All[[#This Row],[My Grade]])),ISNUMBER(FIND("PAS", All[[#This Row],[My Grade]])),ISNUMBER(FIND("FAL",All[[#This Row],[My Grade]])),ISNUMBER(FIND("FAB", All[[#This Row],[My Grade]])),COUNTBLANK(All[[#This Row],[My Grade]])=1),FALSE)</f>
        <v>1</v>
      </c>
      <c r="S42" s="18" t="b">
        <f>IF(All[[#This Row],[Student No.]]&lt;&gt;"", TRUE, FALSE)</f>
        <v>1</v>
      </c>
      <c r="T42" s="18" t="b">
        <f>IF(COUNTBLANK(All[[#This Row],[Engagement]:[Exam/Def]])=0,TRUE, FALSE)</f>
        <v>0</v>
      </c>
      <c r="U42" s="18" t="b">
        <f>IF(ISNUMBER(All[[#This Row],[Test]]),TRUE,FALSE)</f>
        <v>0</v>
      </c>
      <c r="V42" s="18" t="e">
        <f>IF((INDEX(Test[Total (%)],MATCH(All[[#This Row],[Student No.]],Test[Student No.],0)))="ABS", TRUE, FALSE)</f>
        <v>#N/A</v>
      </c>
      <c r="W42" s="18" t="b">
        <f>IF(ISNUMBER(INDEX(Exam[Total (%)],MATCH(All[[#This Row],[Student No.]],Exam[Student No.],0))), TRUE, FALSE)</f>
        <v>1</v>
      </c>
      <c r="X42" s="18" t="b">
        <f>IF(ISNUMBER(INDEX(#REF!,MATCH(All[[#This Row],[Student No.]],#REF!,0))),TRUE,FALSE)</f>
        <v>0</v>
      </c>
      <c r="Y42" s="18" t="b">
        <f>IF(ISNUMBER(INDEX(#REF!,MATCH(All[[#This Row],[Student No.]],#REF!,0))),TRUE,FALSE)</f>
        <v>0</v>
      </c>
      <c r="Z42" s="18" t="b">
        <f>IF(All[[#This Row],[Wrote Def]],
IF(INDEX(#REF!, MATCH(All[[#This Row],[Student No.]],#REF!,0))&lt;&gt;All[[#This Row],[Exam/Def]], TRUE, FALSE),
  IF(All[[#This Row],[Wrote Exam]], IF(INDEX(Exam[Total (%)], MATCH(All[[#This Row],[Student No.]],Exam[Student No.],0))&lt;&gt;All[[#This Row],[Exam/Def]],TRUE,FALSE), FALSE))</f>
        <v>0</v>
      </c>
      <c r="AA42" s="18" t="b">
        <f xml:space="preserve">    IF(AND(All[[#This Row],[Exam/Def]]&lt;35,OR(All[[#This Row],[Wrote Exam]],All[[#This Row],[Wrote Def]])), TRUE,FALSE)</f>
        <v>0</v>
      </c>
      <c r="AB42" s="18" t="b">
        <f>IF(AND(All[[#This Row],[Exam &lt; 35%]],All[[#This Row],[Final]]&gt;=50),TRUE,FALSE)</f>
        <v>0</v>
      </c>
      <c r="AC42" s="18"/>
    </row>
    <row r="43" spans="1:29" ht="43.2">
      <c r="A43" s="17" t="s">
        <v>308</v>
      </c>
      <c r="B43" s="17" t="s">
        <v>484</v>
      </c>
      <c r="C43" s="100" t="e">
        <f>IF(All[[#This Row],[Student]],
  IF(ISNA(INDEX(#REF!,MATCH(All[[#This Row],[Student No.]],#REF!,0))),
    "Cannot find student!",
    IF(INDEX(#REF!,MATCH(All[[#This Row],[Student No.]],#REF!,0))="",
      "",
      INDEX(#REF!,MATCH(All[[#This Row],[Student No.]],#REF!,0)))
    ),
  "No student!")</f>
        <v>#REF!</v>
      </c>
      <c r="D43"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43" s="18" t="str">
        <f>IF(All[[#This Row],[Student]],
  IF(ISNA(INDEX(Project[Total (%)],MATCH(All[[#This Row],[Student No.]],Project[Student No.],0))),
    "Cannot find student!",
    IF(INDEX(Project[Total (%)],MATCH(All[[#This Row],[Student No.]],Project[Student No.],0))="",
      "",
      INDEX(Project[Total (%)],MATCH(All[[#This Row],[Student No.]],Project[Student No.],0)))
    ),
  "No student!")</f>
        <v/>
      </c>
      <c r="F43" s="201">
        <f>IF(All[[#This Row],[Wrote Def]], INDEX(#REF!, MATCH(All[[#This Row],[Student No.]],#REF!,0)),
  IF(All[[#This Row],[Wrote Exam]], INDEX(Exam[Total (%)], MATCH(All[[#This Row],[Student No.]], Exam[Student No.],0)),
    ""))</f>
        <v>36</v>
      </c>
      <c r="G43" s="18" t="str">
        <f>IF(AND(All[[#This Row],[Student]], All[[#This Row],[All Components]]),
    IF(NOT(All[Has Test Mark]),ROUND((All[[#This Row],[Engagement]]*$C$5+All[[#This Row],[Project]]*$E$5+All[[#This Row],[Exam/Def]]*$F$5)/($C$5+$E$5+$F$5),0),
      ROUND((All[[#This Row],[Engagement]]*$C$5+All[[#This Row],[Test]]*$D$5+All[[#This Row],[Project]]*$E$5+All[[#This Row],[Exam/Def]]*$F$5)/($C$5+$D$5+$E$5+$F$5),0)
  ),
  "")</f>
        <v/>
      </c>
      <c r="H43" s="18" t="str">
        <f>All[[#This Row],[Course Mark]]</f>
        <v/>
      </c>
      <c r="I43" s="18" t="str">
        <f>IF(All[[#This Row],[Wrote Sup]], INDEX(#REF!,MATCH(All[[#This Row],[Student No.]],#REF!,0)), "")</f>
        <v/>
      </c>
      <c r="J43" s="18" t="str">
        <f>IF(AND(All[[#This Row],[Student]],ISNUMBER(All[[#This Row],[Final]])),_xlfn.RANK.EQ(All[[#This Row],[Final]],All[Final]),"")</f>
        <v/>
      </c>
      <c r="K43" s="31"/>
      <c r="L43" s="18" t="str">
        <f>IF(All[[#This Row],[Student]], IF(All[Wrote Sup],All[Sup],All[[#This Row],[Final]]),"No student")</f>
        <v/>
      </c>
      <c r="M43" s="18" t="str">
        <f>IF(All[[#This Row],[Final]]="","",
  IF(All[[#This Row],[Wrote Sup]],
    IF(All[[#This Row],[Sup]]&lt;50,"FAL","PAS"),
  IF(All[[#This Row],[Exam/Def]]&lt;35, "FSB",
    IF(All[[#This Row],[Final]]&lt;50,"FAL",
    IF(All[[#This Row],[Final]]&gt;=50,"PAS",
  "Error!")))))</f>
        <v/>
      </c>
      <c r="N43" s="18">
        <f>IF(All[[#This Row],[Student]], _xlfn.IFNA(INDEX(captured[Course Mark],MATCH(All[[#This Row],[Student No.]],captured[ID_TEXT],0) &amp; ""), "Cannot find student!"),"No student!")</f>
        <v>58</v>
      </c>
      <c r="O43" s="189" t="str">
        <f>IF(All[[#This Row],[Student]], _xlfn.IFNA(INDEX(captured[Grade],MATCH(All[[#This Row],[Student No.]],captured[ID_TEXT],0)), "Cannot find student!") &amp; "","No student!")</f>
        <v>PAS</v>
      </c>
      <c r="P43"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43" s="18" t="str">
        <f>IF(All[[#This Row],[My Grade]]&lt;&gt;"",IF(All[[#This Row],[My Grade]]&lt;&gt;All[[#This Row],[Cap Grade]],TRUE,FALSE),"")</f>
        <v/>
      </c>
      <c r="R43" s="18" t="b">
        <f>IF(NOT(ISBLANK(All[[#This Row],[Student No.]])),OR(ISNUMBER(FIND("FSB",All[[#This Row],[My Grade]])),ISNUMBER(FIND("PAS", All[[#This Row],[My Grade]])),ISNUMBER(FIND("FAL",All[[#This Row],[My Grade]])),ISNUMBER(FIND("FAB", All[[#This Row],[My Grade]])),COUNTBLANK(All[[#This Row],[My Grade]])=1),FALSE)</f>
        <v>1</v>
      </c>
      <c r="S43" s="18" t="b">
        <f>IF(All[[#This Row],[Student No.]]&lt;&gt;"", TRUE, FALSE)</f>
        <v>1</v>
      </c>
      <c r="T43" s="18" t="b">
        <f>IF(COUNTBLANK(All[[#This Row],[Engagement]:[Exam/Def]])=0,TRUE, FALSE)</f>
        <v>0</v>
      </c>
      <c r="U43" s="18" t="b">
        <f>IF(ISNUMBER(All[[#This Row],[Test]]),TRUE,FALSE)</f>
        <v>0</v>
      </c>
      <c r="V43" s="18" t="e">
        <f>IF((INDEX(Test[Total (%)],MATCH(All[[#This Row],[Student No.]],Test[Student No.],0)))="ABS", TRUE, FALSE)</f>
        <v>#N/A</v>
      </c>
      <c r="W43" s="18" t="b">
        <f>IF(ISNUMBER(INDEX(Exam[Total (%)],MATCH(All[[#This Row],[Student No.]],Exam[Student No.],0))), TRUE, FALSE)</f>
        <v>1</v>
      </c>
      <c r="X43" s="18" t="b">
        <f>IF(ISNUMBER(INDEX(#REF!,MATCH(All[[#This Row],[Student No.]],#REF!,0))),TRUE,FALSE)</f>
        <v>0</v>
      </c>
      <c r="Y43" s="18" t="b">
        <f>IF(ISNUMBER(INDEX(#REF!,MATCH(All[[#This Row],[Student No.]],#REF!,0))),TRUE,FALSE)</f>
        <v>0</v>
      </c>
      <c r="Z43" s="18" t="b">
        <f>IF(All[[#This Row],[Wrote Def]],
IF(INDEX(#REF!, MATCH(All[[#This Row],[Student No.]],#REF!,0))&lt;&gt;All[[#This Row],[Exam/Def]], TRUE, FALSE),
  IF(All[[#This Row],[Wrote Exam]], IF(INDEX(Exam[Total (%)], MATCH(All[[#This Row],[Student No.]],Exam[Student No.],0))&lt;&gt;All[[#This Row],[Exam/Def]],TRUE,FALSE), FALSE))</f>
        <v>0</v>
      </c>
      <c r="AA43" s="18" t="b">
        <f xml:space="preserve">    IF(AND(All[[#This Row],[Exam/Def]]&lt;35,OR(All[[#This Row],[Wrote Exam]],All[[#This Row],[Wrote Def]])), TRUE,FALSE)</f>
        <v>0</v>
      </c>
      <c r="AB43" s="18" t="b">
        <f>IF(AND(All[[#This Row],[Exam &lt; 35%]],All[[#This Row],[Final]]&gt;=50),TRUE,FALSE)</f>
        <v>0</v>
      </c>
      <c r="AC43" s="18"/>
    </row>
    <row r="44" spans="1:29">
      <c r="A44" s="17" t="s">
        <v>309</v>
      </c>
      <c r="B44" s="17" t="s">
        <v>485</v>
      </c>
      <c r="C44" s="100" t="e">
        <f>IF(All[[#This Row],[Student]],
  IF(ISNA(INDEX(#REF!,MATCH(All[[#This Row],[Student No.]],#REF!,0))),
    "Cannot find student!",
    IF(INDEX(#REF!,MATCH(All[[#This Row],[Student No.]],#REF!,0))="",
      "",
      INDEX(#REF!,MATCH(All[[#This Row],[Student No.]],#REF!,0)))
    ),
  "No student!")</f>
        <v>#REF!</v>
      </c>
      <c r="D44"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44" s="18" t="str">
        <f>IF(All[[#This Row],[Student]],
  IF(ISNA(INDEX(Project[Total (%)],MATCH(All[[#This Row],[Student No.]],Project[Student No.],0))),
    "Cannot find student!",
    IF(INDEX(Project[Total (%)],MATCH(All[[#This Row],[Student No.]],Project[Student No.],0))="",
      "",
      INDEX(Project[Total (%)],MATCH(All[[#This Row],[Student No.]],Project[Student No.],0)))
    ),
  "No student!")</f>
        <v/>
      </c>
      <c r="F44" s="201" t="str">
        <f>IF(All[[#This Row],[Wrote Def]], INDEX(#REF!, MATCH(All[[#This Row],[Student No.]],#REF!,0)),
  IF(All[[#This Row],[Wrote Exam]], INDEX(Exam[Total (%)], MATCH(All[[#This Row],[Student No.]], Exam[Student No.],0)),
    ""))</f>
        <v/>
      </c>
      <c r="G44" s="18" t="str">
        <f>IF(AND(All[[#This Row],[Student]], All[[#This Row],[All Components]]),
    IF(NOT(All[Has Test Mark]),ROUND((All[[#This Row],[Engagement]]*$C$5+All[[#This Row],[Project]]*$E$5+All[[#This Row],[Exam/Def]]*$F$5)/($C$5+$E$5+$F$5),0),
      ROUND((All[[#This Row],[Engagement]]*$C$5+All[[#This Row],[Test]]*$D$5+All[[#This Row],[Project]]*$E$5+All[[#This Row],[Exam/Def]]*$F$5)/($C$5+$D$5+$E$5+$F$5),0)
  ),
  "")</f>
        <v/>
      </c>
      <c r="H44" s="18" t="str">
        <f>All[[#This Row],[Course Mark]]</f>
        <v/>
      </c>
      <c r="I44" s="18" t="str">
        <f>IF(All[[#This Row],[Wrote Sup]], INDEX(#REF!,MATCH(All[[#This Row],[Student No.]],#REF!,0)), "")</f>
        <v/>
      </c>
      <c r="J44" s="18" t="str">
        <f>IF(AND(All[[#This Row],[Student]],ISNUMBER(All[[#This Row],[Final]])),_xlfn.RANK.EQ(All[[#This Row],[Final]],All[Final]),"")</f>
        <v/>
      </c>
      <c r="K44" s="31"/>
      <c r="L44" s="18" t="str">
        <f>IF(All[[#This Row],[Student]], IF(All[Wrote Sup],All[Sup],All[[#This Row],[Final]]),"No student")</f>
        <v/>
      </c>
      <c r="M44" s="18" t="str">
        <f>IF(All[[#This Row],[Final]]="","",
  IF(All[[#This Row],[Wrote Sup]],
    IF(All[[#This Row],[Sup]]&lt;50,"FAL","PAS"),
  IF(All[[#This Row],[Exam/Def]]&lt;35, "FSB",
    IF(All[[#This Row],[Final]]&lt;50,"FAL",
    IF(All[[#This Row],[Final]]&gt;=50,"PAS",
  "Error!")))))</f>
        <v/>
      </c>
      <c r="N44" s="18" t="str">
        <f>IF(All[[#This Row],[Student]], _xlfn.IFNA(INDEX(captured[Course Mark],MATCH(All[[#This Row],[Student No.]],captured[ID_TEXT],0) &amp; ""), "Cannot find student!"),"No student!")</f>
        <v>FABS</v>
      </c>
      <c r="O44" s="189" t="str">
        <f>IF(All[[#This Row],[Student]], _xlfn.IFNA(INDEX(captured[Grade],MATCH(All[[#This Row],[Student No.]],captured[ID_TEXT],0)), "Cannot find student!") &amp; "","No student!")</f>
        <v>FAB</v>
      </c>
      <c r="P44" s="18" t="b">
        <f xml:space="preserve"> IF(AND(ISNUMBER(All[[#This Row],[Cap Mark]]), ISNUMBER(All[[#This Row],[My Mark]])), ABS(All[[#This Row],[Cap Mark]] - All[[#This Row],[My Mark]]) &lt;&gt; 0,
    IF(AND(ISNUMBER(All[[#This Row],[My Mark]]),NOT(ISNUMBER(All[[#This Row],[Cap Mark]]))),TRUE,
    IF(AND(ISNUMBER(All[[#This Row],[Cap Mark]]),NOT(ISNUMBER(All[[#This Row],[My Mark]]))),TRUE,FALSE)
    ))</f>
        <v>0</v>
      </c>
      <c r="Q44" s="18" t="str">
        <f>IF(All[[#This Row],[My Grade]]&lt;&gt;"",IF(All[[#This Row],[My Grade]]&lt;&gt;All[[#This Row],[Cap Grade]],TRUE,FALSE),"")</f>
        <v/>
      </c>
      <c r="R44" s="18" t="b">
        <f>IF(NOT(ISBLANK(All[[#This Row],[Student No.]])),OR(ISNUMBER(FIND("FSB",All[[#This Row],[My Grade]])),ISNUMBER(FIND("PAS", All[[#This Row],[My Grade]])),ISNUMBER(FIND("FAL",All[[#This Row],[My Grade]])),ISNUMBER(FIND("FAB", All[[#This Row],[My Grade]])),COUNTBLANK(All[[#This Row],[My Grade]])=1),FALSE)</f>
        <v>1</v>
      </c>
      <c r="S44" s="18" t="b">
        <f>IF(All[[#This Row],[Student No.]]&lt;&gt;"", TRUE, FALSE)</f>
        <v>1</v>
      </c>
      <c r="T44" s="18" t="b">
        <f>IF(COUNTBLANK(All[[#This Row],[Engagement]:[Exam/Def]])=0,TRUE, FALSE)</f>
        <v>0</v>
      </c>
      <c r="U44" s="18" t="b">
        <f>IF(ISNUMBER(All[[#This Row],[Test]]),TRUE,FALSE)</f>
        <v>0</v>
      </c>
      <c r="V44" s="18" t="b">
        <f>IF((INDEX(Test[Total (%)],MATCH(All[[#This Row],[Student No.]],Test[Student No.],0)))="ABS", TRUE, FALSE)</f>
        <v>0</v>
      </c>
      <c r="W44" s="18" t="b">
        <f>IF(ISNUMBER(INDEX(Exam[Total (%)],MATCH(All[[#This Row],[Student No.]],Exam[Student No.],0))), TRUE, FALSE)</f>
        <v>0</v>
      </c>
      <c r="X44" s="18" t="b">
        <f>IF(ISNUMBER(INDEX(#REF!,MATCH(All[[#This Row],[Student No.]],#REF!,0))),TRUE,FALSE)</f>
        <v>0</v>
      </c>
      <c r="Y44" s="18" t="b">
        <f>IF(ISNUMBER(INDEX(#REF!,MATCH(All[[#This Row],[Student No.]],#REF!,0))),TRUE,FALSE)</f>
        <v>0</v>
      </c>
      <c r="Z44" s="18" t="b">
        <f>IF(All[[#This Row],[Wrote Def]],
IF(INDEX(#REF!, MATCH(All[[#This Row],[Student No.]],#REF!,0))&lt;&gt;All[[#This Row],[Exam/Def]], TRUE, FALSE),
  IF(All[[#This Row],[Wrote Exam]], IF(INDEX(Exam[Total (%)], MATCH(All[[#This Row],[Student No.]],Exam[Student No.],0))&lt;&gt;All[[#This Row],[Exam/Def]],TRUE,FALSE), FALSE))</f>
        <v>0</v>
      </c>
      <c r="AA44" s="18" t="b">
        <f xml:space="preserve">    IF(AND(All[[#This Row],[Exam/Def]]&lt;35,OR(All[[#This Row],[Wrote Exam]],All[[#This Row],[Wrote Def]])), TRUE,FALSE)</f>
        <v>0</v>
      </c>
      <c r="AB44" s="18" t="b">
        <f>IF(AND(All[[#This Row],[Exam &lt; 35%]],All[[#This Row],[Final]]&gt;=50),TRUE,FALSE)</f>
        <v>0</v>
      </c>
      <c r="AC44" s="18"/>
    </row>
    <row r="45" spans="1:29" ht="43.2">
      <c r="A45" s="17" t="s">
        <v>310</v>
      </c>
      <c r="B45" s="17" t="s">
        <v>486</v>
      </c>
      <c r="C45" s="100" t="e">
        <f>IF(All[[#This Row],[Student]],
  IF(ISNA(INDEX(#REF!,MATCH(All[[#This Row],[Student No.]],#REF!,0))),
    "Cannot find student!",
    IF(INDEX(#REF!,MATCH(All[[#This Row],[Student No.]],#REF!,0))="",
      "",
      INDEX(#REF!,MATCH(All[[#This Row],[Student No.]],#REF!,0)))
    ),
  "No student!")</f>
        <v>#REF!</v>
      </c>
      <c r="D45"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45" s="18" t="str">
        <f>IF(All[[#This Row],[Student]],
  IF(ISNA(INDEX(Project[Total (%)],MATCH(All[[#This Row],[Student No.]],Project[Student No.],0))),
    "Cannot find student!",
    IF(INDEX(Project[Total (%)],MATCH(All[[#This Row],[Student No.]],Project[Student No.],0))="",
      "",
      INDEX(Project[Total (%)],MATCH(All[[#This Row],[Student No.]],Project[Student No.],0)))
    ),
  "No student!")</f>
        <v/>
      </c>
      <c r="F45" s="201">
        <f>IF(All[[#This Row],[Wrote Def]], INDEX(#REF!, MATCH(All[[#This Row],[Student No.]],#REF!,0)),
  IF(All[[#This Row],[Wrote Exam]], INDEX(Exam[Total (%)], MATCH(All[[#This Row],[Student No.]], Exam[Student No.],0)),
    ""))</f>
        <v>66</v>
      </c>
      <c r="G45" s="18" t="str">
        <f>IF(AND(All[[#This Row],[Student]], All[[#This Row],[All Components]]),
    IF(NOT(All[Has Test Mark]),ROUND((All[[#This Row],[Engagement]]*$C$5+All[[#This Row],[Project]]*$E$5+All[[#This Row],[Exam/Def]]*$F$5)/($C$5+$E$5+$F$5),0),
      ROUND((All[[#This Row],[Engagement]]*$C$5+All[[#This Row],[Test]]*$D$5+All[[#This Row],[Project]]*$E$5+All[[#This Row],[Exam/Def]]*$F$5)/($C$5+$D$5+$E$5+$F$5),0)
  ),
  "")</f>
        <v/>
      </c>
      <c r="H45" s="18" t="str">
        <f>All[[#This Row],[Course Mark]]</f>
        <v/>
      </c>
      <c r="I45" s="18" t="str">
        <f>IF(All[[#This Row],[Wrote Sup]], INDEX(#REF!,MATCH(All[[#This Row],[Student No.]],#REF!,0)), "")</f>
        <v/>
      </c>
      <c r="J45" s="18" t="str">
        <f>IF(AND(All[[#This Row],[Student]],ISNUMBER(All[[#This Row],[Final]])),_xlfn.RANK.EQ(All[[#This Row],[Final]],All[Final]),"")</f>
        <v/>
      </c>
      <c r="K45" s="31"/>
      <c r="L45" s="18" t="str">
        <f>IF(All[[#This Row],[Student]], IF(All[Wrote Sup],All[Sup],All[[#This Row],[Final]]),"No student")</f>
        <v/>
      </c>
      <c r="M45" s="18" t="str">
        <f>IF(All[[#This Row],[Final]]="","",
  IF(All[[#This Row],[Wrote Sup]],
    IF(All[[#This Row],[Sup]]&lt;50,"FAL","PAS"),
  IF(All[[#This Row],[Exam/Def]]&lt;35, "FSB",
    IF(All[[#This Row],[Final]]&lt;50,"FAL",
    IF(All[[#This Row],[Final]]&gt;=50,"PAS",
  "Error!")))))</f>
        <v/>
      </c>
      <c r="N45" s="18">
        <f>IF(All[[#This Row],[Student]], _xlfn.IFNA(INDEX(captured[Course Mark],MATCH(All[[#This Row],[Student No.]],captured[ID_TEXT],0) &amp; ""), "Cannot find student!"),"No student!")</f>
        <v>67</v>
      </c>
      <c r="O45" s="189" t="str">
        <f>IF(All[[#This Row],[Student]], _xlfn.IFNA(INDEX(captured[Grade],MATCH(All[[#This Row],[Student No.]],captured[ID_TEXT],0)), "Cannot find student!") &amp; "","No student!")</f>
        <v>PAS</v>
      </c>
      <c r="P45"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45" s="18" t="str">
        <f>IF(All[[#This Row],[My Grade]]&lt;&gt;"",IF(All[[#This Row],[My Grade]]&lt;&gt;All[[#This Row],[Cap Grade]],TRUE,FALSE),"")</f>
        <v/>
      </c>
      <c r="R45" s="18" t="b">
        <f>IF(NOT(ISBLANK(All[[#This Row],[Student No.]])),OR(ISNUMBER(FIND("FSB",All[[#This Row],[My Grade]])),ISNUMBER(FIND("PAS", All[[#This Row],[My Grade]])),ISNUMBER(FIND("FAL",All[[#This Row],[My Grade]])),ISNUMBER(FIND("FAB", All[[#This Row],[My Grade]])),COUNTBLANK(All[[#This Row],[My Grade]])=1),FALSE)</f>
        <v>1</v>
      </c>
      <c r="S45" s="18" t="b">
        <f>IF(All[[#This Row],[Student No.]]&lt;&gt;"", TRUE, FALSE)</f>
        <v>1</v>
      </c>
      <c r="T45" s="18" t="b">
        <f>IF(COUNTBLANK(All[[#This Row],[Engagement]:[Exam/Def]])=0,TRUE, FALSE)</f>
        <v>0</v>
      </c>
      <c r="U45" s="18" t="b">
        <f>IF(ISNUMBER(All[[#This Row],[Test]]),TRUE,FALSE)</f>
        <v>0</v>
      </c>
      <c r="V45" s="18" t="e">
        <f>IF((INDEX(Test[Total (%)],MATCH(All[[#This Row],[Student No.]],Test[Student No.],0)))="ABS", TRUE, FALSE)</f>
        <v>#N/A</v>
      </c>
      <c r="W45" s="18" t="b">
        <f>IF(ISNUMBER(INDEX(Exam[Total (%)],MATCH(All[[#This Row],[Student No.]],Exam[Student No.],0))), TRUE, FALSE)</f>
        <v>1</v>
      </c>
      <c r="X45" s="18" t="b">
        <f>IF(ISNUMBER(INDEX(#REF!,MATCH(All[[#This Row],[Student No.]],#REF!,0))),TRUE,FALSE)</f>
        <v>0</v>
      </c>
      <c r="Y45" s="18" t="b">
        <f>IF(ISNUMBER(INDEX(#REF!,MATCH(All[[#This Row],[Student No.]],#REF!,0))),TRUE,FALSE)</f>
        <v>0</v>
      </c>
      <c r="Z45" s="18" t="b">
        <f>IF(All[[#This Row],[Wrote Def]],
IF(INDEX(#REF!, MATCH(All[[#This Row],[Student No.]],#REF!,0))&lt;&gt;All[[#This Row],[Exam/Def]], TRUE, FALSE),
  IF(All[[#This Row],[Wrote Exam]], IF(INDEX(Exam[Total (%)], MATCH(All[[#This Row],[Student No.]],Exam[Student No.],0))&lt;&gt;All[[#This Row],[Exam/Def]],TRUE,FALSE), FALSE))</f>
        <v>0</v>
      </c>
      <c r="AA45" s="18" t="b">
        <f xml:space="preserve">    IF(AND(All[[#This Row],[Exam/Def]]&lt;35,OR(All[[#This Row],[Wrote Exam]],All[[#This Row],[Wrote Def]])), TRUE,FALSE)</f>
        <v>0</v>
      </c>
      <c r="AB45" s="18" t="b">
        <f>IF(AND(All[[#This Row],[Exam &lt; 35%]],All[[#This Row],[Final]]&gt;=50),TRUE,FALSE)</f>
        <v>0</v>
      </c>
      <c r="AC45" s="18"/>
    </row>
    <row r="46" spans="1:29" ht="43.2">
      <c r="A46" s="17" t="s">
        <v>311</v>
      </c>
      <c r="B46" s="17" t="s">
        <v>487</v>
      </c>
      <c r="C46" s="100" t="e">
        <f>IF(All[[#This Row],[Student]],
  IF(ISNA(INDEX(#REF!,MATCH(All[[#This Row],[Student No.]],#REF!,0))),
    "Cannot find student!",
    IF(INDEX(#REF!,MATCH(All[[#This Row],[Student No.]],#REF!,0))="",
      "",
      INDEX(#REF!,MATCH(All[[#This Row],[Student No.]],#REF!,0)))
    ),
  "No student!")</f>
        <v>#REF!</v>
      </c>
      <c r="D46"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46" s="18" t="str">
        <f>IF(All[[#This Row],[Student]],
  IF(ISNA(INDEX(Project[Total (%)],MATCH(All[[#This Row],[Student No.]],Project[Student No.],0))),
    "Cannot find student!",
    IF(INDEX(Project[Total (%)],MATCH(All[[#This Row],[Student No.]],Project[Student No.],0))="",
      "",
      INDEX(Project[Total (%)],MATCH(All[[#This Row],[Student No.]],Project[Student No.],0)))
    ),
  "No student!")</f>
        <v/>
      </c>
      <c r="F46" s="201">
        <f>IF(All[[#This Row],[Wrote Def]], INDEX(#REF!, MATCH(All[[#This Row],[Student No.]],#REF!,0)),
  IF(All[[#This Row],[Wrote Exam]], INDEX(Exam[Total (%)], MATCH(All[[#This Row],[Student No.]], Exam[Student No.],0)),
    ""))</f>
        <v>51</v>
      </c>
      <c r="G46" s="18" t="str">
        <f>IF(AND(All[[#This Row],[Student]], All[[#This Row],[All Components]]),
    IF(NOT(All[Has Test Mark]),ROUND((All[[#This Row],[Engagement]]*$C$5+All[[#This Row],[Project]]*$E$5+All[[#This Row],[Exam/Def]]*$F$5)/($C$5+$E$5+$F$5),0),
      ROUND((All[[#This Row],[Engagement]]*$C$5+All[[#This Row],[Test]]*$D$5+All[[#This Row],[Project]]*$E$5+All[[#This Row],[Exam/Def]]*$F$5)/($C$5+$D$5+$E$5+$F$5),0)
  ),
  "")</f>
        <v/>
      </c>
      <c r="H46" s="18" t="str">
        <f>All[[#This Row],[Course Mark]]</f>
        <v/>
      </c>
      <c r="I46" s="18" t="str">
        <f>IF(All[[#This Row],[Wrote Sup]], INDEX(#REF!,MATCH(All[[#This Row],[Student No.]],#REF!,0)), "")</f>
        <v/>
      </c>
      <c r="J46" s="18" t="str">
        <f>IF(AND(All[[#This Row],[Student]],ISNUMBER(All[[#This Row],[Final]])),_xlfn.RANK.EQ(All[[#This Row],[Final]],All[Final]),"")</f>
        <v/>
      </c>
      <c r="K46" s="31"/>
      <c r="L46" s="18" t="str">
        <f>IF(All[[#This Row],[Student]], IF(All[Wrote Sup],All[Sup],All[[#This Row],[Final]]),"No student")</f>
        <v/>
      </c>
      <c r="M46" s="18" t="str">
        <f>IF(All[[#This Row],[Final]]="","",
  IF(All[[#This Row],[Wrote Sup]],
    IF(All[[#This Row],[Sup]]&lt;50,"FAL","PAS"),
  IF(All[[#This Row],[Exam/Def]]&lt;35, "FSB",
    IF(All[[#This Row],[Final]]&lt;50,"FAL",
    IF(All[[#This Row],[Final]]&gt;=50,"PAS",
  "Error!")))))</f>
        <v/>
      </c>
      <c r="N46" s="18">
        <f>IF(All[[#This Row],[Student]], _xlfn.IFNA(INDEX(captured[Course Mark],MATCH(All[[#This Row],[Student No.]],captured[ID_TEXT],0) &amp; ""), "Cannot find student!"),"No student!")</f>
        <v>59</v>
      </c>
      <c r="O46" s="189" t="str">
        <f>IF(All[[#This Row],[Student]], _xlfn.IFNA(INDEX(captured[Grade],MATCH(All[[#This Row],[Student No.]],captured[ID_TEXT],0)), "Cannot find student!") &amp; "","No student!")</f>
        <v>PAS</v>
      </c>
      <c r="P46"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46" s="18" t="str">
        <f>IF(All[[#This Row],[My Grade]]&lt;&gt;"",IF(All[[#This Row],[My Grade]]&lt;&gt;All[[#This Row],[Cap Grade]],TRUE,FALSE),"")</f>
        <v/>
      </c>
      <c r="R46" s="18" t="b">
        <f>IF(NOT(ISBLANK(All[[#This Row],[Student No.]])),OR(ISNUMBER(FIND("FSB",All[[#This Row],[My Grade]])),ISNUMBER(FIND("PAS", All[[#This Row],[My Grade]])),ISNUMBER(FIND("FAL",All[[#This Row],[My Grade]])),ISNUMBER(FIND("FAB", All[[#This Row],[My Grade]])),COUNTBLANK(All[[#This Row],[My Grade]])=1),FALSE)</f>
        <v>1</v>
      </c>
      <c r="S46" s="18" t="b">
        <f>IF(All[[#This Row],[Student No.]]&lt;&gt;"", TRUE, FALSE)</f>
        <v>1</v>
      </c>
      <c r="T46" s="18" t="b">
        <f>IF(COUNTBLANK(All[[#This Row],[Engagement]:[Exam/Def]])=0,TRUE, FALSE)</f>
        <v>0</v>
      </c>
      <c r="U46" s="18" t="b">
        <f>IF(ISNUMBER(All[[#This Row],[Test]]),TRUE,FALSE)</f>
        <v>0</v>
      </c>
      <c r="V46" s="18" t="e">
        <f>IF((INDEX(Test[Total (%)],MATCH(All[[#This Row],[Student No.]],Test[Student No.],0)))="ABS", TRUE, FALSE)</f>
        <v>#N/A</v>
      </c>
      <c r="W46" s="18" t="b">
        <f>IF(ISNUMBER(INDEX(Exam[Total (%)],MATCH(All[[#This Row],[Student No.]],Exam[Student No.],0))), TRUE, FALSE)</f>
        <v>1</v>
      </c>
      <c r="X46" s="18" t="b">
        <f>IF(ISNUMBER(INDEX(#REF!,MATCH(All[[#This Row],[Student No.]],#REF!,0))),TRUE,FALSE)</f>
        <v>0</v>
      </c>
      <c r="Y46" s="18" t="b">
        <f>IF(ISNUMBER(INDEX(#REF!,MATCH(All[[#This Row],[Student No.]],#REF!,0))),TRUE,FALSE)</f>
        <v>0</v>
      </c>
      <c r="Z46" s="18" t="b">
        <f>IF(All[[#This Row],[Wrote Def]],
IF(INDEX(#REF!, MATCH(All[[#This Row],[Student No.]],#REF!,0))&lt;&gt;All[[#This Row],[Exam/Def]], TRUE, FALSE),
  IF(All[[#This Row],[Wrote Exam]], IF(INDEX(Exam[Total (%)], MATCH(All[[#This Row],[Student No.]],Exam[Student No.],0))&lt;&gt;All[[#This Row],[Exam/Def]],TRUE,FALSE), FALSE))</f>
        <v>0</v>
      </c>
      <c r="AA46" s="18" t="b">
        <f xml:space="preserve">    IF(AND(All[[#This Row],[Exam/Def]]&lt;35,OR(All[[#This Row],[Wrote Exam]],All[[#This Row],[Wrote Def]])), TRUE,FALSE)</f>
        <v>0</v>
      </c>
      <c r="AB46" s="18" t="b">
        <f>IF(AND(All[[#This Row],[Exam &lt; 35%]],All[[#This Row],[Final]]&gt;=50),TRUE,FALSE)</f>
        <v>0</v>
      </c>
      <c r="AC46" s="18"/>
    </row>
    <row r="47" spans="1:29" ht="43.2">
      <c r="A47" s="17" t="s">
        <v>312</v>
      </c>
      <c r="B47" s="17" t="s">
        <v>488</v>
      </c>
      <c r="C47" s="100" t="e">
        <f>IF(All[[#This Row],[Student]],
  IF(ISNA(INDEX(#REF!,MATCH(All[[#This Row],[Student No.]],#REF!,0))),
    "Cannot find student!",
    IF(INDEX(#REF!,MATCH(All[[#This Row],[Student No.]],#REF!,0))="",
      "",
      INDEX(#REF!,MATCH(All[[#This Row],[Student No.]],#REF!,0)))
    ),
  "No student!")</f>
        <v>#REF!</v>
      </c>
      <c r="D47"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47" s="18" t="str">
        <f>IF(All[[#This Row],[Student]],
  IF(ISNA(INDEX(Project[Total (%)],MATCH(All[[#This Row],[Student No.]],Project[Student No.],0))),
    "Cannot find student!",
    IF(INDEX(Project[Total (%)],MATCH(All[[#This Row],[Student No.]],Project[Student No.],0))="",
      "",
      INDEX(Project[Total (%)],MATCH(All[[#This Row],[Student No.]],Project[Student No.],0)))
    ),
  "No student!")</f>
        <v/>
      </c>
      <c r="F47" s="201">
        <f>IF(All[[#This Row],[Wrote Def]], INDEX(#REF!, MATCH(All[[#This Row],[Student No.]],#REF!,0)),
  IF(All[[#This Row],[Wrote Exam]], INDEX(Exam[Total (%)], MATCH(All[[#This Row],[Student No.]], Exam[Student No.],0)),
    ""))</f>
        <v>37</v>
      </c>
      <c r="G47" s="18" t="str">
        <f>IF(AND(All[[#This Row],[Student]], All[[#This Row],[All Components]]),
    IF(NOT(All[Has Test Mark]),ROUND((All[[#This Row],[Engagement]]*$C$5+All[[#This Row],[Project]]*$E$5+All[[#This Row],[Exam/Def]]*$F$5)/($C$5+$E$5+$F$5),0),
      ROUND((All[[#This Row],[Engagement]]*$C$5+All[[#This Row],[Test]]*$D$5+All[[#This Row],[Project]]*$E$5+All[[#This Row],[Exam/Def]]*$F$5)/($C$5+$D$5+$E$5+$F$5),0)
  ),
  "")</f>
        <v/>
      </c>
      <c r="H47" s="18" t="str">
        <f>All[[#This Row],[Course Mark]]</f>
        <v/>
      </c>
      <c r="I47" s="18" t="str">
        <f>IF(All[[#This Row],[Wrote Sup]], INDEX(#REF!,MATCH(All[[#This Row],[Student No.]],#REF!,0)), "")</f>
        <v/>
      </c>
      <c r="J47" s="18" t="str">
        <f>IF(AND(All[[#This Row],[Student]],ISNUMBER(All[[#This Row],[Final]])),_xlfn.RANK.EQ(All[[#This Row],[Final]],All[Final]),"")</f>
        <v/>
      </c>
      <c r="K47" s="31"/>
      <c r="L47" s="18" t="str">
        <f>IF(All[[#This Row],[Student]], IF(All[Wrote Sup],All[Sup],All[[#This Row],[Final]]),"No student")</f>
        <v/>
      </c>
      <c r="M47" s="18" t="str">
        <f>IF(All[[#This Row],[Final]]="","",
  IF(All[[#This Row],[Wrote Sup]],
    IF(All[[#This Row],[Sup]]&lt;50,"FAL","PAS"),
  IF(All[[#This Row],[Exam/Def]]&lt;35, "FSB",
    IF(All[[#This Row],[Final]]&lt;50,"FAL",
    IF(All[[#This Row],[Final]]&gt;=50,"PAS",
  "Error!")))))</f>
        <v/>
      </c>
      <c r="N47" s="18">
        <f>IF(All[[#This Row],[Student]], _xlfn.IFNA(INDEX(captured[Course Mark],MATCH(All[[#This Row],[Student No.]],captured[ID_TEXT],0) &amp; ""), "Cannot find student!"),"No student!")</f>
        <v>50</v>
      </c>
      <c r="O47" s="189" t="str">
        <f>IF(All[[#This Row],[Student]], _xlfn.IFNA(INDEX(captured[Grade],MATCH(All[[#This Row],[Student No.]],captured[ID_TEXT],0)), "Cannot find student!") &amp; "","No student!")</f>
        <v>PAS</v>
      </c>
      <c r="P47"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47" s="18" t="str">
        <f>IF(All[[#This Row],[My Grade]]&lt;&gt;"",IF(All[[#This Row],[My Grade]]&lt;&gt;All[[#This Row],[Cap Grade]],TRUE,FALSE),"")</f>
        <v/>
      </c>
      <c r="R47" s="18" t="b">
        <f>IF(NOT(ISBLANK(All[[#This Row],[Student No.]])),OR(ISNUMBER(FIND("FSB",All[[#This Row],[My Grade]])),ISNUMBER(FIND("PAS", All[[#This Row],[My Grade]])),ISNUMBER(FIND("FAL",All[[#This Row],[My Grade]])),ISNUMBER(FIND("FAB", All[[#This Row],[My Grade]])),COUNTBLANK(All[[#This Row],[My Grade]])=1),FALSE)</f>
        <v>1</v>
      </c>
      <c r="S47" s="18" t="b">
        <f>IF(All[[#This Row],[Student No.]]&lt;&gt;"", TRUE, FALSE)</f>
        <v>1</v>
      </c>
      <c r="T47" s="18" t="b">
        <f>IF(COUNTBLANK(All[[#This Row],[Engagement]:[Exam/Def]])=0,TRUE, FALSE)</f>
        <v>0</v>
      </c>
      <c r="U47" s="18" t="b">
        <f>IF(ISNUMBER(All[[#This Row],[Test]]),TRUE,FALSE)</f>
        <v>0</v>
      </c>
      <c r="V47" s="18" t="e">
        <f>IF((INDEX(Test[Total (%)],MATCH(All[[#This Row],[Student No.]],Test[Student No.],0)))="ABS", TRUE, FALSE)</f>
        <v>#N/A</v>
      </c>
      <c r="W47" s="18" t="b">
        <f>IF(ISNUMBER(INDEX(Exam[Total (%)],MATCH(All[[#This Row],[Student No.]],Exam[Student No.],0))), TRUE, FALSE)</f>
        <v>1</v>
      </c>
      <c r="X47" s="18" t="b">
        <f>IF(ISNUMBER(INDEX(#REF!,MATCH(All[[#This Row],[Student No.]],#REF!,0))),TRUE,FALSE)</f>
        <v>0</v>
      </c>
      <c r="Y47" s="18" t="b">
        <f>IF(ISNUMBER(INDEX(#REF!,MATCH(All[[#This Row],[Student No.]],#REF!,0))),TRUE,FALSE)</f>
        <v>0</v>
      </c>
      <c r="Z47" s="18" t="b">
        <f>IF(All[[#This Row],[Wrote Def]],
IF(INDEX(#REF!, MATCH(All[[#This Row],[Student No.]],#REF!,0))&lt;&gt;All[[#This Row],[Exam/Def]], TRUE, FALSE),
  IF(All[[#This Row],[Wrote Exam]], IF(INDEX(Exam[Total (%)], MATCH(All[[#This Row],[Student No.]],Exam[Student No.],0))&lt;&gt;All[[#This Row],[Exam/Def]],TRUE,FALSE), FALSE))</f>
        <v>0</v>
      </c>
      <c r="AA47" s="18" t="b">
        <f xml:space="preserve">    IF(AND(All[[#This Row],[Exam/Def]]&lt;35,OR(All[[#This Row],[Wrote Exam]],All[[#This Row],[Wrote Def]])), TRUE,FALSE)</f>
        <v>0</v>
      </c>
      <c r="AB47" s="18" t="b">
        <f>IF(AND(All[[#This Row],[Exam &lt; 35%]],All[[#This Row],[Final]]&gt;=50),TRUE,FALSE)</f>
        <v>0</v>
      </c>
      <c r="AC47" s="18"/>
    </row>
    <row r="48" spans="1:29" ht="43.2">
      <c r="A48" s="17" t="s">
        <v>313</v>
      </c>
      <c r="B48" s="17" t="s">
        <v>489</v>
      </c>
      <c r="C48" s="100" t="e">
        <f>IF(All[[#This Row],[Student]],
  IF(ISNA(INDEX(#REF!,MATCH(All[[#This Row],[Student No.]],#REF!,0))),
    "Cannot find student!",
    IF(INDEX(#REF!,MATCH(All[[#This Row],[Student No.]],#REF!,0))="",
      "",
      INDEX(#REF!,MATCH(All[[#This Row],[Student No.]],#REF!,0)))
    ),
  "No student!")</f>
        <v>#REF!</v>
      </c>
      <c r="D48"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48" s="18" t="str">
        <f>IF(All[[#This Row],[Student]],
  IF(ISNA(INDEX(Project[Total (%)],MATCH(All[[#This Row],[Student No.]],Project[Student No.],0))),
    "Cannot find student!",
    IF(INDEX(Project[Total (%)],MATCH(All[[#This Row],[Student No.]],Project[Student No.],0))="",
      "",
      INDEX(Project[Total (%)],MATCH(All[[#This Row],[Student No.]],Project[Student No.],0)))
    ),
  "No student!")</f>
        <v/>
      </c>
      <c r="F48" s="201">
        <f>IF(All[[#This Row],[Wrote Def]], INDEX(#REF!, MATCH(All[[#This Row],[Student No.]],#REF!,0)),
  IF(All[[#This Row],[Wrote Exam]], INDEX(Exam[Total (%)], MATCH(All[[#This Row],[Student No.]], Exam[Student No.],0)),
    ""))</f>
        <v>42</v>
      </c>
      <c r="G48" s="18" t="str">
        <f>IF(AND(All[[#This Row],[Student]], All[[#This Row],[All Components]]),
    IF(NOT(All[Has Test Mark]),ROUND((All[[#This Row],[Engagement]]*$C$5+All[[#This Row],[Project]]*$E$5+All[[#This Row],[Exam/Def]]*$F$5)/($C$5+$E$5+$F$5),0),
      ROUND((All[[#This Row],[Engagement]]*$C$5+All[[#This Row],[Test]]*$D$5+All[[#This Row],[Project]]*$E$5+All[[#This Row],[Exam/Def]]*$F$5)/($C$5+$D$5+$E$5+$F$5),0)
  ),
  "")</f>
        <v/>
      </c>
      <c r="H48" s="18" t="str">
        <f>All[[#This Row],[Course Mark]]</f>
        <v/>
      </c>
      <c r="I48" s="18" t="str">
        <f>IF(All[[#This Row],[Wrote Sup]], INDEX(#REF!,MATCH(All[[#This Row],[Student No.]],#REF!,0)), "")</f>
        <v/>
      </c>
      <c r="J48" s="18" t="str">
        <f>IF(AND(All[[#This Row],[Student]],ISNUMBER(All[[#This Row],[Final]])),_xlfn.RANK.EQ(All[[#This Row],[Final]],All[Final]),"")</f>
        <v/>
      </c>
      <c r="K48" s="31"/>
      <c r="L48" s="18" t="str">
        <f>IF(All[[#This Row],[Student]], IF(All[Wrote Sup],All[Sup],All[[#This Row],[Final]]),"No student")</f>
        <v/>
      </c>
      <c r="M48" s="18" t="str">
        <f>IF(All[[#This Row],[Final]]="","",
  IF(All[[#This Row],[Wrote Sup]],
    IF(All[[#This Row],[Sup]]&lt;50,"FAL","PAS"),
  IF(All[[#This Row],[Exam/Def]]&lt;35, "FSB",
    IF(All[[#This Row],[Final]]&lt;50,"FAL",
    IF(All[[#This Row],[Final]]&gt;=50,"PAS",
  "Error!")))))</f>
        <v/>
      </c>
      <c r="N48" s="18">
        <f>IF(All[[#This Row],[Student]], _xlfn.IFNA(INDEX(captured[Course Mark],MATCH(All[[#This Row],[Student No.]],captured[ID_TEXT],0) &amp; ""), "Cannot find student!"),"No student!")</f>
        <v>57</v>
      </c>
      <c r="O48" s="189" t="str">
        <f>IF(All[[#This Row],[Student]], _xlfn.IFNA(INDEX(captured[Grade],MATCH(All[[#This Row],[Student No.]],captured[ID_TEXT],0)), "Cannot find student!") &amp; "","No student!")</f>
        <v>PAS</v>
      </c>
      <c r="P48"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48" s="18" t="str">
        <f>IF(All[[#This Row],[My Grade]]&lt;&gt;"",IF(All[[#This Row],[My Grade]]&lt;&gt;All[[#This Row],[Cap Grade]],TRUE,FALSE),"")</f>
        <v/>
      </c>
      <c r="R48" s="18" t="b">
        <f>IF(NOT(ISBLANK(All[[#This Row],[Student No.]])),OR(ISNUMBER(FIND("FSB",All[[#This Row],[My Grade]])),ISNUMBER(FIND("PAS", All[[#This Row],[My Grade]])),ISNUMBER(FIND("FAL",All[[#This Row],[My Grade]])),ISNUMBER(FIND("FAB", All[[#This Row],[My Grade]])),COUNTBLANK(All[[#This Row],[My Grade]])=1),FALSE)</f>
        <v>1</v>
      </c>
      <c r="S48" s="18" t="b">
        <f>IF(All[[#This Row],[Student No.]]&lt;&gt;"", TRUE, FALSE)</f>
        <v>1</v>
      </c>
      <c r="T48" s="18" t="b">
        <f>IF(COUNTBLANK(All[[#This Row],[Engagement]:[Exam/Def]])=0,TRUE, FALSE)</f>
        <v>0</v>
      </c>
      <c r="U48" s="18" t="b">
        <f>IF(ISNUMBER(All[[#This Row],[Test]]),TRUE,FALSE)</f>
        <v>0</v>
      </c>
      <c r="V48" s="18" t="e">
        <f>IF((INDEX(Test[Total (%)],MATCH(All[[#This Row],[Student No.]],Test[Student No.],0)))="ABS", TRUE, FALSE)</f>
        <v>#N/A</v>
      </c>
      <c r="W48" s="18" t="b">
        <f>IF(ISNUMBER(INDEX(Exam[Total (%)],MATCH(All[[#This Row],[Student No.]],Exam[Student No.],0))), TRUE, FALSE)</f>
        <v>1</v>
      </c>
      <c r="X48" s="18" t="b">
        <f>IF(ISNUMBER(INDEX(#REF!,MATCH(All[[#This Row],[Student No.]],#REF!,0))),TRUE,FALSE)</f>
        <v>0</v>
      </c>
      <c r="Y48" s="18" t="b">
        <f>IF(ISNUMBER(INDEX(#REF!,MATCH(All[[#This Row],[Student No.]],#REF!,0))),TRUE,FALSE)</f>
        <v>0</v>
      </c>
      <c r="Z48" s="18" t="b">
        <f>IF(All[[#This Row],[Wrote Def]],
IF(INDEX(#REF!, MATCH(All[[#This Row],[Student No.]],#REF!,0))&lt;&gt;All[[#This Row],[Exam/Def]], TRUE, FALSE),
  IF(All[[#This Row],[Wrote Exam]], IF(INDEX(Exam[Total (%)], MATCH(All[[#This Row],[Student No.]],Exam[Student No.],0))&lt;&gt;All[[#This Row],[Exam/Def]],TRUE,FALSE), FALSE))</f>
        <v>0</v>
      </c>
      <c r="AA48" s="18" t="b">
        <f xml:space="preserve">    IF(AND(All[[#This Row],[Exam/Def]]&lt;35,OR(All[[#This Row],[Wrote Exam]],All[[#This Row],[Wrote Def]])), TRUE,FALSE)</f>
        <v>0</v>
      </c>
      <c r="AB48" s="18" t="b">
        <f>IF(AND(All[[#This Row],[Exam &lt; 35%]],All[[#This Row],[Final]]&gt;=50),TRUE,FALSE)</f>
        <v>0</v>
      </c>
      <c r="AC48" s="18"/>
    </row>
    <row r="49" spans="1:29" ht="43.2">
      <c r="A49" s="17" t="s">
        <v>314</v>
      </c>
      <c r="B49" s="17" t="s">
        <v>490</v>
      </c>
      <c r="C49" s="100" t="e">
        <f>IF(All[[#This Row],[Student]],
  IF(ISNA(INDEX(#REF!,MATCH(All[[#This Row],[Student No.]],#REF!,0))),
    "Cannot find student!",
    IF(INDEX(#REF!,MATCH(All[[#This Row],[Student No.]],#REF!,0))="",
      "",
      INDEX(#REF!,MATCH(All[[#This Row],[Student No.]],#REF!,0)))
    ),
  "No student!")</f>
        <v>#REF!</v>
      </c>
      <c r="D49"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49" s="18" t="str">
        <f>IF(All[[#This Row],[Student]],
  IF(ISNA(INDEX(Project[Total (%)],MATCH(All[[#This Row],[Student No.]],Project[Student No.],0))),
    "Cannot find student!",
    IF(INDEX(Project[Total (%)],MATCH(All[[#This Row],[Student No.]],Project[Student No.],0))="",
      "",
      INDEX(Project[Total (%)],MATCH(All[[#This Row],[Student No.]],Project[Student No.],0)))
    ),
  "No student!")</f>
        <v/>
      </c>
      <c r="F49" s="201">
        <f>IF(All[[#This Row],[Wrote Def]], INDEX(#REF!, MATCH(All[[#This Row],[Student No.]],#REF!,0)),
  IF(All[[#This Row],[Wrote Exam]], INDEX(Exam[Total (%)], MATCH(All[[#This Row],[Student No.]], Exam[Student No.],0)),
    ""))</f>
        <v>38</v>
      </c>
      <c r="G49" s="18" t="str">
        <f>IF(AND(All[[#This Row],[Student]], All[[#This Row],[All Components]]),
    IF(NOT(All[Has Test Mark]),ROUND((All[[#This Row],[Engagement]]*$C$5+All[[#This Row],[Project]]*$E$5+All[[#This Row],[Exam/Def]]*$F$5)/($C$5+$E$5+$F$5),0),
      ROUND((All[[#This Row],[Engagement]]*$C$5+All[[#This Row],[Test]]*$D$5+All[[#This Row],[Project]]*$E$5+All[[#This Row],[Exam/Def]]*$F$5)/($C$5+$D$5+$E$5+$F$5),0)
  ),
  "")</f>
        <v/>
      </c>
      <c r="H49" s="18" t="str">
        <f>All[[#This Row],[Course Mark]]</f>
        <v/>
      </c>
      <c r="I49" s="18" t="str">
        <f>IF(All[[#This Row],[Wrote Sup]], INDEX(#REF!,MATCH(All[[#This Row],[Student No.]],#REF!,0)), "")</f>
        <v/>
      </c>
      <c r="J49" s="18" t="str">
        <f>IF(AND(All[[#This Row],[Student]],ISNUMBER(All[[#This Row],[Final]])),_xlfn.RANK.EQ(All[[#This Row],[Final]],All[Final]),"")</f>
        <v/>
      </c>
      <c r="K49" s="31"/>
      <c r="L49" s="18" t="str">
        <f>IF(All[[#This Row],[Student]], IF(All[Wrote Sup],All[Sup],All[[#This Row],[Final]]),"No student")</f>
        <v/>
      </c>
      <c r="M49" s="18" t="str">
        <f>IF(All[[#This Row],[Final]]="","",
  IF(All[[#This Row],[Wrote Sup]],
    IF(All[[#This Row],[Sup]]&lt;50,"FAL","PAS"),
  IF(All[[#This Row],[Exam/Def]]&lt;35, "FSB",
    IF(All[[#This Row],[Final]]&lt;50,"FAL",
    IF(All[[#This Row],[Final]]&gt;=50,"PAS",
  "Error!")))))</f>
        <v/>
      </c>
      <c r="N49" s="18">
        <f>IF(All[[#This Row],[Student]], _xlfn.IFNA(INDEX(captured[Course Mark],MATCH(All[[#This Row],[Student No.]],captured[ID_TEXT],0) &amp; ""), "Cannot find student!"),"No student!")</f>
        <v>50</v>
      </c>
      <c r="O49" s="189" t="str">
        <f>IF(All[[#This Row],[Student]], _xlfn.IFNA(INDEX(captured[Grade],MATCH(All[[#This Row],[Student No.]],captured[ID_TEXT],0)), "Cannot find student!") &amp; "","No student!")</f>
        <v/>
      </c>
      <c r="P49"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49" s="18" t="str">
        <f>IF(All[[#This Row],[My Grade]]&lt;&gt;"",IF(All[[#This Row],[My Grade]]&lt;&gt;All[[#This Row],[Cap Grade]],TRUE,FALSE),"")</f>
        <v/>
      </c>
      <c r="R49" s="18" t="b">
        <f>IF(NOT(ISBLANK(All[[#This Row],[Student No.]])),OR(ISNUMBER(FIND("FSB",All[[#This Row],[My Grade]])),ISNUMBER(FIND("PAS", All[[#This Row],[My Grade]])),ISNUMBER(FIND("FAL",All[[#This Row],[My Grade]])),ISNUMBER(FIND("FAB", All[[#This Row],[My Grade]])),COUNTBLANK(All[[#This Row],[My Grade]])=1),FALSE)</f>
        <v>1</v>
      </c>
      <c r="S49" s="18" t="b">
        <f>IF(All[[#This Row],[Student No.]]&lt;&gt;"", TRUE, FALSE)</f>
        <v>1</v>
      </c>
      <c r="T49" s="18" t="b">
        <f>IF(COUNTBLANK(All[[#This Row],[Engagement]:[Exam/Def]])=0,TRUE, FALSE)</f>
        <v>0</v>
      </c>
      <c r="U49" s="18" t="b">
        <f>IF(ISNUMBER(All[[#This Row],[Test]]),TRUE,FALSE)</f>
        <v>0</v>
      </c>
      <c r="V49" s="18" t="e">
        <f>IF((INDEX(Test[Total (%)],MATCH(All[[#This Row],[Student No.]],Test[Student No.],0)))="ABS", TRUE, FALSE)</f>
        <v>#N/A</v>
      </c>
      <c r="W49" s="18" t="b">
        <f>IF(ISNUMBER(INDEX(Exam[Total (%)],MATCH(All[[#This Row],[Student No.]],Exam[Student No.],0))), TRUE, FALSE)</f>
        <v>1</v>
      </c>
      <c r="X49" s="18" t="b">
        <f>IF(ISNUMBER(INDEX(#REF!,MATCH(All[[#This Row],[Student No.]],#REF!,0))),TRUE,FALSE)</f>
        <v>0</v>
      </c>
      <c r="Y49" s="18" t="b">
        <f>IF(ISNUMBER(INDEX(#REF!,MATCH(All[[#This Row],[Student No.]],#REF!,0))),TRUE,FALSE)</f>
        <v>0</v>
      </c>
      <c r="Z49" s="18" t="b">
        <f>IF(All[[#This Row],[Wrote Def]],
IF(INDEX(#REF!, MATCH(All[[#This Row],[Student No.]],#REF!,0))&lt;&gt;All[[#This Row],[Exam/Def]], TRUE, FALSE),
  IF(All[[#This Row],[Wrote Exam]], IF(INDEX(Exam[Total (%)], MATCH(All[[#This Row],[Student No.]],Exam[Student No.],0))&lt;&gt;All[[#This Row],[Exam/Def]],TRUE,FALSE), FALSE))</f>
        <v>0</v>
      </c>
      <c r="AA49" s="18" t="b">
        <f xml:space="preserve">    IF(AND(All[[#This Row],[Exam/Def]]&lt;35,OR(All[[#This Row],[Wrote Exam]],All[[#This Row],[Wrote Def]])), TRUE,FALSE)</f>
        <v>0</v>
      </c>
      <c r="AB49" s="18" t="b">
        <f>IF(AND(All[[#This Row],[Exam &lt; 35%]],All[[#This Row],[Final]]&gt;=50),TRUE,FALSE)</f>
        <v>0</v>
      </c>
      <c r="AC49" s="18"/>
    </row>
    <row r="50" spans="1:29">
      <c r="A50" s="17" t="s">
        <v>315</v>
      </c>
      <c r="B50" s="17" t="s">
        <v>491</v>
      </c>
      <c r="C50" s="100" t="e">
        <f>IF(All[[#This Row],[Student]],
  IF(ISNA(INDEX(#REF!,MATCH(All[[#This Row],[Student No.]],#REF!,0))),
    "Cannot find student!",
    IF(INDEX(#REF!,MATCH(All[[#This Row],[Student No.]],#REF!,0))="",
      "",
      INDEX(#REF!,MATCH(All[[#This Row],[Student No.]],#REF!,0)))
    ),
  "No student!")</f>
        <v>#REF!</v>
      </c>
      <c r="D50"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50" s="18" t="str">
        <f>IF(All[[#This Row],[Student]],
  IF(ISNA(INDEX(Project[Total (%)],MATCH(All[[#This Row],[Student No.]],Project[Student No.],0))),
    "Cannot find student!",
    IF(INDEX(Project[Total (%)],MATCH(All[[#This Row],[Student No.]],Project[Student No.],0))="",
      "",
      INDEX(Project[Total (%)],MATCH(All[[#This Row],[Student No.]],Project[Student No.],0)))
    ),
  "No student!")</f>
        <v/>
      </c>
      <c r="F50" s="201">
        <f>IF(All[[#This Row],[Wrote Def]], INDEX(#REF!, MATCH(All[[#This Row],[Student No.]],#REF!,0)),
  IF(All[[#This Row],[Wrote Exam]], INDEX(Exam[Total (%)], MATCH(All[[#This Row],[Student No.]], Exam[Student No.],0)),
    ""))</f>
        <v>17</v>
      </c>
      <c r="G50" s="18" t="str">
        <f>IF(AND(All[[#This Row],[Student]], All[[#This Row],[All Components]]),
    IF(NOT(All[Has Test Mark]),ROUND((All[[#This Row],[Engagement]]*$C$5+All[[#This Row],[Project]]*$E$5+All[[#This Row],[Exam/Def]]*$F$5)/($C$5+$E$5+$F$5),0),
      ROUND((All[[#This Row],[Engagement]]*$C$5+All[[#This Row],[Test]]*$D$5+All[[#This Row],[Project]]*$E$5+All[[#This Row],[Exam/Def]]*$F$5)/($C$5+$D$5+$E$5+$F$5),0)
  ),
  "")</f>
        <v/>
      </c>
      <c r="H50" s="18" t="str">
        <f>All[[#This Row],[Course Mark]]</f>
        <v/>
      </c>
      <c r="I50" s="18" t="str">
        <f>IF(All[[#This Row],[Wrote Sup]], INDEX(#REF!,MATCH(All[[#This Row],[Student No.]],#REF!,0)), "")</f>
        <v/>
      </c>
      <c r="J50" s="18" t="str">
        <f>IF(AND(All[[#This Row],[Student]],ISNUMBER(All[[#This Row],[Final]])),_xlfn.RANK.EQ(All[[#This Row],[Final]],All[Final]),"")</f>
        <v/>
      </c>
      <c r="K50" s="31"/>
      <c r="L50" s="18" t="str">
        <f>IF(All[[#This Row],[Student]], IF(All[Wrote Sup],All[Sup],All[[#This Row],[Final]]),"No student")</f>
        <v/>
      </c>
      <c r="M50" s="18" t="str">
        <f>IF(All[[#This Row],[Final]]="","",
  IF(All[[#This Row],[Wrote Sup]],
    IF(All[[#This Row],[Sup]]&lt;50,"FAL","PAS"),
  IF(All[[#This Row],[Exam/Def]]&lt;35, "FSB",
    IF(All[[#This Row],[Final]]&lt;50,"FAL",
    IF(All[[#This Row],[Final]]&gt;=50,"PAS",
  "Error!")))))</f>
        <v/>
      </c>
      <c r="N50" s="18">
        <f>IF(All[[#This Row],[Student]], _xlfn.IFNA(INDEX(captured[Course Mark],MATCH(All[[#This Row],[Student No.]],captured[ID_TEXT],0) &amp; ""), "Cannot find student!"),"No student!")</f>
        <v>44</v>
      </c>
      <c r="O50" s="189" t="str">
        <f>IF(All[[#This Row],[Student]], _xlfn.IFNA(INDEX(captured[Grade],MATCH(All[[#This Row],[Student No.]],captured[ID_TEXT],0)), "Cannot find student!") &amp; "","No student!")</f>
        <v>FSB</v>
      </c>
      <c r="P50"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50" s="18" t="str">
        <f>IF(All[[#This Row],[My Grade]]&lt;&gt;"",IF(All[[#This Row],[My Grade]]&lt;&gt;All[[#This Row],[Cap Grade]],TRUE,FALSE),"")</f>
        <v/>
      </c>
      <c r="R50" s="18" t="b">
        <f>IF(NOT(ISBLANK(All[[#This Row],[Student No.]])),OR(ISNUMBER(FIND("FSB",All[[#This Row],[My Grade]])),ISNUMBER(FIND("PAS", All[[#This Row],[My Grade]])),ISNUMBER(FIND("FAL",All[[#This Row],[My Grade]])),ISNUMBER(FIND("FAB", All[[#This Row],[My Grade]])),COUNTBLANK(All[[#This Row],[My Grade]])=1),FALSE)</f>
        <v>1</v>
      </c>
      <c r="S50" s="18" t="b">
        <f>IF(All[[#This Row],[Student No.]]&lt;&gt;"", TRUE, FALSE)</f>
        <v>1</v>
      </c>
      <c r="T50" s="18" t="b">
        <f>IF(COUNTBLANK(All[[#This Row],[Engagement]:[Exam/Def]])=0,TRUE, FALSE)</f>
        <v>0</v>
      </c>
      <c r="U50" s="18" t="b">
        <f>IF(ISNUMBER(All[[#This Row],[Test]]),TRUE,FALSE)</f>
        <v>0</v>
      </c>
      <c r="V50" s="18" t="b">
        <f>IF((INDEX(Test[Total (%)],MATCH(All[[#This Row],[Student No.]],Test[Student No.],0)))="ABS", TRUE, FALSE)</f>
        <v>0</v>
      </c>
      <c r="W50" s="18" t="b">
        <f>IF(ISNUMBER(INDEX(Exam[Total (%)],MATCH(All[[#This Row],[Student No.]],Exam[Student No.],0))), TRUE, FALSE)</f>
        <v>1</v>
      </c>
      <c r="X50" s="18" t="b">
        <f>IF(ISNUMBER(INDEX(#REF!,MATCH(All[[#This Row],[Student No.]],#REF!,0))),TRUE,FALSE)</f>
        <v>0</v>
      </c>
      <c r="Y50" s="18" t="b">
        <f>IF(ISNUMBER(INDEX(#REF!,MATCH(All[[#This Row],[Student No.]],#REF!,0))),TRUE,FALSE)</f>
        <v>0</v>
      </c>
      <c r="Z50" s="18" t="b">
        <f>IF(All[[#This Row],[Wrote Def]],
IF(INDEX(#REF!, MATCH(All[[#This Row],[Student No.]],#REF!,0))&lt;&gt;All[[#This Row],[Exam/Def]], TRUE, FALSE),
  IF(All[[#This Row],[Wrote Exam]], IF(INDEX(Exam[Total (%)], MATCH(All[[#This Row],[Student No.]],Exam[Student No.],0))&lt;&gt;All[[#This Row],[Exam/Def]],TRUE,FALSE), FALSE))</f>
        <v>0</v>
      </c>
      <c r="AA50" s="18" t="b">
        <f xml:space="preserve">    IF(AND(All[[#This Row],[Exam/Def]]&lt;35,OR(All[[#This Row],[Wrote Exam]],All[[#This Row],[Wrote Def]])), TRUE,FALSE)</f>
        <v>1</v>
      </c>
      <c r="AB50" s="18" t="b">
        <f>IF(AND(All[[#This Row],[Exam &lt; 35%]],All[[#This Row],[Final]]&gt;=50),TRUE,FALSE)</f>
        <v>1</v>
      </c>
      <c r="AC50" s="18"/>
    </row>
    <row r="51" spans="1:29">
      <c r="A51" s="17" t="s">
        <v>316</v>
      </c>
      <c r="B51" s="17" t="s">
        <v>492</v>
      </c>
      <c r="C51" s="100" t="e">
        <f>IF(All[[#This Row],[Student]],
  IF(ISNA(INDEX(#REF!,MATCH(All[[#This Row],[Student No.]],#REF!,0))),
    "Cannot find student!",
    IF(INDEX(#REF!,MATCH(All[[#This Row],[Student No.]],#REF!,0))="",
      "",
      INDEX(#REF!,MATCH(All[[#This Row],[Student No.]],#REF!,0)))
    ),
  "No student!")</f>
        <v>#REF!</v>
      </c>
      <c r="D51"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51" s="18" t="str">
        <f>IF(All[[#This Row],[Student]],
  IF(ISNA(INDEX(Project[Total (%)],MATCH(All[[#This Row],[Student No.]],Project[Student No.],0))),
    "Cannot find student!",
    IF(INDEX(Project[Total (%)],MATCH(All[[#This Row],[Student No.]],Project[Student No.],0))="",
      "",
      INDEX(Project[Total (%)],MATCH(All[[#This Row],[Student No.]],Project[Student No.],0)))
    ),
  "No student!")</f>
        <v/>
      </c>
      <c r="F51" s="201">
        <f>IF(All[[#This Row],[Wrote Def]], INDEX(#REF!, MATCH(All[[#This Row],[Student No.]],#REF!,0)),
  IF(All[[#This Row],[Wrote Exam]], INDEX(Exam[Total (%)], MATCH(All[[#This Row],[Student No.]], Exam[Student No.],0)),
    ""))</f>
        <v>7</v>
      </c>
      <c r="G51" s="18" t="str">
        <f>IF(AND(All[[#This Row],[Student]], All[[#This Row],[All Components]]),
    IF(NOT(All[Has Test Mark]),ROUND((All[[#This Row],[Engagement]]*$C$5+All[[#This Row],[Project]]*$E$5+All[[#This Row],[Exam/Def]]*$F$5)/($C$5+$E$5+$F$5),0),
      ROUND((All[[#This Row],[Engagement]]*$C$5+All[[#This Row],[Test]]*$D$5+All[[#This Row],[Project]]*$E$5+All[[#This Row],[Exam/Def]]*$F$5)/($C$5+$D$5+$E$5+$F$5),0)
  ),
  "")</f>
        <v/>
      </c>
      <c r="H51" s="18" t="str">
        <f>All[[#This Row],[Course Mark]]</f>
        <v/>
      </c>
      <c r="I51" s="18" t="str">
        <f>IF(All[[#This Row],[Wrote Sup]], INDEX(#REF!,MATCH(All[[#This Row],[Student No.]],#REF!,0)), "")</f>
        <v/>
      </c>
      <c r="J51" s="18" t="str">
        <f>IF(AND(All[[#This Row],[Student]],ISNUMBER(All[[#This Row],[Final]])),_xlfn.RANK.EQ(All[[#This Row],[Final]],All[Final]),"")</f>
        <v/>
      </c>
      <c r="K51" s="31"/>
      <c r="L51" s="18" t="str">
        <f>IF(All[[#This Row],[Student]], IF(All[Wrote Sup],All[Sup],All[[#This Row],[Final]]),"No student")</f>
        <v/>
      </c>
      <c r="M51" s="18" t="str">
        <f>IF(All[[#This Row],[Final]]="","",
  IF(All[[#This Row],[Wrote Sup]],
    IF(All[[#This Row],[Sup]]&lt;50,"FAL","PAS"),
  IF(All[[#This Row],[Exam/Def]]&lt;35, "FSB",
    IF(All[[#This Row],[Final]]&lt;50,"FAL",
    IF(All[[#This Row],[Final]]&gt;=50,"PAS",
  "Error!")))))</f>
        <v/>
      </c>
      <c r="N51" s="18">
        <f>IF(All[[#This Row],[Student]], _xlfn.IFNA(INDEX(captured[Course Mark],MATCH(All[[#This Row],[Student No.]],captured[ID_TEXT],0) &amp; ""), "Cannot find student!"),"No student!")</f>
        <v>21</v>
      </c>
      <c r="O51" s="189" t="str">
        <f>IF(All[[#This Row],[Student]], _xlfn.IFNA(INDEX(captured[Grade],MATCH(All[[#This Row],[Student No.]],captured[ID_TEXT],0)), "Cannot find student!") &amp; "","No student!")</f>
        <v>FSB</v>
      </c>
      <c r="P51"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51" s="18" t="str">
        <f>IF(All[[#This Row],[My Grade]]&lt;&gt;"",IF(All[[#This Row],[My Grade]]&lt;&gt;All[[#This Row],[Cap Grade]],TRUE,FALSE),"")</f>
        <v/>
      </c>
      <c r="R51" s="18" t="b">
        <f>IF(NOT(ISBLANK(All[[#This Row],[Student No.]])),OR(ISNUMBER(FIND("FSB",All[[#This Row],[My Grade]])),ISNUMBER(FIND("PAS", All[[#This Row],[My Grade]])),ISNUMBER(FIND("FAL",All[[#This Row],[My Grade]])),ISNUMBER(FIND("FAB", All[[#This Row],[My Grade]])),COUNTBLANK(All[[#This Row],[My Grade]])=1),FALSE)</f>
        <v>1</v>
      </c>
      <c r="S51" s="18" t="b">
        <f>IF(All[[#This Row],[Student No.]]&lt;&gt;"", TRUE, FALSE)</f>
        <v>1</v>
      </c>
      <c r="T51" s="18" t="b">
        <f>IF(COUNTBLANK(All[[#This Row],[Engagement]:[Exam/Def]])=0,TRUE, FALSE)</f>
        <v>0</v>
      </c>
      <c r="U51" s="18" t="b">
        <f>IF(ISNUMBER(All[[#This Row],[Test]]),TRUE,FALSE)</f>
        <v>0</v>
      </c>
      <c r="V51" s="18" t="b">
        <f>IF((INDEX(Test[Total (%)],MATCH(All[[#This Row],[Student No.]],Test[Student No.],0)))="ABS", TRUE, FALSE)</f>
        <v>0</v>
      </c>
      <c r="W51" s="18" t="b">
        <f>IF(ISNUMBER(INDEX(Exam[Total (%)],MATCH(All[[#This Row],[Student No.]],Exam[Student No.],0))), TRUE, FALSE)</f>
        <v>1</v>
      </c>
      <c r="X51" s="18" t="b">
        <f>IF(ISNUMBER(INDEX(#REF!,MATCH(All[[#This Row],[Student No.]],#REF!,0))),TRUE,FALSE)</f>
        <v>0</v>
      </c>
      <c r="Y51" s="18" t="b">
        <f>IF(ISNUMBER(INDEX(#REF!,MATCH(All[[#This Row],[Student No.]],#REF!,0))),TRUE,FALSE)</f>
        <v>0</v>
      </c>
      <c r="Z51" s="18" t="b">
        <f>IF(All[[#This Row],[Wrote Def]],
IF(INDEX(#REF!, MATCH(All[[#This Row],[Student No.]],#REF!,0))&lt;&gt;All[[#This Row],[Exam/Def]], TRUE, FALSE),
  IF(All[[#This Row],[Wrote Exam]], IF(INDEX(Exam[Total (%)], MATCH(All[[#This Row],[Student No.]],Exam[Student No.],0))&lt;&gt;All[[#This Row],[Exam/Def]],TRUE,FALSE), FALSE))</f>
        <v>0</v>
      </c>
      <c r="AA51" s="18" t="b">
        <f xml:space="preserve">    IF(AND(All[[#This Row],[Exam/Def]]&lt;35,OR(All[[#This Row],[Wrote Exam]],All[[#This Row],[Wrote Def]])), TRUE,FALSE)</f>
        <v>1</v>
      </c>
      <c r="AB51" s="18" t="b">
        <f>IF(AND(All[[#This Row],[Exam &lt; 35%]],All[[#This Row],[Final]]&gt;=50),TRUE,FALSE)</f>
        <v>1</v>
      </c>
      <c r="AC51" s="18"/>
    </row>
    <row r="52" spans="1:29" ht="43.2">
      <c r="A52" s="17" t="s">
        <v>317</v>
      </c>
      <c r="B52" s="17" t="s">
        <v>493</v>
      </c>
      <c r="C52" s="100" t="e">
        <f>IF(All[[#This Row],[Student]],
  IF(ISNA(INDEX(#REF!,MATCH(All[[#This Row],[Student No.]],#REF!,0))),
    "Cannot find student!",
    IF(INDEX(#REF!,MATCH(All[[#This Row],[Student No.]],#REF!,0))="",
      "",
      INDEX(#REF!,MATCH(All[[#This Row],[Student No.]],#REF!,0)))
    ),
  "No student!")</f>
        <v>#REF!</v>
      </c>
      <c r="D52"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52" s="18" t="str">
        <f>IF(All[[#This Row],[Student]],
  IF(ISNA(INDEX(Project[Total (%)],MATCH(All[[#This Row],[Student No.]],Project[Student No.],0))),
    "Cannot find student!",
    IF(INDEX(Project[Total (%)],MATCH(All[[#This Row],[Student No.]],Project[Student No.],0))="",
      "",
      INDEX(Project[Total (%)],MATCH(All[[#This Row],[Student No.]],Project[Student No.],0)))
    ),
  "No student!")</f>
        <v/>
      </c>
      <c r="F52" s="201">
        <f>IF(All[[#This Row],[Wrote Def]], INDEX(#REF!, MATCH(All[[#This Row],[Student No.]],#REF!,0)),
  IF(All[[#This Row],[Wrote Exam]], INDEX(Exam[Total (%)], MATCH(All[[#This Row],[Student No.]], Exam[Student No.],0)),
    ""))</f>
        <v>46</v>
      </c>
      <c r="G52" s="18" t="str">
        <f>IF(AND(All[[#This Row],[Student]], All[[#This Row],[All Components]]),
    IF(NOT(All[Has Test Mark]),ROUND((All[[#This Row],[Engagement]]*$C$5+All[[#This Row],[Project]]*$E$5+All[[#This Row],[Exam/Def]]*$F$5)/($C$5+$E$5+$F$5),0),
      ROUND((All[[#This Row],[Engagement]]*$C$5+All[[#This Row],[Test]]*$D$5+All[[#This Row],[Project]]*$E$5+All[[#This Row],[Exam/Def]]*$F$5)/($C$5+$D$5+$E$5+$F$5),0)
  ),
  "")</f>
        <v/>
      </c>
      <c r="H52" s="18" t="str">
        <f>All[[#This Row],[Course Mark]]</f>
        <v/>
      </c>
      <c r="I52" s="18" t="str">
        <f>IF(All[[#This Row],[Wrote Sup]], INDEX(#REF!,MATCH(All[[#This Row],[Student No.]],#REF!,0)), "")</f>
        <v/>
      </c>
      <c r="J52" s="18" t="str">
        <f>IF(AND(All[[#This Row],[Student]],ISNUMBER(All[[#This Row],[Final]])),_xlfn.RANK.EQ(All[[#This Row],[Final]],All[Final]),"")</f>
        <v/>
      </c>
      <c r="K52" s="31"/>
      <c r="L52" s="18" t="str">
        <f>IF(All[[#This Row],[Student]], IF(All[Wrote Sup],All[Sup],All[[#This Row],[Final]]),"No student")</f>
        <v/>
      </c>
      <c r="M52" s="18" t="str">
        <f>IF(All[[#This Row],[Final]]="","",
  IF(All[[#This Row],[Wrote Sup]],
    IF(All[[#This Row],[Sup]]&lt;50,"FAL","PAS"),
  IF(All[[#This Row],[Exam/Def]]&lt;35, "FSB",
    IF(All[[#This Row],[Final]]&lt;50,"FAL",
    IF(All[[#This Row],[Final]]&gt;=50,"PAS",
  "Error!")))))</f>
        <v/>
      </c>
      <c r="N52" s="18">
        <f>IF(All[[#This Row],[Student]], _xlfn.IFNA(INDEX(captured[Course Mark],MATCH(All[[#This Row],[Student No.]],captured[ID_TEXT],0) &amp; ""), "Cannot find student!"),"No student!")</f>
        <v>64</v>
      </c>
      <c r="O52" s="189" t="str">
        <f>IF(All[[#This Row],[Student]], _xlfn.IFNA(INDEX(captured[Grade],MATCH(All[[#This Row],[Student No.]],captured[ID_TEXT],0)), "Cannot find student!") &amp; "","No student!")</f>
        <v>PAS</v>
      </c>
      <c r="P52"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52" s="18" t="str">
        <f>IF(All[[#This Row],[My Grade]]&lt;&gt;"",IF(All[[#This Row],[My Grade]]&lt;&gt;All[[#This Row],[Cap Grade]],TRUE,FALSE),"")</f>
        <v/>
      </c>
      <c r="R52" s="18" t="b">
        <f>IF(NOT(ISBLANK(All[[#This Row],[Student No.]])),OR(ISNUMBER(FIND("FSB",All[[#This Row],[My Grade]])),ISNUMBER(FIND("PAS", All[[#This Row],[My Grade]])),ISNUMBER(FIND("FAL",All[[#This Row],[My Grade]])),ISNUMBER(FIND("FAB", All[[#This Row],[My Grade]])),COUNTBLANK(All[[#This Row],[My Grade]])=1),FALSE)</f>
        <v>1</v>
      </c>
      <c r="S52" s="18" t="b">
        <f>IF(All[[#This Row],[Student No.]]&lt;&gt;"", TRUE, FALSE)</f>
        <v>1</v>
      </c>
      <c r="T52" s="18" t="b">
        <f>IF(COUNTBLANK(All[[#This Row],[Engagement]:[Exam/Def]])=0,TRUE, FALSE)</f>
        <v>0</v>
      </c>
      <c r="U52" s="18" t="b">
        <f>IF(ISNUMBER(All[[#This Row],[Test]]),TRUE,FALSE)</f>
        <v>0</v>
      </c>
      <c r="V52" s="18" t="e">
        <f>IF((INDEX(Test[Total (%)],MATCH(All[[#This Row],[Student No.]],Test[Student No.],0)))="ABS", TRUE, FALSE)</f>
        <v>#N/A</v>
      </c>
      <c r="W52" s="18" t="b">
        <f>IF(ISNUMBER(INDEX(Exam[Total (%)],MATCH(All[[#This Row],[Student No.]],Exam[Student No.],0))), TRUE, FALSE)</f>
        <v>1</v>
      </c>
      <c r="X52" s="18" t="b">
        <f>IF(ISNUMBER(INDEX(#REF!,MATCH(All[[#This Row],[Student No.]],#REF!,0))),TRUE,FALSE)</f>
        <v>0</v>
      </c>
      <c r="Y52" s="18" t="b">
        <f>IF(ISNUMBER(INDEX(#REF!,MATCH(All[[#This Row],[Student No.]],#REF!,0))),TRUE,FALSE)</f>
        <v>0</v>
      </c>
      <c r="Z52" s="18" t="b">
        <f>IF(All[[#This Row],[Wrote Def]],
IF(INDEX(#REF!, MATCH(All[[#This Row],[Student No.]],#REF!,0))&lt;&gt;All[[#This Row],[Exam/Def]], TRUE, FALSE),
  IF(All[[#This Row],[Wrote Exam]], IF(INDEX(Exam[Total (%)], MATCH(All[[#This Row],[Student No.]],Exam[Student No.],0))&lt;&gt;All[[#This Row],[Exam/Def]],TRUE,FALSE), FALSE))</f>
        <v>0</v>
      </c>
      <c r="AA52" s="18" t="b">
        <f xml:space="preserve">    IF(AND(All[[#This Row],[Exam/Def]]&lt;35,OR(All[[#This Row],[Wrote Exam]],All[[#This Row],[Wrote Def]])), TRUE,FALSE)</f>
        <v>0</v>
      </c>
      <c r="AB52" s="18" t="b">
        <f>IF(AND(All[[#This Row],[Exam &lt; 35%]],All[[#This Row],[Final]]&gt;=50),TRUE,FALSE)</f>
        <v>0</v>
      </c>
      <c r="AC52" s="18"/>
    </row>
    <row r="53" spans="1:29" ht="43.2">
      <c r="A53" s="17" t="s">
        <v>318</v>
      </c>
      <c r="B53" s="17" t="s">
        <v>494</v>
      </c>
      <c r="C53" s="100" t="e">
        <f>IF(All[[#This Row],[Student]],
  IF(ISNA(INDEX(#REF!,MATCH(All[[#This Row],[Student No.]],#REF!,0))),
    "Cannot find student!",
    IF(INDEX(#REF!,MATCH(All[[#This Row],[Student No.]],#REF!,0))="",
      "",
      INDEX(#REF!,MATCH(All[[#This Row],[Student No.]],#REF!,0)))
    ),
  "No student!")</f>
        <v>#REF!</v>
      </c>
      <c r="D53"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53" s="18" t="str">
        <f>IF(All[[#This Row],[Student]],
  IF(ISNA(INDEX(Project[Total (%)],MATCH(All[[#This Row],[Student No.]],Project[Student No.],0))),
    "Cannot find student!",
    IF(INDEX(Project[Total (%)],MATCH(All[[#This Row],[Student No.]],Project[Student No.],0))="",
      "",
      INDEX(Project[Total (%)],MATCH(All[[#This Row],[Student No.]],Project[Student No.],0)))
    ),
  "No student!")</f>
        <v/>
      </c>
      <c r="F53" s="201">
        <f>IF(All[[#This Row],[Wrote Def]], INDEX(#REF!, MATCH(All[[#This Row],[Student No.]],#REF!,0)),
  IF(All[[#This Row],[Wrote Exam]], INDEX(Exam[Total (%)], MATCH(All[[#This Row],[Student No.]], Exam[Student No.],0)),
    ""))</f>
        <v>48</v>
      </c>
      <c r="G53" s="18" t="str">
        <f>IF(AND(All[[#This Row],[Student]], All[[#This Row],[All Components]]),
    IF(NOT(All[Has Test Mark]),ROUND((All[[#This Row],[Engagement]]*$C$5+All[[#This Row],[Project]]*$E$5+All[[#This Row],[Exam/Def]]*$F$5)/($C$5+$E$5+$F$5),0),
      ROUND((All[[#This Row],[Engagement]]*$C$5+All[[#This Row],[Test]]*$D$5+All[[#This Row],[Project]]*$E$5+All[[#This Row],[Exam/Def]]*$F$5)/($C$5+$D$5+$E$5+$F$5),0)
  ),
  "")</f>
        <v/>
      </c>
      <c r="H53" s="18" t="str">
        <f>All[[#This Row],[Course Mark]]</f>
        <v/>
      </c>
      <c r="I53" s="18" t="str">
        <f>IF(All[[#This Row],[Wrote Sup]], INDEX(#REF!,MATCH(All[[#This Row],[Student No.]],#REF!,0)), "")</f>
        <v/>
      </c>
      <c r="J53" s="18" t="str">
        <f>IF(AND(All[[#This Row],[Student]],ISNUMBER(All[[#This Row],[Final]])),_xlfn.RANK.EQ(All[[#This Row],[Final]],All[Final]),"")</f>
        <v/>
      </c>
      <c r="K53" s="31"/>
      <c r="L53" s="18" t="str">
        <f>IF(All[[#This Row],[Student]], IF(All[Wrote Sup],All[Sup],All[[#This Row],[Final]]),"No student")</f>
        <v/>
      </c>
      <c r="M53" s="18" t="str">
        <f>IF(All[[#This Row],[Final]]="","",
  IF(All[[#This Row],[Wrote Sup]],
    IF(All[[#This Row],[Sup]]&lt;50,"FAL","PAS"),
  IF(All[[#This Row],[Exam/Def]]&lt;35, "FSB",
    IF(All[[#This Row],[Final]]&lt;50,"FAL",
    IF(All[[#This Row],[Final]]&gt;=50,"PAS",
  "Error!")))))</f>
        <v/>
      </c>
      <c r="N53" s="18">
        <f>IF(All[[#This Row],[Student]], _xlfn.IFNA(INDEX(captured[Course Mark],MATCH(All[[#This Row],[Student No.]],captured[ID_TEXT],0) &amp; ""), "Cannot find student!"),"No student!")</f>
        <v>56</v>
      </c>
      <c r="O53" s="189" t="str">
        <f>IF(All[[#This Row],[Student]], _xlfn.IFNA(INDEX(captured[Grade],MATCH(All[[#This Row],[Student No.]],captured[ID_TEXT],0)), "Cannot find student!") &amp; "","No student!")</f>
        <v>PAS</v>
      </c>
      <c r="P53"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53" s="18" t="str">
        <f>IF(All[[#This Row],[My Grade]]&lt;&gt;"",IF(All[[#This Row],[My Grade]]&lt;&gt;All[[#This Row],[Cap Grade]],TRUE,FALSE),"")</f>
        <v/>
      </c>
      <c r="R53" s="18" t="b">
        <f>IF(NOT(ISBLANK(All[[#This Row],[Student No.]])),OR(ISNUMBER(FIND("FSB",All[[#This Row],[My Grade]])),ISNUMBER(FIND("PAS", All[[#This Row],[My Grade]])),ISNUMBER(FIND("FAL",All[[#This Row],[My Grade]])),ISNUMBER(FIND("FAB", All[[#This Row],[My Grade]])),COUNTBLANK(All[[#This Row],[My Grade]])=1),FALSE)</f>
        <v>1</v>
      </c>
      <c r="S53" s="18" t="b">
        <f>IF(All[[#This Row],[Student No.]]&lt;&gt;"", TRUE, FALSE)</f>
        <v>1</v>
      </c>
      <c r="T53" s="18" t="b">
        <f>IF(COUNTBLANK(All[[#This Row],[Engagement]:[Exam/Def]])=0,TRUE, FALSE)</f>
        <v>0</v>
      </c>
      <c r="U53" s="18" t="b">
        <f>IF(ISNUMBER(All[[#This Row],[Test]]),TRUE,FALSE)</f>
        <v>0</v>
      </c>
      <c r="V53" s="18" t="e">
        <f>IF((INDEX(Test[Total (%)],MATCH(All[[#This Row],[Student No.]],Test[Student No.],0)))="ABS", TRUE, FALSE)</f>
        <v>#N/A</v>
      </c>
      <c r="W53" s="18" t="b">
        <f>IF(ISNUMBER(INDEX(Exam[Total (%)],MATCH(All[[#This Row],[Student No.]],Exam[Student No.],0))), TRUE, FALSE)</f>
        <v>1</v>
      </c>
      <c r="X53" s="18" t="b">
        <f>IF(ISNUMBER(INDEX(#REF!,MATCH(All[[#This Row],[Student No.]],#REF!,0))),TRUE,FALSE)</f>
        <v>0</v>
      </c>
      <c r="Y53" s="18" t="b">
        <f>IF(ISNUMBER(INDEX(#REF!,MATCH(All[[#This Row],[Student No.]],#REF!,0))),TRUE,FALSE)</f>
        <v>0</v>
      </c>
      <c r="Z53" s="18" t="b">
        <f>IF(All[[#This Row],[Wrote Def]],
IF(INDEX(#REF!, MATCH(All[[#This Row],[Student No.]],#REF!,0))&lt;&gt;All[[#This Row],[Exam/Def]], TRUE, FALSE),
  IF(All[[#This Row],[Wrote Exam]], IF(INDEX(Exam[Total (%)], MATCH(All[[#This Row],[Student No.]],Exam[Student No.],0))&lt;&gt;All[[#This Row],[Exam/Def]],TRUE,FALSE), FALSE))</f>
        <v>0</v>
      </c>
      <c r="AA53" s="18" t="b">
        <f xml:space="preserve">    IF(AND(All[[#This Row],[Exam/Def]]&lt;35,OR(All[[#This Row],[Wrote Exam]],All[[#This Row],[Wrote Def]])), TRUE,FALSE)</f>
        <v>0</v>
      </c>
      <c r="AB53" s="18" t="b">
        <f>IF(AND(All[[#This Row],[Exam &lt; 35%]],All[[#This Row],[Final]]&gt;=50),TRUE,FALSE)</f>
        <v>0</v>
      </c>
      <c r="AC53" s="18"/>
    </row>
    <row r="54" spans="1:29" ht="43.2">
      <c r="A54" s="17" t="s">
        <v>319</v>
      </c>
      <c r="B54" s="17" t="s">
        <v>495</v>
      </c>
      <c r="C54" s="100" t="e">
        <f>IF(All[[#This Row],[Student]],
  IF(ISNA(INDEX(#REF!,MATCH(All[[#This Row],[Student No.]],#REF!,0))),
    "Cannot find student!",
    IF(INDEX(#REF!,MATCH(All[[#This Row],[Student No.]],#REF!,0))="",
      "",
      INDEX(#REF!,MATCH(All[[#This Row],[Student No.]],#REF!,0)))
    ),
  "No student!")</f>
        <v>#REF!</v>
      </c>
      <c r="D54"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54" s="18" t="str">
        <f>IF(All[[#This Row],[Student]],
  IF(ISNA(INDEX(Project[Total (%)],MATCH(All[[#This Row],[Student No.]],Project[Student No.],0))),
    "Cannot find student!",
    IF(INDEX(Project[Total (%)],MATCH(All[[#This Row],[Student No.]],Project[Student No.],0))="",
      "",
      INDEX(Project[Total (%)],MATCH(All[[#This Row],[Student No.]],Project[Student No.],0)))
    ),
  "No student!")</f>
        <v/>
      </c>
      <c r="F54" s="201">
        <f>IF(All[[#This Row],[Wrote Def]], INDEX(#REF!, MATCH(All[[#This Row],[Student No.]],#REF!,0)),
  IF(All[[#This Row],[Wrote Exam]], INDEX(Exam[Total (%)], MATCH(All[[#This Row],[Student No.]], Exam[Student No.],0)),
    ""))</f>
        <v>27</v>
      </c>
      <c r="G54" s="18" t="str">
        <f>IF(AND(All[[#This Row],[Student]], All[[#This Row],[All Components]]),
    IF(NOT(All[Has Test Mark]),ROUND((All[[#This Row],[Engagement]]*$C$5+All[[#This Row],[Project]]*$E$5+All[[#This Row],[Exam/Def]]*$F$5)/($C$5+$E$5+$F$5),0),
      ROUND((All[[#This Row],[Engagement]]*$C$5+All[[#This Row],[Test]]*$D$5+All[[#This Row],[Project]]*$E$5+All[[#This Row],[Exam/Def]]*$F$5)/($C$5+$D$5+$E$5+$F$5),0)
  ),
  "")</f>
        <v/>
      </c>
      <c r="H54" s="18" t="str">
        <f>All[[#This Row],[Course Mark]]</f>
        <v/>
      </c>
      <c r="I54" s="18" t="str">
        <f>IF(All[[#This Row],[Wrote Sup]], INDEX(#REF!,MATCH(All[[#This Row],[Student No.]],#REF!,0)), "")</f>
        <v/>
      </c>
      <c r="J54" s="18" t="str">
        <f>IF(AND(All[[#This Row],[Student]],ISNUMBER(All[[#This Row],[Final]])),_xlfn.RANK.EQ(All[[#This Row],[Final]],All[Final]),"")</f>
        <v/>
      </c>
      <c r="K54" s="31"/>
      <c r="L54" s="18" t="str">
        <f>IF(All[[#This Row],[Student]], IF(All[Wrote Sup],All[Sup],All[[#This Row],[Final]]),"No student")</f>
        <v/>
      </c>
      <c r="M54" s="18" t="str">
        <f>IF(All[[#This Row],[Final]]="","",
  IF(All[[#This Row],[Wrote Sup]],
    IF(All[[#This Row],[Sup]]&lt;50,"FAL","PAS"),
  IF(All[[#This Row],[Exam/Def]]&lt;35, "FSB",
    IF(All[[#This Row],[Final]]&lt;50,"FAL",
    IF(All[[#This Row],[Final]]&gt;=50,"PAS",
  "Error!")))))</f>
        <v/>
      </c>
      <c r="N54" s="18">
        <f>IF(All[[#This Row],[Student]], _xlfn.IFNA(INDEX(captured[Course Mark],MATCH(All[[#This Row],[Student No.]],captured[ID_TEXT],0) &amp; ""), "Cannot find student!"),"No student!")</f>
        <v>50</v>
      </c>
      <c r="O54" s="189" t="str">
        <f>IF(All[[#This Row],[Student]], _xlfn.IFNA(INDEX(captured[Grade],MATCH(All[[#This Row],[Student No.]],captured[ID_TEXT],0)), "Cannot find student!") &amp; "","No student!")</f>
        <v/>
      </c>
      <c r="P54"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54" s="18" t="str">
        <f>IF(All[[#This Row],[My Grade]]&lt;&gt;"",IF(All[[#This Row],[My Grade]]&lt;&gt;All[[#This Row],[Cap Grade]],TRUE,FALSE),"")</f>
        <v/>
      </c>
      <c r="R54" s="18" t="b">
        <f>IF(NOT(ISBLANK(All[[#This Row],[Student No.]])),OR(ISNUMBER(FIND("FSB",All[[#This Row],[My Grade]])),ISNUMBER(FIND("PAS", All[[#This Row],[My Grade]])),ISNUMBER(FIND("FAL",All[[#This Row],[My Grade]])),ISNUMBER(FIND("FAB", All[[#This Row],[My Grade]])),COUNTBLANK(All[[#This Row],[My Grade]])=1),FALSE)</f>
        <v>1</v>
      </c>
      <c r="S54" s="18" t="b">
        <f>IF(All[[#This Row],[Student No.]]&lt;&gt;"", TRUE, FALSE)</f>
        <v>1</v>
      </c>
      <c r="T54" s="18" t="b">
        <f>IF(COUNTBLANK(All[[#This Row],[Engagement]:[Exam/Def]])=0,TRUE, FALSE)</f>
        <v>0</v>
      </c>
      <c r="U54" s="18" t="b">
        <f>IF(ISNUMBER(All[[#This Row],[Test]]),TRUE,FALSE)</f>
        <v>0</v>
      </c>
      <c r="V54" s="18" t="e">
        <f>IF((INDEX(Test[Total (%)],MATCH(All[[#This Row],[Student No.]],Test[Student No.],0)))="ABS", TRUE, FALSE)</f>
        <v>#N/A</v>
      </c>
      <c r="W54" s="18" t="b">
        <f>IF(ISNUMBER(INDEX(Exam[Total (%)],MATCH(All[[#This Row],[Student No.]],Exam[Student No.],0))), TRUE, FALSE)</f>
        <v>1</v>
      </c>
      <c r="X54" s="18" t="b">
        <f>IF(ISNUMBER(INDEX(#REF!,MATCH(All[[#This Row],[Student No.]],#REF!,0))),TRUE,FALSE)</f>
        <v>0</v>
      </c>
      <c r="Y54" s="18" t="b">
        <f>IF(ISNUMBER(INDEX(#REF!,MATCH(All[[#This Row],[Student No.]],#REF!,0))),TRUE,FALSE)</f>
        <v>0</v>
      </c>
      <c r="Z54" s="18" t="b">
        <f>IF(All[[#This Row],[Wrote Def]],
IF(INDEX(#REF!, MATCH(All[[#This Row],[Student No.]],#REF!,0))&lt;&gt;All[[#This Row],[Exam/Def]], TRUE, FALSE),
  IF(All[[#This Row],[Wrote Exam]], IF(INDEX(Exam[Total (%)], MATCH(All[[#This Row],[Student No.]],Exam[Student No.],0))&lt;&gt;All[[#This Row],[Exam/Def]],TRUE,FALSE), FALSE))</f>
        <v>0</v>
      </c>
      <c r="AA54" s="18" t="b">
        <f xml:space="preserve">    IF(AND(All[[#This Row],[Exam/Def]]&lt;35,OR(All[[#This Row],[Wrote Exam]],All[[#This Row],[Wrote Def]])), TRUE,FALSE)</f>
        <v>1</v>
      </c>
      <c r="AB54" s="18" t="b">
        <f>IF(AND(All[[#This Row],[Exam &lt; 35%]],All[[#This Row],[Final]]&gt;=50),TRUE,FALSE)</f>
        <v>1</v>
      </c>
      <c r="AC54" s="18"/>
    </row>
    <row r="55" spans="1:29" ht="43.2">
      <c r="A55" s="17" t="s">
        <v>320</v>
      </c>
      <c r="B55" s="17" t="s">
        <v>496</v>
      </c>
      <c r="C55" s="100" t="e">
        <f>IF(All[[#This Row],[Student]],
  IF(ISNA(INDEX(#REF!,MATCH(All[[#This Row],[Student No.]],#REF!,0))),
    "Cannot find student!",
    IF(INDEX(#REF!,MATCH(All[[#This Row],[Student No.]],#REF!,0))="",
      "",
      INDEX(#REF!,MATCH(All[[#This Row],[Student No.]],#REF!,0)))
    ),
  "No student!")</f>
        <v>#REF!</v>
      </c>
      <c r="D55"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55" s="18" t="str">
        <f>IF(All[[#This Row],[Student]],
  IF(ISNA(INDEX(Project[Total (%)],MATCH(All[[#This Row],[Student No.]],Project[Student No.],0))),
    "Cannot find student!",
    IF(INDEX(Project[Total (%)],MATCH(All[[#This Row],[Student No.]],Project[Student No.],0))="",
      "",
      INDEX(Project[Total (%)],MATCH(All[[#This Row],[Student No.]],Project[Student No.],0)))
    ),
  "No student!")</f>
        <v/>
      </c>
      <c r="F55" s="201">
        <f>IF(All[[#This Row],[Wrote Def]], INDEX(#REF!, MATCH(All[[#This Row],[Student No.]],#REF!,0)),
  IF(All[[#This Row],[Wrote Exam]], INDEX(Exam[Total (%)], MATCH(All[[#This Row],[Student No.]], Exam[Student No.],0)),
    ""))</f>
        <v>60</v>
      </c>
      <c r="G55" s="18" t="str">
        <f>IF(AND(All[[#This Row],[Student]], All[[#This Row],[All Components]]),
    IF(NOT(All[Has Test Mark]),ROUND((All[[#This Row],[Engagement]]*$C$5+All[[#This Row],[Project]]*$E$5+All[[#This Row],[Exam/Def]]*$F$5)/($C$5+$E$5+$F$5),0),
      ROUND((All[[#This Row],[Engagement]]*$C$5+All[[#This Row],[Test]]*$D$5+All[[#This Row],[Project]]*$E$5+All[[#This Row],[Exam/Def]]*$F$5)/($C$5+$D$5+$E$5+$F$5),0)
  ),
  "")</f>
        <v/>
      </c>
      <c r="H55" s="18" t="str">
        <f>All[[#This Row],[Course Mark]]</f>
        <v/>
      </c>
      <c r="I55" s="18" t="str">
        <f>IF(All[[#This Row],[Wrote Sup]], INDEX(#REF!,MATCH(All[[#This Row],[Student No.]],#REF!,0)), "")</f>
        <v/>
      </c>
      <c r="J55" s="18" t="str">
        <f>IF(AND(All[[#This Row],[Student]],ISNUMBER(All[[#This Row],[Final]])),_xlfn.RANK.EQ(All[[#This Row],[Final]],All[Final]),"")</f>
        <v/>
      </c>
      <c r="K55" s="31"/>
      <c r="L55" s="18" t="str">
        <f>IF(All[[#This Row],[Student]], IF(All[Wrote Sup],All[Sup],All[[#This Row],[Final]]),"No student")</f>
        <v/>
      </c>
      <c r="M55" s="18" t="str">
        <f>IF(All[[#This Row],[Final]]="","",
  IF(All[[#This Row],[Wrote Sup]],
    IF(All[[#This Row],[Sup]]&lt;50,"FAL","PAS"),
  IF(All[[#This Row],[Exam/Def]]&lt;35, "FSB",
    IF(All[[#This Row],[Final]]&lt;50,"FAL",
    IF(All[[#This Row],[Final]]&gt;=50,"PAS",
  "Error!")))))</f>
        <v/>
      </c>
      <c r="N55" s="18">
        <f>IF(All[[#This Row],[Student]], _xlfn.IFNA(INDEX(captured[Course Mark],MATCH(All[[#This Row],[Student No.]],captured[ID_TEXT],0) &amp; ""), "Cannot find student!"),"No student!")</f>
        <v>63</v>
      </c>
      <c r="O55" s="189" t="str">
        <f>IF(All[[#This Row],[Student]], _xlfn.IFNA(INDEX(captured[Grade],MATCH(All[[#This Row],[Student No.]],captured[ID_TEXT],0)), "Cannot find student!") &amp; "","No student!")</f>
        <v>PAS</v>
      </c>
      <c r="P55"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55" s="18" t="str">
        <f>IF(All[[#This Row],[My Grade]]&lt;&gt;"",IF(All[[#This Row],[My Grade]]&lt;&gt;All[[#This Row],[Cap Grade]],TRUE,FALSE),"")</f>
        <v/>
      </c>
      <c r="R55" s="18" t="b">
        <f>IF(NOT(ISBLANK(All[[#This Row],[Student No.]])),OR(ISNUMBER(FIND("FSB",All[[#This Row],[My Grade]])),ISNUMBER(FIND("PAS", All[[#This Row],[My Grade]])),ISNUMBER(FIND("FAL",All[[#This Row],[My Grade]])),ISNUMBER(FIND("FAB", All[[#This Row],[My Grade]])),COUNTBLANK(All[[#This Row],[My Grade]])=1),FALSE)</f>
        <v>1</v>
      </c>
      <c r="S55" s="18" t="b">
        <f>IF(All[[#This Row],[Student No.]]&lt;&gt;"", TRUE, FALSE)</f>
        <v>1</v>
      </c>
      <c r="T55" s="18" t="b">
        <f>IF(COUNTBLANK(All[[#This Row],[Engagement]:[Exam/Def]])=0,TRUE, FALSE)</f>
        <v>0</v>
      </c>
      <c r="U55" s="18" t="b">
        <f>IF(ISNUMBER(All[[#This Row],[Test]]),TRUE,FALSE)</f>
        <v>0</v>
      </c>
      <c r="V55" s="18" t="e">
        <f>IF((INDEX(Test[Total (%)],MATCH(All[[#This Row],[Student No.]],Test[Student No.],0)))="ABS", TRUE, FALSE)</f>
        <v>#N/A</v>
      </c>
      <c r="W55" s="18" t="b">
        <f>IF(ISNUMBER(INDEX(Exam[Total (%)],MATCH(All[[#This Row],[Student No.]],Exam[Student No.],0))), TRUE, FALSE)</f>
        <v>1</v>
      </c>
      <c r="X55" s="18" t="b">
        <f>IF(ISNUMBER(INDEX(#REF!,MATCH(All[[#This Row],[Student No.]],#REF!,0))),TRUE,FALSE)</f>
        <v>0</v>
      </c>
      <c r="Y55" s="18" t="b">
        <f>IF(ISNUMBER(INDEX(#REF!,MATCH(All[[#This Row],[Student No.]],#REF!,0))),TRUE,FALSE)</f>
        <v>0</v>
      </c>
      <c r="Z55" s="18" t="b">
        <f>IF(All[[#This Row],[Wrote Def]],
IF(INDEX(#REF!, MATCH(All[[#This Row],[Student No.]],#REF!,0))&lt;&gt;All[[#This Row],[Exam/Def]], TRUE, FALSE),
  IF(All[[#This Row],[Wrote Exam]], IF(INDEX(Exam[Total (%)], MATCH(All[[#This Row],[Student No.]],Exam[Student No.],0))&lt;&gt;All[[#This Row],[Exam/Def]],TRUE,FALSE), FALSE))</f>
        <v>0</v>
      </c>
      <c r="AA55" s="18" t="b">
        <f xml:space="preserve">    IF(AND(All[[#This Row],[Exam/Def]]&lt;35,OR(All[[#This Row],[Wrote Exam]],All[[#This Row],[Wrote Def]])), TRUE,FALSE)</f>
        <v>0</v>
      </c>
      <c r="AB55" s="18" t="b">
        <f>IF(AND(All[[#This Row],[Exam &lt; 35%]],All[[#This Row],[Final]]&gt;=50),TRUE,FALSE)</f>
        <v>0</v>
      </c>
      <c r="AC55" s="18"/>
    </row>
    <row r="56" spans="1:29" ht="43.2">
      <c r="A56" s="17" t="s">
        <v>321</v>
      </c>
      <c r="B56" s="17" t="s">
        <v>497</v>
      </c>
      <c r="C56" s="100" t="e">
        <f>IF(All[[#This Row],[Student]],
  IF(ISNA(INDEX(#REF!,MATCH(All[[#This Row],[Student No.]],#REF!,0))),
    "Cannot find student!",
    IF(INDEX(#REF!,MATCH(All[[#This Row],[Student No.]],#REF!,0))="",
      "",
      INDEX(#REF!,MATCH(All[[#This Row],[Student No.]],#REF!,0)))
    ),
  "No student!")</f>
        <v>#REF!</v>
      </c>
      <c r="D56"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56" s="18" t="str">
        <f>IF(All[[#This Row],[Student]],
  IF(ISNA(INDEX(Project[Total (%)],MATCH(All[[#This Row],[Student No.]],Project[Student No.],0))),
    "Cannot find student!",
    IF(INDEX(Project[Total (%)],MATCH(All[[#This Row],[Student No.]],Project[Student No.],0))="",
      "",
      INDEX(Project[Total (%)],MATCH(All[[#This Row],[Student No.]],Project[Student No.],0)))
    ),
  "No student!")</f>
        <v/>
      </c>
      <c r="F56" s="201">
        <f>IF(All[[#This Row],[Wrote Def]], INDEX(#REF!, MATCH(All[[#This Row],[Student No.]],#REF!,0)),
  IF(All[[#This Row],[Wrote Exam]], INDEX(Exam[Total (%)], MATCH(All[[#This Row],[Student No.]], Exam[Student No.],0)),
    ""))</f>
        <v>74</v>
      </c>
      <c r="G56" s="18" t="str">
        <f>IF(AND(All[[#This Row],[Student]], All[[#This Row],[All Components]]),
    IF(NOT(All[Has Test Mark]),ROUND((All[[#This Row],[Engagement]]*$C$5+All[[#This Row],[Project]]*$E$5+All[[#This Row],[Exam/Def]]*$F$5)/($C$5+$E$5+$F$5),0),
      ROUND((All[[#This Row],[Engagement]]*$C$5+All[[#This Row],[Test]]*$D$5+All[[#This Row],[Project]]*$E$5+All[[#This Row],[Exam/Def]]*$F$5)/($C$5+$D$5+$E$5+$F$5),0)
  ),
  "")</f>
        <v/>
      </c>
      <c r="H56" s="18" t="str">
        <f>All[[#This Row],[Course Mark]]</f>
        <v/>
      </c>
      <c r="I56" s="18" t="str">
        <f>IF(All[[#This Row],[Wrote Sup]], INDEX(#REF!,MATCH(All[[#This Row],[Student No.]],#REF!,0)), "")</f>
        <v/>
      </c>
      <c r="J56" s="18" t="str">
        <f>IF(AND(All[[#This Row],[Student]],ISNUMBER(All[[#This Row],[Final]])),_xlfn.RANK.EQ(All[[#This Row],[Final]],All[Final]),"")</f>
        <v/>
      </c>
      <c r="K56" s="31"/>
      <c r="L56" s="18" t="str">
        <f>IF(All[[#This Row],[Student]], IF(All[Wrote Sup],All[Sup],All[[#This Row],[Final]]),"No student")</f>
        <v/>
      </c>
      <c r="M56" s="18" t="str">
        <f>IF(All[[#This Row],[Final]]="","",
  IF(All[[#This Row],[Wrote Sup]],
    IF(All[[#This Row],[Sup]]&lt;50,"FAL","PAS"),
  IF(All[[#This Row],[Exam/Def]]&lt;35, "FSB",
    IF(All[[#This Row],[Final]]&lt;50,"FAL",
    IF(All[[#This Row],[Final]]&gt;=50,"PAS",
  "Error!")))))</f>
        <v/>
      </c>
      <c r="N56" s="18">
        <f>IF(All[[#This Row],[Student]], _xlfn.IFNA(INDEX(captured[Course Mark],MATCH(All[[#This Row],[Student No.]],captured[ID_TEXT],0) &amp; ""), "Cannot find student!"),"No student!")</f>
        <v>72</v>
      </c>
      <c r="O56" s="189" t="str">
        <f>IF(All[[#This Row],[Student]], _xlfn.IFNA(INDEX(captured[Grade],MATCH(All[[#This Row],[Student No.]],captured[ID_TEXT],0)), "Cannot find student!") &amp; "","No student!")</f>
        <v>PAS</v>
      </c>
      <c r="P56"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56" s="18" t="str">
        <f>IF(All[[#This Row],[My Grade]]&lt;&gt;"",IF(All[[#This Row],[My Grade]]&lt;&gt;All[[#This Row],[Cap Grade]],TRUE,FALSE),"")</f>
        <v/>
      </c>
      <c r="R56" s="18" t="b">
        <f>IF(NOT(ISBLANK(All[[#This Row],[Student No.]])),OR(ISNUMBER(FIND("FSB",All[[#This Row],[My Grade]])),ISNUMBER(FIND("PAS", All[[#This Row],[My Grade]])),ISNUMBER(FIND("FAL",All[[#This Row],[My Grade]])),ISNUMBER(FIND("FAB", All[[#This Row],[My Grade]])),COUNTBLANK(All[[#This Row],[My Grade]])=1),FALSE)</f>
        <v>1</v>
      </c>
      <c r="S56" s="18" t="b">
        <f>IF(All[[#This Row],[Student No.]]&lt;&gt;"", TRUE, FALSE)</f>
        <v>1</v>
      </c>
      <c r="T56" s="18" t="b">
        <f>IF(COUNTBLANK(All[[#This Row],[Engagement]:[Exam/Def]])=0,TRUE, FALSE)</f>
        <v>0</v>
      </c>
      <c r="U56" s="18" t="b">
        <f>IF(ISNUMBER(All[[#This Row],[Test]]),TRUE,FALSE)</f>
        <v>0</v>
      </c>
      <c r="V56" s="18" t="e">
        <f>IF((INDEX(Test[Total (%)],MATCH(All[[#This Row],[Student No.]],Test[Student No.],0)))="ABS", TRUE, FALSE)</f>
        <v>#N/A</v>
      </c>
      <c r="W56" s="18" t="b">
        <f>IF(ISNUMBER(INDEX(Exam[Total (%)],MATCH(All[[#This Row],[Student No.]],Exam[Student No.],0))), TRUE, FALSE)</f>
        <v>1</v>
      </c>
      <c r="X56" s="18" t="b">
        <f>IF(ISNUMBER(INDEX(#REF!,MATCH(All[[#This Row],[Student No.]],#REF!,0))),TRUE,FALSE)</f>
        <v>0</v>
      </c>
      <c r="Y56" s="18" t="b">
        <f>IF(ISNUMBER(INDEX(#REF!,MATCH(All[[#This Row],[Student No.]],#REF!,0))),TRUE,FALSE)</f>
        <v>0</v>
      </c>
      <c r="Z56" s="18" t="b">
        <f>IF(All[[#This Row],[Wrote Def]],
IF(INDEX(#REF!, MATCH(All[[#This Row],[Student No.]],#REF!,0))&lt;&gt;All[[#This Row],[Exam/Def]], TRUE, FALSE),
  IF(All[[#This Row],[Wrote Exam]], IF(INDEX(Exam[Total (%)], MATCH(All[[#This Row],[Student No.]],Exam[Student No.],0))&lt;&gt;All[[#This Row],[Exam/Def]],TRUE,FALSE), FALSE))</f>
        <v>0</v>
      </c>
      <c r="AA56" s="18" t="b">
        <f xml:space="preserve">    IF(AND(All[[#This Row],[Exam/Def]]&lt;35,OR(All[[#This Row],[Wrote Exam]],All[[#This Row],[Wrote Def]])), TRUE,FALSE)</f>
        <v>0</v>
      </c>
      <c r="AB56" s="18" t="b">
        <f>IF(AND(All[[#This Row],[Exam &lt; 35%]],All[[#This Row],[Final]]&gt;=50),TRUE,FALSE)</f>
        <v>0</v>
      </c>
      <c r="AC56" s="18"/>
    </row>
    <row r="57" spans="1:29" ht="43.2">
      <c r="A57" s="17" t="s">
        <v>322</v>
      </c>
      <c r="B57" s="17" t="s">
        <v>498</v>
      </c>
      <c r="C57" s="100" t="e">
        <f>IF(All[[#This Row],[Student]],
  IF(ISNA(INDEX(#REF!,MATCH(All[[#This Row],[Student No.]],#REF!,0))),
    "Cannot find student!",
    IF(INDEX(#REF!,MATCH(All[[#This Row],[Student No.]],#REF!,0))="",
      "",
      INDEX(#REF!,MATCH(All[[#This Row],[Student No.]],#REF!,0)))
    ),
  "No student!")</f>
        <v>#REF!</v>
      </c>
      <c r="D57"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57" s="18" t="str">
        <f>IF(All[[#This Row],[Student]],
  IF(ISNA(INDEX(Project[Total (%)],MATCH(All[[#This Row],[Student No.]],Project[Student No.],0))),
    "Cannot find student!",
    IF(INDEX(Project[Total (%)],MATCH(All[[#This Row],[Student No.]],Project[Student No.],0))="",
      "",
      INDEX(Project[Total (%)],MATCH(All[[#This Row],[Student No.]],Project[Student No.],0)))
    ),
  "No student!")</f>
        <v/>
      </c>
      <c r="F57" s="201">
        <f>IF(All[[#This Row],[Wrote Def]], INDEX(#REF!, MATCH(All[[#This Row],[Student No.]],#REF!,0)),
  IF(All[[#This Row],[Wrote Exam]], INDEX(Exam[Total (%)], MATCH(All[[#This Row],[Student No.]], Exam[Student No.],0)),
    ""))</f>
        <v>54</v>
      </c>
      <c r="G57" s="18" t="str">
        <f>IF(AND(All[[#This Row],[Student]], All[[#This Row],[All Components]]),
    IF(NOT(All[Has Test Mark]),ROUND((All[[#This Row],[Engagement]]*$C$5+All[[#This Row],[Project]]*$E$5+All[[#This Row],[Exam/Def]]*$F$5)/($C$5+$E$5+$F$5),0),
      ROUND((All[[#This Row],[Engagement]]*$C$5+All[[#This Row],[Test]]*$D$5+All[[#This Row],[Project]]*$E$5+All[[#This Row],[Exam/Def]]*$F$5)/($C$5+$D$5+$E$5+$F$5),0)
  ),
  "")</f>
        <v/>
      </c>
      <c r="H57" s="18" t="str">
        <f>All[[#This Row],[Course Mark]]</f>
        <v/>
      </c>
      <c r="I57" s="18" t="str">
        <f>IF(All[[#This Row],[Wrote Sup]], INDEX(#REF!,MATCH(All[[#This Row],[Student No.]],#REF!,0)), "")</f>
        <v/>
      </c>
      <c r="J57" s="18" t="str">
        <f>IF(AND(All[[#This Row],[Student]],ISNUMBER(All[[#This Row],[Final]])),_xlfn.RANK.EQ(All[[#This Row],[Final]],All[Final]),"")</f>
        <v/>
      </c>
      <c r="K57" s="31"/>
      <c r="L57" s="18" t="str">
        <f>IF(All[[#This Row],[Student]], IF(All[Wrote Sup],All[Sup],All[[#This Row],[Final]]),"No student")</f>
        <v/>
      </c>
      <c r="M57" s="18" t="str">
        <f>IF(All[[#This Row],[Final]]="","",
  IF(All[[#This Row],[Wrote Sup]],
    IF(All[[#This Row],[Sup]]&lt;50,"FAL","PAS"),
  IF(All[[#This Row],[Exam/Def]]&lt;35, "FSB",
    IF(All[[#This Row],[Final]]&lt;50,"FAL",
    IF(All[[#This Row],[Final]]&gt;=50,"PAS",
  "Error!")))))</f>
        <v/>
      </c>
      <c r="N57" s="18">
        <f>IF(All[[#This Row],[Student]], _xlfn.IFNA(INDEX(captured[Course Mark],MATCH(All[[#This Row],[Student No.]],captured[ID_TEXT],0) &amp; ""), "Cannot find student!"),"No student!")</f>
        <v>59</v>
      </c>
      <c r="O57" s="189" t="str">
        <f>IF(All[[#This Row],[Student]], _xlfn.IFNA(INDEX(captured[Grade],MATCH(All[[#This Row],[Student No.]],captured[ID_TEXT],0)), "Cannot find student!") &amp; "","No student!")</f>
        <v>PAS</v>
      </c>
      <c r="P57"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57" s="18" t="str">
        <f>IF(All[[#This Row],[My Grade]]&lt;&gt;"",IF(All[[#This Row],[My Grade]]&lt;&gt;All[[#This Row],[Cap Grade]],TRUE,FALSE),"")</f>
        <v/>
      </c>
      <c r="R57" s="18" t="b">
        <f>IF(NOT(ISBLANK(All[[#This Row],[Student No.]])),OR(ISNUMBER(FIND("FSB",All[[#This Row],[My Grade]])),ISNUMBER(FIND("PAS", All[[#This Row],[My Grade]])),ISNUMBER(FIND("FAL",All[[#This Row],[My Grade]])),ISNUMBER(FIND("FAB", All[[#This Row],[My Grade]])),COUNTBLANK(All[[#This Row],[My Grade]])=1),FALSE)</f>
        <v>1</v>
      </c>
      <c r="S57" s="18" t="b">
        <f>IF(All[[#This Row],[Student No.]]&lt;&gt;"", TRUE, FALSE)</f>
        <v>1</v>
      </c>
      <c r="T57" s="18" t="b">
        <f>IF(COUNTBLANK(All[[#This Row],[Engagement]:[Exam/Def]])=0,TRUE, FALSE)</f>
        <v>0</v>
      </c>
      <c r="U57" s="18" t="b">
        <f>IF(ISNUMBER(All[[#This Row],[Test]]),TRUE,FALSE)</f>
        <v>0</v>
      </c>
      <c r="V57" s="18" t="e">
        <f>IF((INDEX(Test[Total (%)],MATCH(All[[#This Row],[Student No.]],Test[Student No.],0)))="ABS", TRUE, FALSE)</f>
        <v>#N/A</v>
      </c>
      <c r="W57" s="18" t="b">
        <f>IF(ISNUMBER(INDEX(Exam[Total (%)],MATCH(All[[#This Row],[Student No.]],Exam[Student No.],0))), TRUE, FALSE)</f>
        <v>1</v>
      </c>
      <c r="X57" s="18" t="b">
        <f>IF(ISNUMBER(INDEX(#REF!,MATCH(All[[#This Row],[Student No.]],#REF!,0))),TRUE,FALSE)</f>
        <v>0</v>
      </c>
      <c r="Y57" s="18" t="b">
        <f>IF(ISNUMBER(INDEX(#REF!,MATCH(All[[#This Row],[Student No.]],#REF!,0))),TRUE,FALSE)</f>
        <v>0</v>
      </c>
      <c r="Z57" s="18" t="b">
        <f>IF(All[[#This Row],[Wrote Def]],
IF(INDEX(#REF!, MATCH(All[[#This Row],[Student No.]],#REF!,0))&lt;&gt;All[[#This Row],[Exam/Def]], TRUE, FALSE),
  IF(All[[#This Row],[Wrote Exam]], IF(INDEX(Exam[Total (%)], MATCH(All[[#This Row],[Student No.]],Exam[Student No.],0))&lt;&gt;All[[#This Row],[Exam/Def]],TRUE,FALSE), FALSE))</f>
        <v>0</v>
      </c>
      <c r="AA57" s="18" t="b">
        <f xml:space="preserve">    IF(AND(All[[#This Row],[Exam/Def]]&lt;35,OR(All[[#This Row],[Wrote Exam]],All[[#This Row],[Wrote Def]])), TRUE,FALSE)</f>
        <v>0</v>
      </c>
      <c r="AB57" s="18" t="b">
        <f>IF(AND(All[[#This Row],[Exam &lt; 35%]],All[[#This Row],[Final]]&gt;=50),TRUE,FALSE)</f>
        <v>0</v>
      </c>
      <c r="AC57" s="18"/>
    </row>
    <row r="58" spans="1:29" ht="43.2">
      <c r="A58" s="17" t="s">
        <v>323</v>
      </c>
      <c r="B58" s="17" t="s">
        <v>499</v>
      </c>
      <c r="C58" s="100" t="e">
        <f>IF(All[[#This Row],[Student]],
  IF(ISNA(INDEX(#REF!,MATCH(All[[#This Row],[Student No.]],#REF!,0))),
    "Cannot find student!",
    IF(INDEX(#REF!,MATCH(All[[#This Row],[Student No.]],#REF!,0))="",
      "",
      INDEX(#REF!,MATCH(All[[#This Row],[Student No.]],#REF!,0)))
    ),
  "No student!")</f>
        <v>#REF!</v>
      </c>
      <c r="D58"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58" s="18" t="str">
        <f>IF(All[[#This Row],[Student]],
  IF(ISNA(INDEX(Project[Total (%)],MATCH(All[[#This Row],[Student No.]],Project[Student No.],0))),
    "Cannot find student!",
    IF(INDEX(Project[Total (%)],MATCH(All[[#This Row],[Student No.]],Project[Student No.],0))="",
      "",
      INDEX(Project[Total (%)],MATCH(All[[#This Row],[Student No.]],Project[Student No.],0)))
    ),
  "No student!")</f>
        <v/>
      </c>
      <c r="F58" s="201">
        <f>IF(All[[#This Row],[Wrote Def]], INDEX(#REF!, MATCH(All[[#This Row],[Student No.]],#REF!,0)),
  IF(All[[#This Row],[Wrote Exam]], INDEX(Exam[Total (%)], MATCH(All[[#This Row],[Student No.]], Exam[Student No.],0)),
    ""))</f>
        <v>55</v>
      </c>
      <c r="G58" s="18" t="str">
        <f>IF(AND(All[[#This Row],[Student]], All[[#This Row],[All Components]]),
    IF(NOT(All[Has Test Mark]),ROUND((All[[#This Row],[Engagement]]*$C$5+All[[#This Row],[Project]]*$E$5+All[[#This Row],[Exam/Def]]*$F$5)/($C$5+$E$5+$F$5),0),
      ROUND((All[[#This Row],[Engagement]]*$C$5+All[[#This Row],[Test]]*$D$5+All[[#This Row],[Project]]*$E$5+All[[#This Row],[Exam/Def]]*$F$5)/($C$5+$D$5+$E$5+$F$5),0)
  ),
  "")</f>
        <v/>
      </c>
      <c r="H58" s="18" t="str">
        <f>All[[#This Row],[Course Mark]]</f>
        <v/>
      </c>
      <c r="I58" s="18" t="str">
        <f>IF(All[[#This Row],[Wrote Sup]], INDEX(#REF!,MATCH(All[[#This Row],[Student No.]],#REF!,0)), "")</f>
        <v/>
      </c>
      <c r="J58" s="18" t="str">
        <f>IF(AND(All[[#This Row],[Student]],ISNUMBER(All[[#This Row],[Final]])),_xlfn.RANK.EQ(All[[#This Row],[Final]],All[Final]),"")</f>
        <v/>
      </c>
      <c r="K58" s="31"/>
      <c r="L58" s="18" t="str">
        <f>IF(All[[#This Row],[Student]], IF(All[Wrote Sup],All[Sup],All[[#This Row],[Final]]),"No student")</f>
        <v/>
      </c>
      <c r="M58" s="18" t="str">
        <f>IF(All[[#This Row],[Final]]="","",
  IF(All[[#This Row],[Wrote Sup]],
    IF(All[[#This Row],[Sup]]&lt;50,"FAL","PAS"),
  IF(All[[#This Row],[Exam/Def]]&lt;35, "FSB",
    IF(All[[#This Row],[Final]]&lt;50,"FAL",
    IF(All[[#This Row],[Final]]&gt;=50,"PAS",
  "Error!")))))</f>
        <v/>
      </c>
      <c r="N58" s="18">
        <f>IF(All[[#This Row],[Student]], _xlfn.IFNA(INDEX(captured[Course Mark],MATCH(All[[#This Row],[Student No.]],captured[ID_TEXT],0) &amp; ""), "Cannot find student!"),"No student!")</f>
        <v>50</v>
      </c>
      <c r="O58" s="189" t="str">
        <f>IF(All[[#This Row],[Student]], _xlfn.IFNA(INDEX(captured[Grade],MATCH(All[[#This Row],[Student No.]],captured[ID_TEXT],0)), "Cannot find student!") &amp; "","No student!")</f>
        <v>PAS</v>
      </c>
      <c r="P58"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58" s="18" t="str">
        <f>IF(All[[#This Row],[My Grade]]&lt;&gt;"",IF(All[[#This Row],[My Grade]]&lt;&gt;All[[#This Row],[Cap Grade]],TRUE,FALSE),"")</f>
        <v/>
      </c>
      <c r="R58" s="18" t="b">
        <f>IF(NOT(ISBLANK(All[[#This Row],[Student No.]])),OR(ISNUMBER(FIND("FSB",All[[#This Row],[My Grade]])),ISNUMBER(FIND("PAS", All[[#This Row],[My Grade]])),ISNUMBER(FIND("FAL",All[[#This Row],[My Grade]])),ISNUMBER(FIND("FAB", All[[#This Row],[My Grade]])),COUNTBLANK(All[[#This Row],[My Grade]])=1),FALSE)</f>
        <v>1</v>
      </c>
      <c r="S58" s="18" t="b">
        <f>IF(All[[#This Row],[Student No.]]&lt;&gt;"", TRUE, FALSE)</f>
        <v>1</v>
      </c>
      <c r="T58" s="18" t="b">
        <f>IF(COUNTBLANK(All[[#This Row],[Engagement]:[Exam/Def]])=0,TRUE, FALSE)</f>
        <v>0</v>
      </c>
      <c r="U58" s="18" t="b">
        <f>IF(ISNUMBER(All[[#This Row],[Test]]),TRUE,FALSE)</f>
        <v>0</v>
      </c>
      <c r="V58" s="18" t="e">
        <f>IF((INDEX(Test[Total (%)],MATCH(All[[#This Row],[Student No.]],Test[Student No.],0)))="ABS", TRUE, FALSE)</f>
        <v>#N/A</v>
      </c>
      <c r="W58" s="18" t="b">
        <f>IF(ISNUMBER(INDEX(Exam[Total (%)],MATCH(All[[#This Row],[Student No.]],Exam[Student No.],0))), TRUE, FALSE)</f>
        <v>1</v>
      </c>
      <c r="X58" s="18" t="b">
        <f>IF(ISNUMBER(INDEX(#REF!,MATCH(All[[#This Row],[Student No.]],#REF!,0))),TRUE,FALSE)</f>
        <v>0</v>
      </c>
      <c r="Y58" s="18" t="b">
        <f>IF(ISNUMBER(INDEX(#REF!,MATCH(All[[#This Row],[Student No.]],#REF!,0))),TRUE,FALSE)</f>
        <v>0</v>
      </c>
      <c r="Z58" s="18" t="b">
        <f>IF(All[[#This Row],[Wrote Def]],
IF(INDEX(#REF!, MATCH(All[[#This Row],[Student No.]],#REF!,0))&lt;&gt;All[[#This Row],[Exam/Def]], TRUE, FALSE),
  IF(All[[#This Row],[Wrote Exam]], IF(INDEX(Exam[Total (%)], MATCH(All[[#This Row],[Student No.]],Exam[Student No.],0))&lt;&gt;All[[#This Row],[Exam/Def]],TRUE,FALSE), FALSE))</f>
        <v>0</v>
      </c>
      <c r="AA58" s="18" t="b">
        <f xml:space="preserve">    IF(AND(All[[#This Row],[Exam/Def]]&lt;35,OR(All[[#This Row],[Wrote Exam]],All[[#This Row],[Wrote Def]])), TRUE,FALSE)</f>
        <v>0</v>
      </c>
      <c r="AB58" s="18" t="b">
        <f>IF(AND(All[[#This Row],[Exam &lt; 35%]],All[[#This Row],[Final]]&gt;=50),TRUE,FALSE)</f>
        <v>0</v>
      </c>
      <c r="AC58" s="18"/>
    </row>
    <row r="59" spans="1:29">
      <c r="A59" s="17" t="s">
        <v>324</v>
      </c>
      <c r="B59" s="17" t="s">
        <v>500</v>
      </c>
      <c r="C59" s="100" t="e">
        <f>IF(All[[#This Row],[Student]],
  IF(ISNA(INDEX(#REF!,MATCH(All[[#This Row],[Student No.]],#REF!,0))),
    "Cannot find student!",
    IF(INDEX(#REF!,MATCH(All[[#This Row],[Student No.]],#REF!,0))="",
      "",
      INDEX(#REF!,MATCH(All[[#This Row],[Student No.]],#REF!,0)))
    ),
  "No student!")</f>
        <v>#REF!</v>
      </c>
      <c r="D59"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59" s="18" t="str">
        <f>IF(All[[#This Row],[Student]],
  IF(ISNA(INDEX(Project[Total (%)],MATCH(All[[#This Row],[Student No.]],Project[Student No.],0))),
    "Cannot find student!",
    IF(INDEX(Project[Total (%)],MATCH(All[[#This Row],[Student No.]],Project[Student No.],0))="",
      "",
      INDEX(Project[Total (%)],MATCH(All[[#This Row],[Student No.]],Project[Student No.],0)))
    ),
  "No student!")</f>
        <v/>
      </c>
      <c r="F59" s="201">
        <f>IF(All[[#This Row],[Wrote Def]], INDEX(#REF!, MATCH(All[[#This Row],[Student No.]],#REF!,0)),
  IF(All[[#This Row],[Wrote Exam]], INDEX(Exam[Total (%)], MATCH(All[[#This Row],[Student No.]], Exam[Student No.],0)),
    ""))</f>
        <v>28</v>
      </c>
      <c r="G59" s="18" t="str">
        <f>IF(AND(All[[#This Row],[Student]], All[[#This Row],[All Components]]),
    IF(NOT(All[Has Test Mark]),ROUND((All[[#This Row],[Engagement]]*$C$5+All[[#This Row],[Project]]*$E$5+All[[#This Row],[Exam/Def]]*$F$5)/($C$5+$E$5+$F$5),0),
      ROUND((All[[#This Row],[Engagement]]*$C$5+All[[#This Row],[Test]]*$D$5+All[[#This Row],[Project]]*$E$5+All[[#This Row],[Exam/Def]]*$F$5)/($C$5+$D$5+$E$5+$F$5),0)
  ),
  "")</f>
        <v/>
      </c>
      <c r="H59" s="18" t="str">
        <f>All[[#This Row],[Course Mark]]</f>
        <v/>
      </c>
      <c r="I59" s="18" t="str">
        <f>IF(All[[#This Row],[Wrote Sup]], INDEX(#REF!,MATCH(All[[#This Row],[Student No.]],#REF!,0)), "")</f>
        <v/>
      </c>
      <c r="J59" s="18" t="str">
        <f>IF(AND(All[[#This Row],[Student]],ISNUMBER(All[[#This Row],[Final]])),_xlfn.RANK.EQ(All[[#This Row],[Final]],All[Final]),"")</f>
        <v/>
      </c>
      <c r="K59" s="31" t="s">
        <v>1366</v>
      </c>
      <c r="L59" s="18" t="str">
        <f>IF(All[[#This Row],[Student]], IF(All[Wrote Sup],All[Sup],All[[#This Row],[Final]]),"No student")</f>
        <v/>
      </c>
      <c r="M59" s="18" t="str">
        <f>IF(All[[#This Row],[Final]]="","",
  IF(All[[#This Row],[Wrote Sup]],
    IF(All[[#This Row],[Sup]]&lt;50,"FAL","PAS"),
  IF(All[[#This Row],[Exam/Def]]&lt;35, "FSB",
    IF(All[[#This Row],[Final]]&lt;50,"FAL",
    IF(All[[#This Row],[Final]]&gt;=50,"PAS",
  "Error!")))))</f>
        <v/>
      </c>
      <c r="N59" s="18">
        <f>IF(All[[#This Row],[Student]], _xlfn.IFNA(INDEX(captured[Course Mark],MATCH(All[[#This Row],[Student No.]],captured[ID_TEXT],0) &amp; ""), "Cannot find student!"),"No student!")</f>
        <v>43</v>
      </c>
      <c r="O59" s="189" t="str">
        <f>IF(All[[#This Row],[Student]], _xlfn.IFNA(INDEX(captured[Grade],MATCH(All[[#This Row],[Student No.]],captured[ID_TEXT],0)), "Cannot find student!") &amp; "","No student!")</f>
        <v>FSB</v>
      </c>
      <c r="P59"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59" s="18" t="str">
        <f>IF(All[[#This Row],[My Grade]]&lt;&gt;"",IF(All[[#This Row],[My Grade]]&lt;&gt;All[[#This Row],[Cap Grade]],TRUE,FALSE),"")</f>
        <v/>
      </c>
      <c r="R59" s="18" t="b">
        <f>IF(NOT(ISBLANK(All[[#This Row],[Student No.]])),OR(ISNUMBER(FIND("FSB",All[[#This Row],[My Grade]])),ISNUMBER(FIND("PAS", All[[#This Row],[My Grade]])),ISNUMBER(FIND("FAL",All[[#This Row],[My Grade]])),ISNUMBER(FIND("FAB", All[[#This Row],[My Grade]])),COUNTBLANK(All[[#This Row],[My Grade]])=1),FALSE)</f>
        <v>1</v>
      </c>
      <c r="S59" s="18" t="b">
        <f>IF(All[[#This Row],[Student No.]]&lt;&gt;"", TRUE, FALSE)</f>
        <v>1</v>
      </c>
      <c r="T59" s="18" t="b">
        <f>IF(COUNTBLANK(All[[#This Row],[Engagement]:[Exam/Def]])=0,TRUE, FALSE)</f>
        <v>0</v>
      </c>
      <c r="U59" s="18" t="b">
        <f>IF(ISNUMBER(All[[#This Row],[Test]]),TRUE,FALSE)</f>
        <v>0</v>
      </c>
      <c r="V59" s="18" t="b">
        <f>IF((INDEX(Test[Total (%)],MATCH(All[[#This Row],[Student No.]],Test[Student No.],0)))="ABS", TRUE, FALSE)</f>
        <v>0</v>
      </c>
      <c r="W59" s="18" t="b">
        <f>IF(ISNUMBER(INDEX(Exam[Total (%)],MATCH(All[[#This Row],[Student No.]],Exam[Student No.],0))), TRUE, FALSE)</f>
        <v>1</v>
      </c>
      <c r="X59" s="18" t="b">
        <f>IF(ISNUMBER(INDEX(#REF!,MATCH(All[[#This Row],[Student No.]],#REF!,0))),TRUE,FALSE)</f>
        <v>0</v>
      </c>
      <c r="Y59" s="18" t="b">
        <f>IF(ISNUMBER(INDEX(#REF!,MATCH(All[[#This Row],[Student No.]],#REF!,0))),TRUE,FALSE)</f>
        <v>0</v>
      </c>
      <c r="Z59" s="18" t="b">
        <f>IF(All[[#This Row],[Wrote Def]],
IF(INDEX(#REF!, MATCH(All[[#This Row],[Student No.]],#REF!,0))&lt;&gt;All[[#This Row],[Exam/Def]], TRUE, FALSE),
  IF(All[[#This Row],[Wrote Exam]], IF(INDEX(Exam[Total (%)], MATCH(All[[#This Row],[Student No.]],Exam[Student No.],0))&lt;&gt;All[[#This Row],[Exam/Def]],TRUE,FALSE), FALSE))</f>
        <v>0</v>
      </c>
      <c r="AA59" s="18" t="b">
        <f xml:space="preserve">    IF(AND(All[[#This Row],[Exam/Def]]&lt;35,OR(All[[#This Row],[Wrote Exam]],All[[#This Row],[Wrote Def]])), TRUE,FALSE)</f>
        <v>1</v>
      </c>
      <c r="AB59" s="18" t="b">
        <f>IF(AND(All[[#This Row],[Exam &lt; 35%]],All[[#This Row],[Final]]&gt;=50),TRUE,FALSE)</f>
        <v>1</v>
      </c>
      <c r="AC59" s="18"/>
    </row>
    <row r="60" spans="1:29" ht="43.2">
      <c r="A60" s="17" t="s">
        <v>325</v>
      </c>
      <c r="B60" s="17" t="s">
        <v>501</v>
      </c>
      <c r="C60" s="100" t="e">
        <f>IF(All[[#This Row],[Student]],
  IF(ISNA(INDEX(#REF!,MATCH(All[[#This Row],[Student No.]],#REF!,0))),
    "Cannot find student!",
    IF(INDEX(#REF!,MATCH(All[[#This Row],[Student No.]],#REF!,0))="",
      "",
      INDEX(#REF!,MATCH(All[[#This Row],[Student No.]],#REF!,0)))
    ),
  "No student!")</f>
        <v>#REF!</v>
      </c>
      <c r="D60"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60" s="18" t="str">
        <f>IF(All[[#This Row],[Student]],
  IF(ISNA(INDEX(Project[Total (%)],MATCH(All[[#This Row],[Student No.]],Project[Student No.],0))),
    "Cannot find student!",
    IF(INDEX(Project[Total (%)],MATCH(All[[#This Row],[Student No.]],Project[Student No.],0))="",
      "",
      INDEX(Project[Total (%)],MATCH(All[[#This Row],[Student No.]],Project[Student No.],0)))
    ),
  "No student!")</f>
        <v/>
      </c>
      <c r="F60" s="201">
        <f>IF(All[[#This Row],[Wrote Def]], INDEX(#REF!, MATCH(All[[#This Row],[Student No.]],#REF!,0)),
  IF(All[[#This Row],[Wrote Exam]], INDEX(Exam[Total (%)], MATCH(All[[#This Row],[Student No.]], Exam[Student No.],0)),
    ""))</f>
        <v>16</v>
      </c>
      <c r="G60" s="18" t="str">
        <f>IF(AND(All[[#This Row],[Student]], All[[#This Row],[All Components]]),
    IF(NOT(All[Has Test Mark]),ROUND((All[[#This Row],[Engagement]]*$C$5+All[[#This Row],[Project]]*$E$5+All[[#This Row],[Exam/Def]]*$F$5)/($C$5+$E$5+$F$5),0),
      ROUND((All[[#This Row],[Engagement]]*$C$5+All[[#This Row],[Test]]*$D$5+All[[#This Row],[Project]]*$E$5+All[[#This Row],[Exam/Def]]*$F$5)/($C$5+$D$5+$E$5+$F$5),0)
  ),
  "")</f>
        <v/>
      </c>
      <c r="H60" s="18" t="str">
        <f>All[[#This Row],[Course Mark]]</f>
        <v/>
      </c>
      <c r="I60" s="18" t="str">
        <f>IF(All[[#This Row],[Wrote Sup]], INDEX(#REF!,MATCH(All[[#This Row],[Student No.]],#REF!,0)), "")</f>
        <v/>
      </c>
      <c r="J60" s="18" t="str">
        <f>IF(AND(All[[#This Row],[Student]],ISNUMBER(All[[#This Row],[Final]])),_xlfn.RANK.EQ(All[[#This Row],[Final]],All[Final]),"")</f>
        <v/>
      </c>
      <c r="K60" s="31"/>
      <c r="L60" s="18" t="str">
        <f>IF(All[[#This Row],[Student]], IF(All[Wrote Sup],All[Sup],All[[#This Row],[Final]]),"No student")</f>
        <v/>
      </c>
      <c r="M60" s="18" t="str">
        <f>IF(All[[#This Row],[Final]]="","",
  IF(All[[#This Row],[Wrote Sup]],
    IF(All[[#This Row],[Sup]]&lt;50,"FAL","PAS"),
  IF(All[[#This Row],[Exam/Def]]&lt;35, "FSB",
    IF(All[[#This Row],[Final]]&lt;50,"FAL",
    IF(All[[#This Row],[Final]]&gt;=50,"PAS",
  "Error!")))))</f>
        <v/>
      </c>
      <c r="N60" s="18">
        <f>IF(All[[#This Row],[Student]], _xlfn.IFNA(INDEX(captured[Course Mark],MATCH(All[[#This Row],[Student No.]],captured[ID_TEXT],0) &amp; ""), "Cannot find student!"),"No student!")</f>
        <v>19</v>
      </c>
      <c r="O60" s="189" t="str">
        <f>IF(All[[#This Row],[Student]], _xlfn.IFNA(INDEX(captured[Grade],MATCH(All[[#This Row],[Student No.]],captured[ID_TEXT],0)), "Cannot find student!") &amp; "","No student!")</f>
        <v>FSB</v>
      </c>
      <c r="P60"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60" s="18" t="str">
        <f>IF(All[[#This Row],[My Grade]]&lt;&gt;"",IF(All[[#This Row],[My Grade]]&lt;&gt;All[[#This Row],[Cap Grade]],TRUE,FALSE),"")</f>
        <v/>
      </c>
      <c r="R60" s="18" t="b">
        <f>IF(NOT(ISBLANK(All[[#This Row],[Student No.]])),OR(ISNUMBER(FIND("FSB",All[[#This Row],[My Grade]])),ISNUMBER(FIND("PAS", All[[#This Row],[My Grade]])),ISNUMBER(FIND("FAL",All[[#This Row],[My Grade]])),ISNUMBER(FIND("FAB", All[[#This Row],[My Grade]])),COUNTBLANK(All[[#This Row],[My Grade]])=1),FALSE)</f>
        <v>1</v>
      </c>
      <c r="S60" s="18" t="b">
        <f>IF(All[[#This Row],[Student No.]]&lt;&gt;"", TRUE, FALSE)</f>
        <v>1</v>
      </c>
      <c r="T60" s="18" t="b">
        <f>IF(COUNTBLANK(All[[#This Row],[Engagement]:[Exam/Def]])=0,TRUE, FALSE)</f>
        <v>0</v>
      </c>
      <c r="U60" s="18" t="b">
        <f>IF(ISNUMBER(All[[#This Row],[Test]]),TRUE,FALSE)</f>
        <v>0</v>
      </c>
      <c r="V60" s="18" t="e">
        <f>IF((INDEX(Test[Total (%)],MATCH(All[[#This Row],[Student No.]],Test[Student No.],0)))="ABS", TRUE, FALSE)</f>
        <v>#N/A</v>
      </c>
      <c r="W60" s="18" t="b">
        <f>IF(ISNUMBER(INDEX(Exam[Total (%)],MATCH(All[[#This Row],[Student No.]],Exam[Student No.],0))), TRUE, FALSE)</f>
        <v>1</v>
      </c>
      <c r="X60" s="18" t="b">
        <f>IF(ISNUMBER(INDEX(#REF!,MATCH(All[[#This Row],[Student No.]],#REF!,0))),TRUE,FALSE)</f>
        <v>0</v>
      </c>
      <c r="Y60" s="18" t="b">
        <f>IF(ISNUMBER(INDEX(#REF!,MATCH(All[[#This Row],[Student No.]],#REF!,0))),TRUE,FALSE)</f>
        <v>0</v>
      </c>
      <c r="Z60" s="18" t="b">
        <f>IF(All[[#This Row],[Wrote Def]],
IF(INDEX(#REF!, MATCH(All[[#This Row],[Student No.]],#REF!,0))&lt;&gt;All[[#This Row],[Exam/Def]], TRUE, FALSE),
  IF(All[[#This Row],[Wrote Exam]], IF(INDEX(Exam[Total (%)], MATCH(All[[#This Row],[Student No.]],Exam[Student No.],0))&lt;&gt;All[[#This Row],[Exam/Def]],TRUE,FALSE), FALSE))</f>
        <v>0</v>
      </c>
      <c r="AA60" s="18" t="b">
        <f xml:space="preserve">    IF(AND(All[[#This Row],[Exam/Def]]&lt;35,OR(All[[#This Row],[Wrote Exam]],All[[#This Row],[Wrote Def]])), TRUE,FALSE)</f>
        <v>1</v>
      </c>
      <c r="AB60" s="18" t="b">
        <f>IF(AND(All[[#This Row],[Exam &lt; 35%]],All[[#This Row],[Final]]&gt;=50),TRUE,FALSE)</f>
        <v>1</v>
      </c>
      <c r="AC60" s="18"/>
    </row>
    <row r="61" spans="1:29" ht="43.2">
      <c r="A61" s="17" t="s">
        <v>326</v>
      </c>
      <c r="B61" s="17" t="s">
        <v>502</v>
      </c>
      <c r="C61" s="100" t="e">
        <f>IF(All[[#This Row],[Student]],
  IF(ISNA(INDEX(#REF!,MATCH(All[[#This Row],[Student No.]],#REF!,0))),
    "Cannot find student!",
    IF(INDEX(#REF!,MATCH(All[[#This Row],[Student No.]],#REF!,0))="",
      "",
      INDEX(#REF!,MATCH(All[[#This Row],[Student No.]],#REF!,0)))
    ),
  "No student!")</f>
        <v>#REF!</v>
      </c>
      <c r="D61"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61" s="18" t="str">
        <f>IF(All[[#This Row],[Student]],
  IF(ISNA(INDEX(Project[Total (%)],MATCH(All[[#This Row],[Student No.]],Project[Student No.],0))),
    "Cannot find student!",
    IF(INDEX(Project[Total (%)],MATCH(All[[#This Row],[Student No.]],Project[Student No.],0))="",
      "",
      INDEX(Project[Total (%)],MATCH(All[[#This Row],[Student No.]],Project[Student No.],0)))
    ),
  "No student!")</f>
        <v/>
      </c>
      <c r="F61" s="201">
        <f>IF(All[[#This Row],[Wrote Def]], INDEX(#REF!, MATCH(All[[#This Row],[Student No.]],#REF!,0)),
  IF(All[[#This Row],[Wrote Exam]], INDEX(Exam[Total (%)], MATCH(All[[#This Row],[Student No.]], Exam[Student No.],0)),
    ""))</f>
        <v>26</v>
      </c>
      <c r="G61" s="18" t="str">
        <f>IF(AND(All[[#This Row],[Student]], All[[#This Row],[All Components]]),
    IF(NOT(All[Has Test Mark]),ROUND((All[[#This Row],[Engagement]]*$C$5+All[[#This Row],[Project]]*$E$5+All[[#This Row],[Exam/Def]]*$F$5)/($C$5+$E$5+$F$5),0),
      ROUND((All[[#This Row],[Engagement]]*$C$5+All[[#This Row],[Test]]*$D$5+All[[#This Row],[Project]]*$E$5+All[[#This Row],[Exam/Def]]*$F$5)/($C$5+$D$5+$E$5+$F$5),0)
  ),
  "")</f>
        <v/>
      </c>
      <c r="H61" s="18" t="str">
        <f>All[[#This Row],[Course Mark]]</f>
        <v/>
      </c>
      <c r="I61" s="18" t="str">
        <f>IF(All[[#This Row],[Wrote Sup]], INDEX(#REF!,MATCH(All[[#This Row],[Student No.]],#REF!,0)), "")</f>
        <v/>
      </c>
      <c r="J61" s="18" t="str">
        <f>IF(AND(All[[#This Row],[Student]],ISNUMBER(All[[#This Row],[Final]])),_xlfn.RANK.EQ(All[[#This Row],[Final]],All[Final]),"")</f>
        <v/>
      </c>
      <c r="K61" s="31"/>
      <c r="L61" s="18" t="str">
        <f>IF(All[[#This Row],[Student]], IF(All[Wrote Sup],All[Sup],All[[#This Row],[Final]]),"No student")</f>
        <v/>
      </c>
      <c r="M61" s="18" t="str">
        <f>IF(All[[#This Row],[Final]]="","",
  IF(All[[#This Row],[Wrote Sup]],
    IF(All[[#This Row],[Sup]]&lt;50,"FAL","PAS"),
  IF(All[[#This Row],[Exam/Def]]&lt;35, "FSB",
    IF(All[[#This Row],[Final]]&lt;50,"FAL",
    IF(All[[#This Row],[Final]]&gt;=50,"PAS",
  "Error!")))))</f>
        <v/>
      </c>
      <c r="N61" s="18">
        <f>IF(All[[#This Row],[Student]], _xlfn.IFNA(INDEX(captured[Course Mark],MATCH(All[[#This Row],[Student No.]],captured[ID_TEXT],0) &amp; ""), "Cannot find student!"),"No student!")</f>
        <v>23</v>
      </c>
      <c r="O61" s="189" t="str">
        <f>IF(All[[#This Row],[Student]], _xlfn.IFNA(INDEX(captured[Grade],MATCH(All[[#This Row],[Student No.]],captured[ID_TEXT],0)), "Cannot find student!") &amp; "","No student!")</f>
        <v>FSB</v>
      </c>
      <c r="P61"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61" s="18" t="str">
        <f>IF(All[[#This Row],[My Grade]]&lt;&gt;"",IF(All[[#This Row],[My Grade]]&lt;&gt;All[[#This Row],[Cap Grade]],TRUE,FALSE),"")</f>
        <v/>
      </c>
      <c r="R61" s="18" t="b">
        <f>IF(NOT(ISBLANK(All[[#This Row],[Student No.]])),OR(ISNUMBER(FIND("FSB",All[[#This Row],[My Grade]])),ISNUMBER(FIND("PAS", All[[#This Row],[My Grade]])),ISNUMBER(FIND("FAL",All[[#This Row],[My Grade]])),ISNUMBER(FIND("FAB", All[[#This Row],[My Grade]])),COUNTBLANK(All[[#This Row],[My Grade]])=1),FALSE)</f>
        <v>1</v>
      </c>
      <c r="S61" s="18" t="b">
        <f>IF(All[[#This Row],[Student No.]]&lt;&gt;"", TRUE, FALSE)</f>
        <v>1</v>
      </c>
      <c r="T61" s="18" t="b">
        <f>IF(COUNTBLANK(All[[#This Row],[Engagement]:[Exam/Def]])=0,TRUE, FALSE)</f>
        <v>0</v>
      </c>
      <c r="U61" s="18" t="b">
        <f>IF(ISNUMBER(All[[#This Row],[Test]]),TRUE,FALSE)</f>
        <v>0</v>
      </c>
      <c r="V61" s="18" t="e">
        <f>IF((INDEX(Test[Total (%)],MATCH(All[[#This Row],[Student No.]],Test[Student No.],0)))="ABS", TRUE, FALSE)</f>
        <v>#N/A</v>
      </c>
      <c r="W61" s="18" t="b">
        <f>IF(ISNUMBER(INDEX(Exam[Total (%)],MATCH(All[[#This Row],[Student No.]],Exam[Student No.],0))), TRUE, FALSE)</f>
        <v>1</v>
      </c>
      <c r="X61" s="18" t="b">
        <f>IF(ISNUMBER(INDEX(#REF!,MATCH(All[[#This Row],[Student No.]],#REF!,0))),TRUE,FALSE)</f>
        <v>0</v>
      </c>
      <c r="Y61" s="18" t="b">
        <f>IF(ISNUMBER(INDEX(#REF!,MATCH(All[[#This Row],[Student No.]],#REF!,0))),TRUE,FALSE)</f>
        <v>0</v>
      </c>
      <c r="Z61" s="18" t="b">
        <f>IF(All[[#This Row],[Wrote Def]],
IF(INDEX(#REF!, MATCH(All[[#This Row],[Student No.]],#REF!,0))&lt;&gt;All[[#This Row],[Exam/Def]], TRUE, FALSE),
  IF(All[[#This Row],[Wrote Exam]], IF(INDEX(Exam[Total (%)], MATCH(All[[#This Row],[Student No.]],Exam[Student No.],0))&lt;&gt;All[[#This Row],[Exam/Def]],TRUE,FALSE), FALSE))</f>
        <v>0</v>
      </c>
      <c r="AA61" s="18" t="b">
        <f xml:space="preserve">    IF(AND(All[[#This Row],[Exam/Def]]&lt;35,OR(All[[#This Row],[Wrote Exam]],All[[#This Row],[Wrote Def]])), TRUE,FALSE)</f>
        <v>1</v>
      </c>
      <c r="AB61" s="18" t="b">
        <f>IF(AND(All[[#This Row],[Exam &lt; 35%]],All[[#This Row],[Final]]&gt;=50),TRUE,FALSE)</f>
        <v>1</v>
      </c>
      <c r="AC61" s="18"/>
    </row>
    <row r="62" spans="1:29">
      <c r="A62" s="17" t="s">
        <v>327</v>
      </c>
      <c r="B62" s="17" t="s">
        <v>503</v>
      </c>
      <c r="C62" s="100" t="e">
        <f>IF(All[[#This Row],[Student]],
  IF(ISNA(INDEX(#REF!,MATCH(All[[#This Row],[Student No.]],#REF!,0))),
    "Cannot find student!",
    IF(INDEX(#REF!,MATCH(All[[#This Row],[Student No.]],#REF!,0))="",
      "",
      INDEX(#REF!,MATCH(All[[#This Row],[Student No.]],#REF!,0)))
    ),
  "No student!")</f>
        <v>#REF!</v>
      </c>
      <c r="D62"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62" s="18" t="str">
        <f>IF(All[[#This Row],[Student]],
  IF(ISNA(INDEX(Project[Total (%)],MATCH(All[[#This Row],[Student No.]],Project[Student No.],0))),
    "Cannot find student!",
    IF(INDEX(Project[Total (%)],MATCH(All[[#This Row],[Student No.]],Project[Student No.],0))="",
      "",
      INDEX(Project[Total (%)],MATCH(All[[#This Row],[Student No.]],Project[Student No.],0)))
    ),
  "No student!")</f>
        <v/>
      </c>
      <c r="F62" s="201">
        <f>IF(All[[#This Row],[Wrote Def]], INDEX(#REF!, MATCH(All[[#This Row],[Student No.]],#REF!,0)),
  IF(All[[#This Row],[Wrote Exam]], INDEX(Exam[Total (%)], MATCH(All[[#This Row],[Student No.]], Exam[Student No.],0)),
    ""))</f>
        <v>14</v>
      </c>
      <c r="G62" s="18" t="str">
        <f>IF(AND(All[[#This Row],[Student]], All[[#This Row],[All Components]]),
    IF(NOT(All[Has Test Mark]),ROUND((All[[#This Row],[Engagement]]*$C$5+All[[#This Row],[Project]]*$E$5+All[[#This Row],[Exam/Def]]*$F$5)/($C$5+$E$5+$F$5),0),
      ROUND((All[[#This Row],[Engagement]]*$C$5+All[[#This Row],[Test]]*$D$5+All[[#This Row],[Project]]*$E$5+All[[#This Row],[Exam/Def]]*$F$5)/($C$5+$D$5+$E$5+$F$5),0)
  ),
  "")</f>
        <v/>
      </c>
      <c r="H62" s="18" t="str">
        <f>All[[#This Row],[Course Mark]]</f>
        <v/>
      </c>
      <c r="I62" s="18" t="str">
        <f>IF(All[[#This Row],[Wrote Sup]], INDEX(#REF!,MATCH(All[[#This Row],[Student No.]],#REF!,0)), "")</f>
        <v/>
      </c>
      <c r="J62" s="18" t="str">
        <f>IF(AND(All[[#This Row],[Student]],ISNUMBER(All[[#This Row],[Final]])),_xlfn.RANK.EQ(All[[#This Row],[Final]],All[Final]),"")</f>
        <v/>
      </c>
      <c r="K62" s="31"/>
      <c r="L62" s="18" t="str">
        <f>IF(All[[#This Row],[Student]], IF(All[Wrote Sup],All[Sup],All[[#This Row],[Final]]),"No student")</f>
        <v/>
      </c>
      <c r="M62" s="18" t="str">
        <f>IF(All[[#This Row],[Final]]="","",
  IF(All[[#This Row],[Wrote Sup]],
    IF(All[[#This Row],[Sup]]&lt;50,"FAL","PAS"),
  IF(All[[#This Row],[Exam/Def]]&lt;35, "FSB",
    IF(All[[#This Row],[Final]]&lt;50,"FAL",
    IF(All[[#This Row],[Final]]&gt;=50,"PAS",
  "Error!")))))</f>
        <v/>
      </c>
      <c r="N62" s="18">
        <f>IF(All[[#This Row],[Student]], _xlfn.IFNA(INDEX(captured[Course Mark],MATCH(All[[#This Row],[Student No.]],captured[ID_TEXT],0) &amp; ""), "Cannot find student!"),"No student!")</f>
        <v>23</v>
      </c>
      <c r="O62" s="189" t="str">
        <f>IF(All[[#This Row],[Student]], _xlfn.IFNA(INDEX(captured[Grade],MATCH(All[[#This Row],[Student No.]],captured[ID_TEXT],0)), "Cannot find student!") &amp; "","No student!")</f>
        <v>FSB</v>
      </c>
      <c r="P62"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62" s="18" t="str">
        <f>IF(All[[#This Row],[My Grade]]&lt;&gt;"",IF(All[[#This Row],[My Grade]]&lt;&gt;All[[#This Row],[Cap Grade]],TRUE,FALSE),"")</f>
        <v/>
      </c>
      <c r="R62" s="18" t="b">
        <f>IF(NOT(ISBLANK(All[[#This Row],[Student No.]])),OR(ISNUMBER(FIND("FSB",All[[#This Row],[My Grade]])),ISNUMBER(FIND("PAS", All[[#This Row],[My Grade]])),ISNUMBER(FIND("FAL",All[[#This Row],[My Grade]])),ISNUMBER(FIND("FAB", All[[#This Row],[My Grade]])),COUNTBLANK(All[[#This Row],[My Grade]])=1),FALSE)</f>
        <v>1</v>
      </c>
      <c r="S62" s="18" t="b">
        <f>IF(All[[#This Row],[Student No.]]&lt;&gt;"", TRUE, FALSE)</f>
        <v>1</v>
      </c>
      <c r="T62" s="18" t="b">
        <f>IF(COUNTBLANK(All[[#This Row],[Engagement]:[Exam/Def]])=0,TRUE, FALSE)</f>
        <v>0</v>
      </c>
      <c r="U62" s="18" t="b">
        <f>IF(ISNUMBER(All[[#This Row],[Test]]),TRUE,FALSE)</f>
        <v>0</v>
      </c>
      <c r="V62" s="18" t="b">
        <f>IF((INDEX(Test[Total (%)],MATCH(All[[#This Row],[Student No.]],Test[Student No.],0)))="ABS", TRUE, FALSE)</f>
        <v>0</v>
      </c>
      <c r="W62" s="18" t="b">
        <f>IF(ISNUMBER(INDEX(Exam[Total (%)],MATCH(All[[#This Row],[Student No.]],Exam[Student No.],0))), TRUE, FALSE)</f>
        <v>1</v>
      </c>
      <c r="X62" s="18" t="b">
        <f>IF(ISNUMBER(INDEX(#REF!,MATCH(All[[#This Row],[Student No.]],#REF!,0))),TRUE,FALSE)</f>
        <v>0</v>
      </c>
      <c r="Y62" s="18" t="b">
        <f>IF(ISNUMBER(INDEX(#REF!,MATCH(All[[#This Row],[Student No.]],#REF!,0))),TRUE,FALSE)</f>
        <v>0</v>
      </c>
      <c r="Z62" s="18" t="b">
        <f>IF(All[[#This Row],[Wrote Def]],
IF(INDEX(#REF!, MATCH(All[[#This Row],[Student No.]],#REF!,0))&lt;&gt;All[[#This Row],[Exam/Def]], TRUE, FALSE),
  IF(All[[#This Row],[Wrote Exam]], IF(INDEX(Exam[Total (%)], MATCH(All[[#This Row],[Student No.]],Exam[Student No.],0))&lt;&gt;All[[#This Row],[Exam/Def]],TRUE,FALSE), FALSE))</f>
        <v>0</v>
      </c>
      <c r="AA62" s="18" t="b">
        <f xml:space="preserve">    IF(AND(All[[#This Row],[Exam/Def]]&lt;35,OR(All[[#This Row],[Wrote Exam]],All[[#This Row],[Wrote Def]])), TRUE,FALSE)</f>
        <v>1</v>
      </c>
      <c r="AB62" s="18" t="b">
        <f>IF(AND(All[[#This Row],[Exam &lt; 35%]],All[[#This Row],[Final]]&gt;=50),TRUE,FALSE)</f>
        <v>1</v>
      </c>
      <c r="AC62" s="18"/>
    </row>
    <row r="63" spans="1:29" ht="43.2">
      <c r="A63" s="17" t="s">
        <v>328</v>
      </c>
      <c r="B63" s="17" t="s">
        <v>504</v>
      </c>
      <c r="C63" s="100" t="e">
        <f>IF(All[[#This Row],[Student]],
  IF(ISNA(INDEX(#REF!,MATCH(All[[#This Row],[Student No.]],#REF!,0))),
    "Cannot find student!",
    IF(INDEX(#REF!,MATCH(All[[#This Row],[Student No.]],#REF!,0))="",
      "",
      INDEX(#REF!,MATCH(All[[#This Row],[Student No.]],#REF!,0)))
    ),
  "No student!")</f>
        <v>#REF!</v>
      </c>
      <c r="D63"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63" s="18" t="str">
        <f>IF(All[[#This Row],[Student]],
  IF(ISNA(INDEX(Project[Total (%)],MATCH(All[[#This Row],[Student No.]],Project[Student No.],0))),
    "Cannot find student!",
    IF(INDEX(Project[Total (%)],MATCH(All[[#This Row],[Student No.]],Project[Student No.],0))="",
      "",
      INDEX(Project[Total (%)],MATCH(All[[#This Row],[Student No.]],Project[Student No.],0)))
    ),
  "No student!")</f>
        <v/>
      </c>
      <c r="F63" s="201">
        <f>IF(All[[#This Row],[Wrote Def]], INDEX(#REF!, MATCH(All[[#This Row],[Student No.]],#REF!,0)),
  IF(All[[#This Row],[Wrote Exam]], INDEX(Exam[Total (%)], MATCH(All[[#This Row],[Student No.]], Exam[Student No.],0)),
    ""))</f>
        <v>29</v>
      </c>
      <c r="G63" s="18" t="str">
        <f>IF(AND(All[[#This Row],[Student]], All[[#This Row],[All Components]]),
    IF(NOT(All[Has Test Mark]),ROUND((All[[#This Row],[Engagement]]*$C$5+All[[#This Row],[Project]]*$E$5+All[[#This Row],[Exam/Def]]*$F$5)/($C$5+$E$5+$F$5),0),
      ROUND((All[[#This Row],[Engagement]]*$C$5+All[[#This Row],[Test]]*$D$5+All[[#This Row],[Project]]*$E$5+All[[#This Row],[Exam/Def]]*$F$5)/($C$5+$D$5+$E$5+$F$5),0)
  ),
  "")</f>
        <v/>
      </c>
      <c r="H63" s="18" t="str">
        <f>All[[#This Row],[Course Mark]]</f>
        <v/>
      </c>
      <c r="I63" s="18" t="str">
        <f>IF(All[[#This Row],[Wrote Sup]], INDEX(#REF!,MATCH(All[[#This Row],[Student No.]],#REF!,0)), "")</f>
        <v/>
      </c>
      <c r="J63" s="18" t="str">
        <f>IF(AND(All[[#This Row],[Student]],ISNUMBER(All[[#This Row],[Final]])),_xlfn.RANK.EQ(All[[#This Row],[Final]],All[Final]),"")</f>
        <v/>
      </c>
      <c r="K63" s="31"/>
      <c r="L63" s="18" t="str">
        <f>IF(All[[#This Row],[Student]], IF(All[Wrote Sup],All[Sup],All[[#This Row],[Final]]),"No student")</f>
        <v/>
      </c>
      <c r="M63" s="18" t="str">
        <f>IF(All[[#This Row],[Final]]="","",
  IF(All[[#This Row],[Wrote Sup]],
    IF(All[[#This Row],[Sup]]&lt;50,"FAL","PAS"),
  IF(All[[#This Row],[Exam/Def]]&lt;35, "FSB",
    IF(All[[#This Row],[Final]]&lt;50,"FAL",
    IF(All[[#This Row],[Final]]&gt;=50,"PAS",
  "Error!")))))</f>
        <v/>
      </c>
      <c r="N63" s="18">
        <f>IF(All[[#This Row],[Student]], _xlfn.IFNA(INDEX(captured[Course Mark],MATCH(All[[#This Row],[Student No.]],captured[ID_TEXT],0) &amp; ""), "Cannot find student!"),"No student!")</f>
        <v>41</v>
      </c>
      <c r="O63" s="189" t="str">
        <f>IF(All[[#This Row],[Student]], _xlfn.IFNA(INDEX(captured[Grade],MATCH(All[[#This Row],[Student No.]],captured[ID_TEXT],0)), "Cannot find student!") &amp; "","No student!")</f>
        <v>FSB</v>
      </c>
      <c r="P63"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63" s="18" t="str">
        <f>IF(All[[#This Row],[My Grade]]&lt;&gt;"",IF(All[[#This Row],[My Grade]]&lt;&gt;All[[#This Row],[Cap Grade]],TRUE,FALSE),"")</f>
        <v/>
      </c>
      <c r="R63" s="18" t="b">
        <f>IF(NOT(ISBLANK(All[[#This Row],[Student No.]])),OR(ISNUMBER(FIND("FSB",All[[#This Row],[My Grade]])),ISNUMBER(FIND("PAS", All[[#This Row],[My Grade]])),ISNUMBER(FIND("FAL",All[[#This Row],[My Grade]])),ISNUMBER(FIND("FAB", All[[#This Row],[My Grade]])),COUNTBLANK(All[[#This Row],[My Grade]])=1),FALSE)</f>
        <v>1</v>
      </c>
      <c r="S63" s="18" t="b">
        <f>IF(All[[#This Row],[Student No.]]&lt;&gt;"", TRUE, FALSE)</f>
        <v>1</v>
      </c>
      <c r="T63" s="18" t="b">
        <f>IF(COUNTBLANK(All[[#This Row],[Engagement]:[Exam/Def]])=0,TRUE, FALSE)</f>
        <v>0</v>
      </c>
      <c r="U63" s="18" t="b">
        <f>IF(ISNUMBER(All[[#This Row],[Test]]),TRUE,FALSE)</f>
        <v>0</v>
      </c>
      <c r="V63" s="18" t="e">
        <f>IF((INDEX(Test[Total (%)],MATCH(All[[#This Row],[Student No.]],Test[Student No.],0)))="ABS", TRUE, FALSE)</f>
        <v>#N/A</v>
      </c>
      <c r="W63" s="18" t="b">
        <f>IF(ISNUMBER(INDEX(Exam[Total (%)],MATCH(All[[#This Row],[Student No.]],Exam[Student No.],0))), TRUE, FALSE)</f>
        <v>1</v>
      </c>
      <c r="X63" s="18" t="b">
        <f>IF(ISNUMBER(INDEX(#REF!,MATCH(All[[#This Row],[Student No.]],#REF!,0))),TRUE,FALSE)</f>
        <v>0</v>
      </c>
      <c r="Y63" s="18" t="b">
        <f>IF(ISNUMBER(INDEX(#REF!,MATCH(All[[#This Row],[Student No.]],#REF!,0))),TRUE,FALSE)</f>
        <v>0</v>
      </c>
      <c r="Z63" s="18" t="b">
        <f>IF(All[[#This Row],[Wrote Def]],
IF(INDEX(#REF!, MATCH(All[[#This Row],[Student No.]],#REF!,0))&lt;&gt;All[[#This Row],[Exam/Def]], TRUE, FALSE),
  IF(All[[#This Row],[Wrote Exam]], IF(INDEX(Exam[Total (%)], MATCH(All[[#This Row],[Student No.]],Exam[Student No.],0))&lt;&gt;All[[#This Row],[Exam/Def]],TRUE,FALSE), FALSE))</f>
        <v>0</v>
      </c>
      <c r="AA63" s="18" t="b">
        <f xml:space="preserve">    IF(AND(All[[#This Row],[Exam/Def]]&lt;35,OR(All[[#This Row],[Wrote Exam]],All[[#This Row],[Wrote Def]])), TRUE,FALSE)</f>
        <v>1</v>
      </c>
      <c r="AB63" s="18" t="b">
        <f>IF(AND(All[[#This Row],[Exam &lt; 35%]],All[[#This Row],[Final]]&gt;=50),TRUE,FALSE)</f>
        <v>1</v>
      </c>
      <c r="AC63" s="18"/>
    </row>
    <row r="64" spans="1:29">
      <c r="A64" s="17" t="s">
        <v>330</v>
      </c>
      <c r="B64" s="17" t="s">
        <v>505</v>
      </c>
      <c r="C64" s="100" t="e">
        <f>IF(All[[#This Row],[Student]],
  IF(ISNA(INDEX(#REF!,MATCH(All[[#This Row],[Student No.]],#REF!,0))),
    "Cannot find student!",
    IF(INDEX(#REF!,MATCH(All[[#This Row],[Student No.]],#REF!,0))="",
      "",
      INDEX(#REF!,MATCH(All[[#This Row],[Student No.]],#REF!,0)))
    ),
  "No student!")</f>
        <v>#REF!</v>
      </c>
      <c r="D64"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64" s="18" t="str">
        <f>IF(All[[#This Row],[Student]],
  IF(ISNA(INDEX(Project[Total (%)],MATCH(All[[#This Row],[Student No.]],Project[Student No.],0))),
    "Cannot find student!",
    IF(INDEX(Project[Total (%)],MATCH(All[[#This Row],[Student No.]],Project[Student No.],0))="",
      "",
      INDEX(Project[Total (%)],MATCH(All[[#This Row],[Student No.]],Project[Student No.],0)))
    ),
  "No student!")</f>
        <v/>
      </c>
      <c r="F64" s="201">
        <f>IF(All[[#This Row],[Wrote Def]], INDEX(#REF!, MATCH(All[[#This Row],[Student No.]],#REF!,0)),
  IF(All[[#This Row],[Wrote Exam]], INDEX(Exam[Total (%)], MATCH(All[[#This Row],[Student No.]], Exam[Student No.],0)),
    ""))</f>
        <v>20</v>
      </c>
      <c r="G64" s="18" t="str">
        <f>IF(AND(All[[#This Row],[Student]], All[[#This Row],[All Components]]),
    IF(NOT(All[Has Test Mark]),ROUND((All[[#This Row],[Engagement]]*$C$5+All[[#This Row],[Project]]*$E$5+All[[#This Row],[Exam/Def]]*$F$5)/($C$5+$E$5+$F$5),0),
      ROUND((All[[#This Row],[Engagement]]*$C$5+All[[#This Row],[Test]]*$D$5+All[[#This Row],[Project]]*$E$5+All[[#This Row],[Exam/Def]]*$F$5)/($C$5+$D$5+$E$5+$F$5),0)
  ),
  "")</f>
        <v/>
      </c>
      <c r="H64" s="18" t="str">
        <f>All[[#This Row],[Course Mark]]</f>
        <v/>
      </c>
      <c r="I64" s="18" t="str">
        <f>IF(All[[#This Row],[Wrote Sup]], INDEX(#REF!,MATCH(All[[#This Row],[Student No.]],#REF!,0)), "")</f>
        <v/>
      </c>
      <c r="J64" s="18" t="str">
        <f>IF(AND(All[[#This Row],[Student]],ISNUMBER(All[[#This Row],[Final]])),_xlfn.RANK.EQ(All[[#This Row],[Final]],All[Final]),"")</f>
        <v/>
      </c>
      <c r="K64" s="31"/>
      <c r="L64" s="18" t="str">
        <f>IF(All[[#This Row],[Student]], IF(All[Wrote Sup],All[Sup],All[[#This Row],[Final]]),"No student")</f>
        <v/>
      </c>
      <c r="M64" s="18" t="str">
        <f>IF(All[[#This Row],[Final]]="","",
  IF(All[[#This Row],[Wrote Sup]],
    IF(All[[#This Row],[Sup]]&lt;50,"FAL","PAS"),
  IF(All[[#This Row],[Exam/Def]]&lt;35, "FSB",
    IF(All[[#This Row],[Final]]&lt;50,"FAL",
    IF(All[[#This Row],[Final]]&gt;=50,"PAS",
  "Error!")))))</f>
        <v/>
      </c>
      <c r="N64" s="18">
        <f>IF(All[[#This Row],[Student]], _xlfn.IFNA(INDEX(captured[Course Mark],MATCH(All[[#This Row],[Student No.]],captured[ID_TEXT],0) &amp; ""), "Cannot find student!"),"No student!")</f>
        <v>35</v>
      </c>
      <c r="O64" s="189" t="str">
        <f>IF(All[[#This Row],[Student]], _xlfn.IFNA(INDEX(captured[Grade],MATCH(All[[#This Row],[Student No.]],captured[ID_TEXT],0)), "Cannot find student!") &amp; "","No student!")</f>
        <v>FSB</v>
      </c>
      <c r="P64"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64" s="18" t="str">
        <f>IF(All[[#This Row],[My Grade]]&lt;&gt;"",IF(All[[#This Row],[My Grade]]&lt;&gt;All[[#This Row],[Cap Grade]],TRUE,FALSE),"")</f>
        <v/>
      </c>
      <c r="R64" s="18" t="b">
        <f>IF(NOT(ISBLANK(All[[#This Row],[Student No.]])),OR(ISNUMBER(FIND("FSB",All[[#This Row],[My Grade]])),ISNUMBER(FIND("PAS", All[[#This Row],[My Grade]])),ISNUMBER(FIND("FAL",All[[#This Row],[My Grade]])),ISNUMBER(FIND("FAB", All[[#This Row],[My Grade]])),COUNTBLANK(All[[#This Row],[My Grade]])=1),FALSE)</f>
        <v>1</v>
      </c>
      <c r="S64" s="18" t="b">
        <f>IF(All[[#This Row],[Student No.]]&lt;&gt;"", TRUE, FALSE)</f>
        <v>1</v>
      </c>
      <c r="T64" s="18" t="b">
        <f>IF(COUNTBLANK(All[[#This Row],[Engagement]:[Exam/Def]])=0,TRUE, FALSE)</f>
        <v>0</v>
      </c>
      <c r="U64" s="18" t="b">
        <f>IF(ISNUMBER(All[[#This Row],[Test]]),TRUE,FALSE)</f>
        <v>0</v>
      </c>
      <c r="V64" s="18" t="b">
        <f>IF((INDEX(Test[Total (%)],MATCH(All[[#This Row],[Student No.]],Test[Student No.],0)))="ABS", TRUE, FALSE)</f>
        <v>0</v>
      </c>
      <c r="W64" s="18" t="b">
        <f>IF(ISNUMBER(INDEX(Exam[Total (%)],MATCH(All[[#This Row],[Student No.]],Exam[Student No.],0))), TRUE, FALSE)</f>
        <v>1</v>
      </c>
      <c r="X64" s="18" t="b">
        <f>IF(ISNUMBER(INDEX(#REF!,MATCH(All[[#This Row],[Student No.]],#REF!,0))),TRUE,FALSE)</f>
        <v>0</v>
      </c>
      <c r="Y64" s="18" t="b">
        <f>IF(ISNUMBER(INDEX(#REF!,MATCH(All[[#This Row],[Student No.]],#REF!,0))),TRUE,FALSE)</f>
        <v>0</v>
      </c>
      <c r="Z64" s="18" t="b">
        <f>IF(All[[#This Row],[Wrote Def]],
IF(INDEX(#REF!, MATCH(All[[#This Row],[Student No.]],#REF!,0))&lt;&gt;All[[#This Row],[Exam/Def]], TRUE, FALSE),
  IF(All[[#This Row],[Wrote Exam]], IF(INDEX(Exam[Total (%)], MATCH(All[[#This Row],[Student No.]],Exam[Student No.],0))&lt;&gt;All[[#This Row],[Exam/Def]],TRUE,FALSE), FALSE))</f>
        <v>0</v>
      </c>
      <c r="AA64" s="18" t="b">
        <f xml:space="preserve">    IF(AND(All[[#This Row],[Exam/Def]]&lt;35,OR(All[[#This Row],[Wrote Exam]],All[[#This Row],[Wrote Def]])), TRUE,FALSE)</f>
        <v>1</v>
      </c>
      <c r="AB64" s="18" t="b">
        <f>IF(AND(All[[#This Row],[Exam &lt; 35%]],All[[#This Row],[Final]]&gt;=50),TRUE,FALSE)</f>
        <v>1</v>
      </c>
      <c r="AC64" s="18"/>
    </row>
    <row r="65" spans="1:29" ht="43.2">
      <c r="A65" s="17" t="s">
        <v>331</v>
      </c>
      <c r="B65" s="17" t="s">
        <v>506</v>
      </c>
      <c r="C65" s="100" t="e">
        <f>IF(All[[#This Row],[Student]],
  IF(ISNA(INDEX(#REF!,MATCH(All[[#This Row],[Student No.]],#REF!,0))),
    "Cannot find student!",
    IF(INDEX(#REF!,MATCH(All[[#This Row],[Student No.]],#REF!,0))="",
      "",
      INDEX(#REF!,MATCH(All[[#This Row],[Student No.]],#REF!,0)))
    ),
  "No student!")</f>
        <v>#REF!</v>
      </c>
      <c r="D65"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65" s="18" t="str">
        <f>IF(All[[#This Row],[Student]],
  IF(ISNA(INDEX(Project[Total (%)],MATCH(All[[#This Row],[Student No.]],Project[Student No.],0))),
    "Cannot find student!",
    IF(INDEX(Project[Total (%)],MATCH(All[[#This Row],[Student No.]],Project[Student No.],0))="",
      "",
      INDEX(Project[Total (%)],MATCH(All[[#This Row],[Student No.]],Project[Student No.],0)))
    ),
  "No student!")</f>
        <v/>
      </c>
      <c r="F65" s="201">
        <f>IF(All[[#This Row],[Wrote Def]], INDEX(#REF!, MATCH(All[[#This Row],[Student No.]],#REF!,0)),
  IF(All[[#This Row],[Wrote Exam]], INDEX(Exam[Total (%)], MATCH(All[[#This Row],[Student No.]], Exam[Student No.],0)),
    ""))</f>
        <v>40</v>
      </c>
      <c r="G65" s="18" t="str">
        <f>IF(AND(All[[#This Row],[Student]], All[[#This Row],[All Components]]),
    IF(NOT(All[Has Test Mark]),ROUND((All[[#This Row],[Engagement]]*$C$5+All[[#This Row],[Project]]*$E$5+All[[#This Row],[Exam/Def]]*$F$5)/($C$5+$E$5+$F$5),0),
      ROUND((All[[#This Row],[Engagement]]*$C$5+All[[#This Row],[Test]]*$D$5+All[[#This Row],[Project]]*$E$5+All[[#This Row],[Exam/Def]]*$F$5)/($C$5+$D$5+$E$5+$F$5),0)
  ),
  "")</f>
        <v/>
      </c>
      <c r="H65" s="18" t="str">
        <f>All[[#This Row],[Course Mark]]</f>
        <v/>
      </c>
      <c r="I65" s="18" t="str">
        <f>IF(All[[#This Row],[Wrote Sup]], INDEX(#REF!,MATCH(All[[#This Row],[Student No.]],#REF!,0)), "")</f>
        <v/>
      </c>
      <c r="J65" s="18" t="str">
        <f>IF(AND(All[[#This Row],[Student]],ISNUMBER(All[[#This Row],[Final]])),_xlfn.RANK.EQ(All[[#This Row],[Final]],All[Final]),"")</f>
        <v/>
      </c>
      <c r="K65" s="31"/>
      <c r="L65" s="18" t="str">
        <f>IF(All[[#This Row],[Student]], IF(All[Wrote Sup],All[Sup],All[[#This Row],[Final]]),"No student")</f>
        <v/>
      </c>
      <c r="M65" s="18" t="str">
        <f>IF(All[[#This Row],[Final]]="","",
  IF(All[[#This Row],[Wrote Sup]],
    IF(All[[#This Row],[Sup]]&lt;50,"FAL","PAS"),
  IF(All[[#This Row],[Exam/Def]]&lt;35, "FSB",
    IF(All[[#This Row],[Final]]&lt;50,"FAL",
    IF(All[[#This Row],[Final]]&gt;=50,"PAS",
  "Error!")))))</f>
        <v/>
      </c>
      <c r="N65" s="18">
        <f>IF(All[[#This Row],[Student]], _xlfn.IFNA(INDEX(captured[Course Mark],MATCH(All[[#This Row],[Student No.]],captured[ID_TEXT],0) &amp; ""), "Cannot find student!"),"No student!")</f>
        <v>50</v>
      </c>
      <c r="O65" s="189" t="str">
        <f>IF(All[[#This Row],[Student]], _xlfn.IFNA(INDEX(captured[Grade],MATCH(All[[#This Row],[Student No.]],captured[ID_TEXT],0)), "Cannot find student!") &amp; "","No student!")</f>
        <v>PAS</v>
      </c>
      <c r="P65"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65" s="18" t="str">
        <f>IF(All[[#This Row],[My Grade]]&lt;&gt;"",IF(All[[#This Row],[My Grade]]&lt;&gt;All[[#This Row],[Cap Grade]],TRUE,FALSE),"")</f>
        <v/>
      </c>
      <c r="R65" s="18" t="b">
        <f>IF(NOT(ISBLANK(All[[#This Row],[Student No.]])),OR(ISNUMBER(FIND("FSB",All[[#This Row],[My Grade]])),ISNUMBER(FIND("PAS", All[[#This Row],[My Grade]])),ISNUMBER(FIND("FAL",All[[#This Row],[My Grade]])),ISNUMBER(FIND("FAB", All[[#This Row],[My Grade]])),COUNTBLANK(All[[#This Row],[My Grade]])=1),FALSE)</f>
        <v>1</v>
      </c>
      <c r="S65" s="18" t="b">
        <f>IF(All[[#This Row],[Student No.]]&lt;&gt;"", TRUE, FALSE)</f>
        <v>1</v>
      </c>
      <c r="T65" s="18" t="b">
        <f>IF(COUNTBLANK(All[[#This Row],[Engagement]:[Exam/Def]])=0,TRUE, FALSE)</f>
        <v>0</v>
      </c>
      <c r="U65" s="18" t="b">
        <f>IF(ISNUMBER(All[[#This Row],[Test]]),TRUE,FALSE)</f>
        <v>0</v>
      </c>
      <c r="V65" s="18" t="e">
        <f>IF((INDEX(Test[Total (%)],MATCH(All[[#This Row],[Student No.]],Test[Student No.],0)))="ABS", TRUE, FALSE)</f>
        <v>#N/A</v>
      </c>
      <c r="W65" s="18" t="b">
        <f>IF(ISNUMBER(INDEX(Exam[Total (%)],MATCH(All[[#This Row],[Student No.]],Exam[Student No.],0))), TRUE, FALSE)</f>
        <v>1</v>
      </c>
      <c r="X65" s="18" t="b">
        <f>IF(ISNUMBER(INDEX(#REF!,MATCH(All[[#This Row],[Student No.]],#REF!,0))),TRUE,FALSE)</f>
        <v>0</v>
      </c>
      <c r="Y65" s="18" t="b">
        <f>IF(ISNUMBER(INDEX(#REF!,MATCH(All[[#This Row],[Student No.]],#REF!,0))),TRUE,FALSE)</f>
        <v>0</v>
      </c>
      <c r="Z65" s="18" t="b">
        <f>IF(All[[#This Row],[Wrote Def]],
IF(INDEX(#REF!, MATCH(All[[#This Row],[Student No.]],#REF!,0))&lt;&gt;All[[#This Row],[Exam/Def]], TRUE, FALSE),
  IF(All[[#This Row],[Wrote Exam]], IF(INDEX(Exam[Total (%)], MATCH(All[[#This Row],[Student No.]],Exam[Student No.],0))&lt;&gt;All[[#This Row],[Exam/Def]],TRUE,FALSE), FALSE))</f>
        <v>0</v>
      </c>
      <c r="AA65" s="18" t="b">
        <f xml:space="preserve">    IF(AND(All[[#This Row],[Exam/Def]]&lt;35,OR(All[[#This Row],[Wrote Exam]],All[[#This Row],[Wrote Def]])), TRUE,FALSE)</f>
        <v>0</v>
      </c>
      <c r="AB65" s="18" t="b">
        <f>IF(AND(All[[#This Row],[Exam &lt; 35%]],All[[#This Row],[Final]]&gt;=50),TRUE,FALSE)</f>
        <v>0</v>
      </c>
      <c r="AC65" s="18"/>
    </row>
    <row r="66" spans="1:29">
      <c r="A66" s="17" t="s">
        <v>332</v>
      </c>
      <c r="B66" s="17" t="s">
        <v>507</v>
      </c>
      <c r="C66" s="100" t="e">
        <f>IF(All[[#This Row],[Student]],
  IF(ISNA(INDEX(#REF!,MATCH(All[[#This Row],[Student No.]],#REF!,0))),
    "Cannot find student!",
    IF(INDEX(#REF!,MATCH(All[[#This Row],[Student No.]],#REF!,0))="",
      "",
      INDEX(#REF!,MATCH(All[[#This Row],[Student No.]],#REF!,0)))
    ),
  "No student!")</f>
        <v>#REF!</v>
      </c>
      <c r="D66"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66" s="18" t="str">
        <f>IF(All[[#This Row],[Student]],
  IF(ISNA(INDEX(Project[Total (%)],MATCH(All[[#This Row],[Student No.]],Project[Student No.],0))),
    "Cannot find student!",
    IF(INDEX(Project[Total (%)],MATCH(All[[#This Row],[Student No.]],Project[Student No.],0))="",
      "",
      INDEX(Project[Total (%)],MATCH(All[[#This Row],[Student No.]],Project[Student No.],0)))
    ),
  "No student!")</f>
        <v/>
      </c>
      <c r="F66" s="201" t="str">
        <f>IF(All[[#This Row],[Wrote Def]], INDEX(#REF!, MATCH(All[[#This Row],[Student No.]],#REF!,0)),
  IF(All[[#This Row],[Wrote Exam]], INDEX(Exam[Total (%)], MATCH(All[[#This Row],[Student No.]], Exam[Student No.],0)),
    ""))</f>
        <v/>
      </c>
      <c r="G66" s="18" t="str">
        <f>IF(AND(All[[#This Row],[Student]], All[[#This Row],[All Components]]),
    IF(NOT(All[Has Test Mark]),ROUND((All[[#This Row],[Engagement]]*$C$5+All[[#This Row],[Project]]*$E$5+All[[#This Row],[Exam/Def]]*$F$5)/($C$5+$E$5+$F$5),0),
      ROUND((All[[#This Row],[Engagement]]*$C$5+All[[#This Row],[Test]]*$D$5+All[[#This Row],[Project]]*$E$5+All[[#This Row],[Exam/Def]]*$F$5)/($C$5+$D$5+$E$5+$F$5),0)
  ),
  "")</f>
        <v/>
      </c>
      <c r="H66" s="18" t="str">
        <f>All[[#This Row],[Course Mark]]</f>
        <v/>
      </c>
      <c r="I66" s="18" t="str">
        <f>IF(All[[#This Row],[Wrote Sup]], INDEX(#REF!,MATCH(All[[#This Row],[Student No.]],#REF!,0)), "")</f>
        <v/>
      </c>
      <c r="J66" s="18" t="str">
        <f>IF(AND(All[[#This Row],[Student]],ISNUMBER(All[[#This Row],[Final]])),_xlfn.RANK.EQ(All[[#This Row],[Final]],All[Final]),"")</f>
        <v/>
      </c>
      <c r="K66" s="31"/>
      <c r="L66" s="18" t="str">
        <f>IF(All[[#This Row],[Student]], IF(All[Wrote Sup],All[Sup],All[[#This Row],[Final]]),"No student")</f>
        <v/>
      </c>
      <c r="M66" s="18" t="str">
        <f>IF(All[[#This Row],[Final]]="","",
  IF(All[[#This Row],[Wrote Sup]],
    IF(All[[#This Row],[Sup]]&lt;50,"FAL","PAS"),
  IF(All[[#This Row],[Exam/Def]]&lt;35, "FSB",
    IF(All[[#This Row],[Final]]&lt;50,"FAL",
    IF(All[[#This Row],[Final]]&gt;=50,"PAS",
  "Error!")))))</f>
        <v/>
      </c>
      <c r="N66" s="18">
        <f>IF(All[[#This Row],[Student]], _xlfn.IFNA(INDEX(captured[Course Mark],MATCH(All[[#This Row],[Student No.]],captured[ID_TEXT],0) &amp; ""), "Cannot find student!"),"No student!")</f>
        <v>33</v>
      </c>
      <c r="O66" s="189" t="str">
        <f>IF(All[[#This Row],[Student]], _xlfn.IFNA(INDEX(captured[Grade],MATCH(All[[#This Row],[Student No.]],captured[ID_TEXT],0)), "Cannot find student!") &amp; "","No student!")</f>
        <v>FSB</v>
      </c>
      <c r="P66"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66" s="18" t="str">
        <f>IF(All[[#This Row],[My Grade]]&lt;&gt;"",IF(All[[#This Row],[My Grade]]&lt;&gt;All[[#This Row],[Cap Grade]],TRUE,FALSE),"")</f>
        <v/>
      </c>
      <c r="R66" s="18" t="b">
        <f>IF(NOT(ISBLANK(All[[#This Row],[Student No.]])),OR(ISNUMBER(FIND("FSB",All[[#This Row],[My Grade]])),ISNUMBER(FIND("PAS", All[[#This Row],[My Grade]])),ISNUMBER(FIND("FAL",All[[#This Row],[My Grade]])),ISNUMBER(FIND("FAB", All[[#This Row],[My Grade]])),COUNTBLANK(All[[#This Row],[My Grade]])=1),FALSE)</f>
        <v>1</v>
      </c>
      <c r="S66" s="18" t="b">
        <f>IF(All[[#This Row],[Student No.]]&lt;&gt;"", TRUE, FALSE)</f>
        <v>1</v>
      </c>
      <c r="T66" s="18" t="b">
        <f>IF(COUNTBLANK(All[[#This Row],[Engagement]:[Exam/Def]])=0,TRUE, FALSE)</f>
        <v>0</v>
      </c>
      <c r="U66" s="18" t="b">
        <f>IF(ISNUMBER(All[[#This Row],[Test]]),TRUE,FALSE)</f>
        <v>0</v>
      </c>
      <c r="V66" s="18" t="b">
        <f>IF((INDEX(Test[Total (%)],MATCH(All[[#This Row],[Student No.]],Test[Student No.],0)))="ABS", TRUE, FALSE)</f>
        <v>0</v>
      </c>
      <c r="W66" s="18" t="b">
        <f>IF(ISNUMBER(INDEX(Exam[Total (%)],MATCH(All[[#This Row],[Student No.]],Exam[Student No.],0))), TRUE, FALSE)</f>
        <v>0</v>
      </c>
      <c r="X66" s="18" t="b">
        <f>IF(ISNUMBER(INDEX(#REF!,MATCH(All[[#This Row],[Student No.]],#REF!,0))),TRUE,FALSE)</f>
        <v>0</v>
      </c>
      <c r="Y66" s="18" t="b">
        <f>IF(ISNUMBER(INDEX(#REF!,MATCH(All[[#This Row],[Student No.]],#REF!,0))),TRUE,FALSE)</f>
        <v>0</v>
      </c>
      <c r="Z66" s="18" t="b">
        <f>IF(All[[#This Row],[Wrote Def]],
IF(INDEX(#REF!, MATCH(All[[#This Row],[Student No.]],#REF!,0))&lt;&gt;All[[#This Row],[Exam/Def]], TRUE, FALSE),
  IF(All[[#This Row],[Wrote Exam]], IF(INDEX(Exam[Total (%)], MATCH(All[[#This Row],[Student No.]],Exam[Student No.],0))&lt;&gt;All[[#This Row],[Exam/Def]],TRUE,FALSE), FALSE))</f>
        <v>0</v>
      </c>
      <c r="AA66" s="18" t="b">
        <f xml:space="preserve">    IF(AND(All[[#This Row],[Exam/Def]]&lt;35,OR(All[[#This Row],[Wrote Exam]],All[[#This Row],[Wrote Def]])), TRUE,FALSE)</f>
        <v>0</v>
      </c>
      <c r="AB66" s="18" t="b">
        <f>IF(AND(All[[#This Row],[Exam &lt; 35%]],All[[#This Row],[Final]]&gt;=50),TRUE,FALSE)</f>
        <v>0</v>
      </c>
      <c r="AC66" s="18"/>
    </row>
    <row r="67" spans="1:29">
      <c r="A67" s="17" t="s">
        <v>333</v>
      </c>
      <c r="B67" s="17" t="s">
        <v>508</v>
      </c>
      <c r="C67" s="100" t="e">
        <f>IF(All[[#This Row],[Student]],
  IF(ISNA(INDEX(#REF!,MATCH(All[[#This Row],[Student No.]],#REF!,0))),
    "Cannot find student!",
    IF(INDEX(#REF!,MATCH(All[[#This Row],[Student No.]],#REF!,0))="",
      "",
      INDEX(#REF!,MATCH(All[[#This Row],[Student No.]],#REF!,0)))
    ),
  "No student!")</f>
        <v>#REF!</v>
      </c>
      <c r="D67"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67" s="18" t="str">
        <f>IF(All[[#This Row],[Student]],
  IF(ISNA(INDEX(Project[Total (%)],MATCH(All[[#This Row],[Student No.]],Project[Student No.],0))),
    "Cannot find student!",
    IF(INDEX(Project[Total (%)],MATCH(All[[#This Row],[Student No.]],Project[Student No.],0))="",
      "",
      INDEX(Project[Total (%)],MATCH(All[[#This Row],[Student No.]],Project[Student No.],0)))
    ),
  "No student!")</f>
        <v/>
      </c>
      <c r="F67" s="201">
        <f>IF(All[[#This Row],[Wrote Def]], INDEX(#REF!, MATCH(All[[#This Row],[Student No.]],#REF!,0)),
  IF(All[[#This Row],[Wrote Exam]], INDEX(Exam[Total (%)], MATCH(All[[#This Row],[Student No.]], Exam[Student No.],0)),
    ""))</f>
        <v>32</v>
      </c>
      <c r="G67" s="18" t="str">
        <f>IF(AND(All[[#This Row],[Student]], All[[#This Row],[All Components]]),
    IF(NOT(All[Has Test Mark]),ROUND((All[[#This Row],[Engagement]]*$C$5+All[[#This Row],[Project]]*$E$5+All[[#This Row],[Exam/Def]]*$F$5)/($C$5+$E$5+$F$5),0),
      ROUND((All[[#This Row],[Engagement]]*$C$5+All[[#This Row],[Test]]*$D$5+All[[#This Row],[Project]]*$E$5+All[[#This Row],[Exam/Def]]*$F$5)/($C$5+$D$5+$E$5+$F$5),0)
  ),
  "")</f>
        <v/>
      </c>
      <c r="H67" s="18" t="str">
        <f>All[[#This Row],[Course Mark]]</f>
        <v/>
      </c>
      <c r="I67" s="18" t="str">
        <f>IF(All[[#This Row],[Wrote Sup]], INDEX(#REF!,MATCH(All[[#This Row],[Student No.]],#REF!,0)), "")</f>
        <v/>
      </c>
      <c r="J67" s="18" t="str">
        <f>IF(AND(All[[#This Row],[Student]],ISNUMBER(All[[#This Row],[Final]])),_xlfn.RANK.EQ(All[[#This Row],[Final]],All[Final]),"")</f>
        <v/>
      </c>
      <c r="K67" s="31"/>
      <c r="L67" s="18" t="str">
        <f>IF(All[[#This Row],[Student]], IF(All[Wrote Sup],All[Sup],All[[#This Row],[Final]]),"No student")</f>
        <v/>
      </c>
      <c r="M67" s="18" t="str">
        <f>IF(All[[#This Row],[Final]]="","",
  IF(All[[#This Row],[Wrote Sup]],
    IF(All[[#This Row],[Sup]]&lt;50,"FAL","PAS"),
  IF(All[[#This Row],[Exam/Def]]&lt;35, "FSB",
    IF(All[[#This Row],[Final]]&lt;50,"FAL",
    IF(All[[#This Row],[Final]]&gt;=50,"PAS",
  "Error!")))))</f>
        <v/>
      </c>
      <c r="N67" s="18">
        <f>IF(All[[#This Row],[Student]], _xlfn.IFNA(INDEX(captured[Course Mark],MATCH(All[[#This Row],[Student No.]],captured[ID_TEXT],0) &amp; ""), "Cannot find student!"),"No student!")</f>
        <v>50</v>
      </c>
      <c r="O67" s="189" t="str">
        <f>IF(All[[#This Row],[Student]], _xlfn.IFNA(INDEX(captured[Grade],MATCH(All[[#This Row],[Student No.]],captured[ID_TEXT],0)), "Cannot find student!") &amp; "","No student!")</f>
        <v>FSB</v>
      </c>
      <c r="P67"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67" s="18" t="str">
        <f>IF(All[[#This Row],[My Grade]]&lt;&gt;"",IF(All[[#This Row],[My Grade]]&lt;&gt;All[[#This Row],[Cap Grade]],TRUE,FALSE),"")</f>
        <v/>
      </c>
      <c r="R67" s="18" t="b">
        <f>IF(NOT(ISBLANK(All[[#This Row],[Student No.]])),OR(ISNUMBER(FIND("FSB",All[[#This Row],[My Grade]])),ISNUMBER(FIND("PAS", All[[#This Row],[My Grade]])),ISNUMBER(FIND("FAL",All[[#This Row],[My Grade]])),ISNUMBER(FIND("FAB", All[[#This Row],[My Grade]])),COUNTBLANK(All[[#This Row],[My Grade]])=1),FALSE)</f>
        <v>1</v>
      </c>
      <c r="S67" s="18" t="b">
        <f>IF(All[[#This Row],[Student No.]]&lt;&gt;"", TRUE, FALSE)</f>
        <v>1</v>
      </c>
      <c r="T67" s="18" t="b">
        <f>IF(COUNTBLANK(All[[#This Row],[Engagement]:[Exam/Def]])=0,TRUE, FALSE)</f>
        <v>0</v>
      </c>
      <c r="U67" s="18" t="b">
        <f>IF(ISNUMBER(All[[#This Row],[Test]]),TRUE,FALSE)</f>
        <v>0</v>
      </c>
      <c r="V67" s="18" t="b">
        <f>IF((INDEX(Test[Total (%)],MATCH(All[[#This Row],[Student No.]],Test[Student No.],0)))="ABS", TRUE, FALSE)</f>
        <v>0</v>
      </c>
      <c r="W67" s="18" t="b">
        <f>IF(ISNUMBER(INDEX(Exam[Total (%)],MATCH(All[[#This Row],[Student No.]],Exam[Student No.],0))), TRUE, FALSE)</f>
        <v>1</v>
      </c>
      <c r="X67" s="18" t="b">
        <f>IF(ISNUMBER(INDEX(#REF!,MATCH(All[[#This Row],[Student No.]],#REF!,0))),TRUE,FALSE)</f>
        <v>0</v>
      </c>
      <c r="Y67" s="18" t="b">
        <f>IF(ISNUMBER(INDEX(#REF!,MATCH(All[[#This Row],[Student No.]],#REF!,0))),TRUE,FALSE)</f>
        <v>0</v>
      </c>
      <c r="Z67" s="18" t="b">
        <f>IF(All[[#This Row],[Wrote Def]],
IF(INDEX(#REF!, MATCH(All[[#This Row],[Student No.]],#REF!,0))&lt;&gt;All[[#This Row],[Exam/Def]], TRUE, FALSE),
  IF(All[[#This Row],[Wrote Exam]], IF(INDEX(Exam[Total (%)], MATCH(All[[#This Row],[Student No.]],Exam[Student No.],0))&lt;&gt;All[[#This Row],[Exam/Def]],TRUE,FALSE), FALSE))</f>
        <v>0</v>
      </c>
      <c r="AA67" s="18" t="b">
        <f xml:space="preserve">    IF(AND(All[[#This Row],[Exam/Def]]&lt;35,OR(All[[#This Row],[Wrote Exam]],All[[#This Row],[Wrote Def]])), TRUE,FALSE)</f>
        <v>1</v>
      </c>
      <c r="AB67" s="18" t="b">
        <f>IF(AND(All[[#This Row],[Exam &lt; 35%]],All[[#This Row],[Final]]&gt;=50),TRUE,FALSE)</f>
        <v>1</v>
      </c>
      <c r="AC67" s="18"/>
    </row>
    <row r="68" spans="1:29">
      <c r="A68" s="17" t="s">
        <v>334</v>
      </c>
      <c r="B68" s="17" t="s">
        <v>509</v>
      </c>
      <c r="C68" s="100" t="e">
        <f>IF(All[[#This Row],[Student]],
  IF(ISNA(INDEX(#REF!,MATCH(All[[#This Row],[Student No.]],#REF!,0))),
    "Cannot find student!",
    IF(INDEX(#REF!,MATCH(All[[#This Row],[Student No.]],#REF!,0))="",
      "",
      INDEX(#REF!,MATCH(All[[#This Row],[Student No.]],#REF!,0)))
    ),
  "No student!")</f>
        <v>#REF!</v>
      </c>
      <c r="D68"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68" s="18" t="str">
        <f>IF(All[[#This Row],[Student]],
  IF(ISNA(INDEX(Project[Total (%)],MATCH(All[[#This Row],[Student No.]],Project[Student No.],0))),
    "Cannot find student!",
    IF(INDEX(Project[Total (%)],MATCH(All[[#This Row],[Student No.]],Project[Student No.],0))="",
      "",
      INDEX(Project[Total (%)],MATCH(All[[#This Row],[Student No.]],Project[Student No.],0)))
    ),
  "No student!")</f>
        <v/>
      </c>
      <c r="F68" s="201">
        <f>IF(All[[#This Row],[Wrote Def]], INDEX(#REF!, MATCH(All[[#This Row],[Student No.]],#REF!,0)),
  IF(All[[#This Row],[Wrote Exam]], INDEX(Exam[Total (%)], MATCH(All[[#This Row],[Student No.]], Exam[Student No.],0)),
    ""))</f>
        <v>41</v>
      </c>
      <c r="G68" s="18" t="str">
        <f>IF(AND(All[[#This Row],[Student]], All[[#This Row],[All Components]]),
    IF(NOT(All[Has Test Mark]),ROUND((All[[#This Row],[Engagement]]*$C$5+All[[#This Row],[Project]]*$E$5+All[[#This Row],[Exam/Def]]*$F$5)/($C$5+$E$5+$F$5),0),
      ROUND((All[[#This Row],[Engagement]]*$C$5+All[[#This Row],[Test]]*$D$5+All[[#This Row],[Project]]*$E$5+All[[#This Row],[Exam/Def]]*$F$5)/($C$5+$D$5+$E$5+$F$5),0)
  ),
  "")</f>
        <v/>
      </c>
      <c r="H68" s="18" t="str">
        <f>All[[#This Row],[Course Mark]]</f>
        <v/>
      </c>
      <c r="I68" s="18" t="str">
        <f>IF(All[[#This Row],[Wrote Sup]], INDEX(#REF!,MATCH(All[[#This Row],[Student No.]],#REF!,0)), "")</f>
        <v/>
      </c>
      <c r="J68" s="18" t="str">
        <f>IF(AND(All[[#This Row],[Student]],ISNUMBER(All[[#This Row],[Final]])),_xlfn.RANK.EQ(All[[#This Row],[Final]],All[Final]),"")</f>
        <v/>
      </c>
      <c r="K68" s="31" t="s">
        <v>1365</v>
      </c>
      <c r="L68" s="18" t="str">
        <f>IF(All[[#This Row],[Student]], IF(All[Wrote Sup],All[Sup],All[[#This Row],[Final]]),"No student")</f>
        <v/>
      </c>
      <c r="M68" s="18" t="str">
        <f>IF(All[[#This Row],[Final]]="","",
  IF(All[[#This Row],[Wrote Sup]],
    IF(All[[#This Row],[Sup]]&lt;50,"FAL","PAS"),
  IF(All[[#This Row],[Exam/Def]]&lt;35, "FSB",
    IF(All[[#This Row],[Final]]&lt;50,"FAL",
    IF(All[[#This Row],[Final]]&gt;=50,"PAS",
  "Error!")))))</f>
        <v/>
      </c>
      <c r="N68" s="18">
        <f>IF(All[[#This Row],[Student]], _xlfn.IFNA(INDEX(captured[Course Mark],MATCH(All[[#This Row],[Student No.]],captured[ID_TEXT],0) &amp; ""), "Cannot find student!"),"No student!")</f>
        <v>40</v>
      </c>
      <c r="O68" s="189" t="str">
        <f>IF(All[[#This Row],[Student]], _xlfn.IFNA(INDEX(captured[Grade],MATCH(All[[#This Row],[Student No.]],captured[ID_TEXT],0)), "Cannot find student!") &amp; "","No student!")</f>
        <v/>
      </c>
      <c r="P68"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68" s="18" t="str">
        <f>IF(All[[#This Row],[My Grade]]&lt;&gt;"",IF(All[[#This Row],[My Grade]]&lt;&gt;All[[#This Row],[Cap Grade]],TRUE,FALSE),"")</f>
        <v/>
      </c>
      <c r="R68" s="18" t="b">
        <f>IF(NOT(ISBLANK(All[[#This Row],[Student No.]])),OR(ISNUMBER(FIND("FSB",All[[#This Row],[My Grade]])),ISNUMBER(FIND("PAS", All[[#This Row],[My Grade]])),ISNUMBER(FIND("FAL",All[[#This Row],[My Grade]])),ISNUMBER(FIND("FAB", All[[#This Row],[My Grade]])),COUNTBLANK(All[[#This Row],[My Grade]])=1),FALSE)</f>
        <v>1</v>
      </c>
      <c r="S68" s="18" t="b">
        <f>IF(All[[#This Row],[Student No.]]&lt;&gt;"", TRUE, FALSE)</f>
        <v>1</v>
      </c>
      <c r="T68" s="18" t="b">
        <f>IF(COUNTBLANK(All[[#This Row],[Engagement]:[Exam/Def]])=0,TRUE, FALSE)</f>
        <v>0</v>
      </c>
      <c r="U68" s="18" t="b">
        <f>IF(ISNUMBER(All[[#This Row],[Test]]),TRUE,FALSE)</f>
        <v>0</v>
      </c>
      <c r="V68" s="18" t="b">
        <f>IF((INDEX(Test[Total (%)],MATCH(All[[#This Row],[Student No.]],Test[Student No.],0)))="ABS", TRUE, FALSE)</f>
        <v>0</v>
      </c>
      <c r="W68" s="18" t="b">
        <f>IF(ISNUMBER(INDEX(Exam[Total (%)],MATCH(All[[#This Row],[Student No.]],Exam[Student No.],0))), TRUE, FALSE)</f>
        <v>1</v>
      </c>
      <c r="X68" s="18" t="b">
        <f>IF(ISNUMBER(INDEX(#REF!,MATCH(All[[#This Row],[Student No.]],#REF!,0))),TRUE,FALSE)</f>
        <v>0</v>
      </c>
      <c r="Y68" s="18" t="b">
        <f>IF(ISNUMBER(INDEX(#REF!,MATCH(All[[#This Row],[Student No.]],#REF!,0))),TRUE,FALSE)</f>
        <v>0</v>
      </c>
      <c r="Z68" s="18" t="b">
        <f>IF(All[[#This Row],[Wrote Def]],
IF(INDEX(#REF!, MATCH(All[[#This Row],[Student No.]],#REF!,0))&lt;&gt;All[[#This Row],[Exam/Def]], TRUE, FALSE),
  IF(All[[#This Row],[Wrote Exam]], IF(INDEX(Exam[Total (%)], MATCH(All[[#This Row],[Student No.]],Exam[Student No.],0))&lt;&gt;All[[#This Row],[Exam/Def]],TRUE,FALSE), FALSE))</f>
        <v>0</v>
      </c>
      <c r="AA68" s="18" t="b">
        <f xml:space="preserve">    IF(AND(All[[#This Row],[Exam/Def]]&lt;35,OR(All[[#This Row],[Wrote Exam]],All[[#This Row],[Wrote Def]])), TRUE,FALSE)</f>
        <v>0</v>
      </c>
      <c r="AB68" s="18" t="b">
        <f>IF(AND(All[[#This Row],[Exam &lt; 35%]],All[[#This Row],[Final]]&gt;=50),TRUE,FALSE)</f>
        <v>0</v>
      </c>
      <c r="AC68" s="18"/>
    </row>
    <row r="69" spans="1:29" ht="43.2">
      <c r="A69" s="17" t="s">
        <v>335</v>
      </c>
      <c r="B69" s="17" t="s">
        <v>510</v>
      </c>
      <c r="C69" s="100" t="e">
        <f>IF(All[[#This Row],[Student]],
  IF(ISNA(INDEX(#REF!,MATCH(All[[#This Row],[Student No.]],#REF!,0))),
    "Cannot find student!",
    IF(INDEX(#REF!,MATCH(All[[#This Row],[Student No.]],#REF!,0))="",
      "",
      INDEX(#REF!,MATCH(All[[#This Row],[Student No.]],#REF!,0)))
    ),
  "No student!")</f>
        <v>#REF!</v>
      </c>
      <c r="D69"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69" s="18" t="str">
        <f>IF(All[[#This Row],[Student]],
  IF(ISNA(INDEX(Project[Total (%)],MATCH(All[[#This Row],[Student No.]],Project[Student No.],0))),
    "Cannot find student!",
    IF(INDEX(Project[Total (%)],MATCH(All[[#This Row],[Student No.]],Project[Student No.],0))="",
      "",
      INDEX(Project[Total (%)],MATCH(All[[#This Row],[Student No.]],Project[Student No.],0)))
    ),
  "No student!")</f>
        <v/>
      </c>
      <c r="F69" s="201">
        <f>IF(All[[#This Row],[Wrote Def]], INDEX(#REF!, MATCH(All[[#This Row],[Student No.]],#REF!,0)),
  IF(All[[#This Row],[Wrote Exam]], INDEX(Exam[Total (%)], MATCH(All[[#This Row],[Student No.]], Exam[Student No.],0)),
    ""))</f>
        <v>60</v>
      </c>
      <c r="G69" s="18" t="str">
        <f>IF(AND(All[[#This Row],[Student]], All[[#This Row],[All Components]]),
    IF(NOT(All[Has Test Mark]),ROUND((All[[#This Row],[Engagement]]*$C$5+All[[#This Row],[Project]]*$E$5+All[[#This Row],[Exam/Def]]*$F$5)/($C$5+$E$5+$F$5),0),
      ROUND((All[[#This Row],[Engagement]]*$C$5+All[[#This Row],[Test]]*$D$5+All[[#This Row],[Project]]*$E$5+All[[#This Row],[Exam/Def]]*$F$5)/($C$5+$D$5+$E$5+$F$5),0)
  ),
  "")</f>
        <v/>
      </c>
      <c r="H69" s="18" t="str">
        <f>All[[#This Row],[Course Mark]]</f>
        <v/>
      </c>
      <c r="I69" s="18" t="str">
        <f>IF(All[[#This Row],[Wrote Sup]], INDEX(#REF!,MATCH(All[[#This Row],[Student No.]],#REF!,0)), "")</f>
        <v/>
      </c>
      <c r="J69" s="18" t="str">
        <f>IF(AND(All[[#This Row],[Student]],ISNUMBER(All[[#This Row],[Final]])),_xlfn.RANK.EQ(All[[#This Row],[Final]],All[Final]),"")</f>
        <v/>
      </c>
      <c r="K69" s="31"/>
      <c r="L69" s="18" t="str">
        <f>IF(All[[#This Row],[Student]], IF(All[Wrote Sup],All[Sup],All[[#This Row],[Final]]),"No student")</f>
        <v/>
      </c>
      <c r="M69" s="18" t="str">
        <f>IF(All[[#This Row],[Final]]="","",
  IF(All[[#This Row],[Wrote Sup]],
    IF(All[[#This Row],[Sup]]&lt;50,"FAL","PAS"),
  IF(All[[#This Row],[Exam/Def]]&lt;35, "FSB",
    IF(All[[#This Row],[Final]]&lt;50,"FAL",
    IF(All[[#This Row],[Final]]&gt;=50,"PAS",
  "Error!")))))</f>
        <v/>
      </c>
      <c r="N69" s="18">
        <f>IF(All[[#This Row],[Student]], _xlfn.IFNA(INDEX(captured[Course Mark],MATCH(All[[#This Row],[Student No.]],captured[ID_TEXT],0) &amp; ""), "Cannot find student!"),"No student!")</f>
        <v>62</v>
      </c>
      <c r="O69" s="189" t="str">
        <f>IF(All[[#This Row],[Student]], _xlfn.IFNA(INDEX(captured[Grade],MATCH(All[[#This Row],[Student No.]],captured[ID_TEXT],0)), "Cannot find student!") &amp; "","No student!")</f>
        <v>PAS</v>
      </c>
      <c r="P69"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69" s="18" t="str">
        <f>IF(All[[#This Row],[My Grade]]&lt;&gt;"",IF(All[[#This Row],[My Grade]]&lt;&gt;All[[#This Row],[Cap Grade]],TRUE,FALSE),"")</f>
        <v/>
      </c>
      <c r="R69" s="18" t="b">
        <f>IF(NOT(ISBLANK(All[[#This Row],[Student No.]])),OR(ISNUMBER(FIND("FSB",All[[#This Row],[My Grade]])),ISNUMBER(FIND("PAS", All[[#This Row],[My Grade]])),ISNUMBER(FIND("FAL",All[[#This Row],[My Grade]])),ISNUMBER(FIND("FAB", All[[#This Row],[My Grade]])),COUNTBLANK(All[[#This Row],[My Grade]])=1),FALSE)</f>
        <v>1</v>
      </c>
      <c r="S69" s="18" t="b">
        <f>IF(All[[#This Row],[Student No.]]&lt;&gt;"", TRUE, FALSE)</f>
        <v>1</v>
      </c>
      <c r="T69" s="18" t="b">
        <f>IF(COUNTBLANK(All[[#This Row],[Engagement]:[Exam/Def]])=0,TRUE, FALSE)</f>
        <v>0</v>
      </c>
      <c r="U69" s="18" t="b">
        <f>IF(ISNUMBER(All[[#This Row],[Test]]),TRUE,FALSE)</f>
        <v>0</v>
      </c>
      <c r="V69" s="18" t="e">
        <f>IF((INDEX(Test[Total (%)],MATCH(All[[#This Row],[Student No.]],Test[Student No.],0)))="ABS", TRUE, FALSE)</f>
        <v>#N/A</v>
      </c>
      <c r="W69" s="18" t="b">
        <f>IF(ISNUMBER(INDEX(Exam[Total (%)],MATCH(All[[#This Row],[Student No.]],Exam[Student No.],0))), TRUE, FALSE)</f>
        <v>1</v>
      </c>
      <c r="X69" s="18" t="b">
        <f>IF(ISNUMBER(INDEX(#REF!,MATCH(All[[#This Row],[Student No.]],#REF!,0))),TRUE,FALSE)</f>
        <v>0</v>
      </c>
      <c r="Y69" s="18" t="b">
        <f>IF(ISNUMBER(INDEX(#REF!,MATCH(All[[#This Row],[Student No.]],#REF!,0))),TRUE,FALSE)</f>
        <v>0</v>
      </c>
      <c r="Z69" s="18" t="b">
        <f>IF(All[[#This Row],[Wrote Def]],
IF(INDEX(#REF!, MATCH(All[[#This Row],[Student No.]],#REF!,0))&lt;&gt;All[[#This Row],[Exam/Def]], TRUE, FALSE),
  IF(All[[#This Row],[Wrote Exam]], IF(INDEX(Exam[Total (%)], MATCH(All[[#This Row],[Student No.]],Exam[Student No.],0))&lt;&gt;All[[#This Row],[Exam/Def]],TRUE,FALSE), FALSE))</f>
        <v>0</v>
      </c>
      <c r="AA69" s="18" t="b">
        <f xml:space="preserve">    IF(AND(All[[#This Row],[Exam/Def]]&lt;35,OR(All[[#This Row],[Wrote Exam]],All[[#This Row],[Wrote Def]])), TRUE,FALSE)</f>
        <v>0</v>
      </c>
      <c r="AB69" s="18" t="b">
        <f>IF(AND(All[[#This Row],[Exam &lt; 35%]],All[[#This Row],[Final]]&gt;=50),TRUE,FALSE)</f>
        <v>0</v>
      </c>
      <c r="AC69" s="18"/>
    </row>
    <row r="70" spans="1:29">
      <c r="A70" s="17" t="s">
        <v>336</v>
      </c>
      <c r="B70" s="17" t="s">
        <v>511</v>
      </c>
      <c r="C70" s="100" t="e">
        <f>IF(All[[#This Row],[Student]],
  IF(ISNA(INDEX(#REF!,MATCH(All[[#This Row],[Student No.]],#REF!,0))),
    "Cannot find student!",
    IF(INDEX(#REF!,MATCH(All[[#This Row],[Student No.]],#REF!,0))="",
      "",
      INDEX(#REF!,MATCH(All[[#This Row],[Student No.]],#REF!,0)))
    ),
  "No student!")</f>
        <v>#REF!</v>
      </c>
      <c r="D70"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70" s="18" t="str">
        <f>IF(All[[#This Row],[Student]],
  IF(ISNA(INDEX(Project[Total (%)],MATCH(All[[#This Row],[Student No.]],Project[Student No.],0))),
    "Cannot find student!",
    IF(INDEX(Project[Total (%)],MATCH(All[[#This Row],[Student No.]],Project[Student No.],0))="",
      "",
      INDEX(Project[Total (%)],MATCH(All[[#This Row],[Student No.]],Project[Student No.],0)))
    ),
  "No student!")</f>
        <v/>
      </c>
      <c r="F70" s="201">
        <f>IF(All[[#This Row],[Wrote Def]], INDEX(#REF!, MATCH(All[[#This Row],[Student No.]],#REF!,0)),
  IF(All[[#This Row],[Wrote Exam]], INDEX(Exam[Total (%)], MATCH(All[[#This Row],[Student No.]], Exam[Student No.],0)),
    ""))</f>
        <v>12</v>
      </c>
      <c r="G70" s="18" t="str">
        <f>IF(AND(All[[#This Row],[Student]], All[[#This Row],[All Components]]),
    IF(NOT(All[Has Test Mark]),ROUND((All[[#This Row],[Engagement]]*$C$5+All[[#This Row],[Project]]*$E$5+All[[#This Row],[Exam/Def]]*$F$5)/($C$5+$E$5+$F$5),0),
      ROUND((All[[#This Row],[Engagement]]*$C$5+All[[#This Row],[Test]]*$D$5+All[[#This Row],[Project]]*$E$5+All[[#This Row],[Exam/Def]]*$F$5)/($C$5+$D$5+$E$5+$F$5),0)
  ),
  "")</f>
        <v/>
      </c>
      <c r="H70" s="18" t="str">
        <f>All[[#This Row],[Course Mark]]</f>
        <v/>
      </c>
      <c r="I70" s="18" t="str">
        <f>IF(All[[#This Row],[Wrote Sup]], INDEX(#REF!,MATCH(All[[#This Row],[Student No.]],#REF!,0)), "")</f>
        <v/>
      </c>
      <c r="J70" s="18" t="str">
        <f>IF(AND(All[[#This Row],[Student]],ISNUMBER(All[[#This Row],[Final]])),_xlfn.RANK.EQ(All[[#This Row],[Final]],All[Final]),"")</f>
        <v/>
      </c>
      <c r="K70" s="31"/>
      <c r="L70" s="18" t="str">
        <f>IF(All[[#This Row],[Student]], IF(All[Wrote Sup],All[Sup],All[[#This Row],[Final]]),"No student")</f>
        <v/>
      </c>
      <c r="M70" s="18" t="str">
        <f>IF(All[[#This Row],[Final]]="","",
  IF(All[[#This Row],[Wrote Sup]],
    IF(All[[#This Row],[Sup]]&lt;50,"FAL","PAS"),
  IF(All[[#This Row],[Exam/Def]]&lt;35, "FSB",
    IF(All[[#This Row],[Final]]&lt;50,"FAL",
    IF(All[[#This Row],[Final]]&gt;=50,"PAS",
  "Error!")))))</f>
        <v/>
      </c>
      <c r="N70" s="18">
        <f>IF(All[[#This Row],[Student]], _xlfn.IFNA(INDEX(captured[Course Mark],MATCH(All[[#This Row],[Student No.]],captured[ID_TEXT],0) &amp; ""), "Cannot find student!"),"No student!")</f>
        <v>25</v>
      </c>
      <c r="O70" s="189" t="str">
        <f>IF(All[[#This Row],[Student]], _xlfn.IFNA(INDEX(captured[Grade],MATCH(All[[#This Row],[Student No.]],captured[ID_TEXT],0)), "Cannot find student!") &amp; "","No student!")</f>
        <v/>
      </c>
      <c r="P70"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70" s="18" t="str">
        <f>IF(All[[#This Row],[My Grade]]&lt;&gt;"",IF(All[[#This Row],[My Grade]]&lt;&gt;All[[#This Row],[Cap Grade]],TRUE,FALSE),"")</f>
        <v/>
      </c>
      <c r="R70" s="18" t="b">
        <f>IF(NOT(ISBLANK(All[[#This Row],[Student No.]])),OR(ISNUMBER(FIND("FSB",All[[#This Row],[My Grade]])),ISNUMBER(FIND("PAS", All[[#This Row],[My Grade]])),ISNUMBER(FIND("FAL",All[[#This Row],[My Grade]])),ISNUMBER(FIND("FAB", All[[#This Row],[My Grade]])),COUNTBLANK(All[[#This Row],[My Grade]])=1),FALSE)</f>
        <v>1</v>
      </c>
      <c r="S70" s="18" t="b">
        <f>IF(All[[#This Row],[Student No.]]&lt;&gt;"", TRUE, FALSE)</f>
        <v>1</v>
      </c>
      <c r="T70" s="18" t="b">
        <f>IF(COUNTBLANK(All[[#This Row],[Engagement]:[Exam/Def]])=0,TRUE, FALSE)</f>
        <v>0</v>
      </c>
      <c r="U70" s="18" t="b">
        <f>IF(ISNUMBER(All[[#This Row],[Test]]),TRUE,FALSE)</f>
        <v>0</v>
      </c>
      <c r="V70" s="18" t="b">
        <f>IF((INDEX(Test[Total (%)],MATCH(All[[#This Row],[Student No.]],Test[Student No.],0)))="ABS", TRUE, FALSE)</f>
        <v>0</v>
      </c>
      <c r="W70" s="18" t="b">
        <f>IF(ISNUMBER(INDEX(Exam[Total (%)],MATCH(All[[#This Row],[Student No.]],Exam[Student No.],0))), TRUE, FALSE)</f>
        <v>1</v>
      </c>
      <c r="X70" s="18" t="b">
        <f>IF(ISNUMBER(INDEX(#REF!,MATCH(All[[#This Row],[Student No.]],#REF!,0))),TRUE,FALSE)</f>
        <v>0</v>
      </c>
      <c r="Y70" s="18" t="b">
        <f>IF(ISNUMBER(INDEX(#REF!,MATCH(All[[#This Row],[Student No.]],#REF!,0))),TRUE,FALSE)</f>
        <v>0</v>
      </c>
      <c r="Z70" s="18" t="b">
        <f>IF(All[[#This Row],[Wrote Def]],
IF(INDEX(#REF!, MATCH(All[[#This Row],[Student No.]],#REF!,0))&lt;&gt;All[[#This Row],[Exam/Def]], TRUE, FALSE),
  IF(All[[#This Row],[Wrote Exam]], IF(INDEX(Exam[Total (%)], MATCH(All[[#This Row],[Student No.]],Exam[Student No.],0))&lt;&gt;All[[#This Row],[Exam/Def]],TRUE,FALSE), FALSE))</f>
        <v>0</v>
      </c>
      <c r="AA70" s="18" t="b">
        <f xml:space="preserve">    IF(AND(All[[#This Row],[Exam/Def]]&lt;35,OR(All[[#This Row],[Wrote Exam]],All[[#This Row],[Wrote Def]])), TRUE,FALSE)</f>
        <v>1</v>
      </c>
      <c r="AB70" s="18" t="b">
        <f>IF(AND(All[[#This Row],[Exam &lt; 35%]],All[[#This Row],[Final]]&gt;=50),TRUE,FALSE)</f>
        <v>1</v>
      </c>
      <c r="AC70" s="18"/>
    </row>
    <row r="71" spans="1:29" ht="43.2">
      <c r="A71" s="17" t="s">
        <v>337</v>
      </c>
      <c r="B71" s="17" t="s">
        <v>512</v>
      </c>
      <c r="C71" s="100" t="e">
        <f>IF(All[[#This Row],[Student]],
  IF(ISNA(INDEX(#REF!,MATCH(All[[#This Row],[Student No.]],#REF!,0))),
    "Cannot find student!",
    IF(INDEX(#REF!,MATCH(All[[#This Row],[Student No.]],#REF!,0))="",
      "",
      INDEX(#REF!,MATCH(All[[#This Row],[Student No.]],#REF!,0)))
    ),
  "No student!")</f>
        <v>#REF!</v>
      </c>
      <c r="D71"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71" s="18" t="str">
        <f>IF(All[[#This Row],[Student]],
  IF(ISNA(INDEX(Project[Total (%)],MATCH(All[[#This Row],[Student No.]],Project[Student No.],0))),
    "Cannot find student!",
    IF(INDEX(Project[Total (%)],MATCH(All[[#This Row],[Student No.]],Project[Student No.],0))="",
      "",
      INDEX(Project[Total (%)],MATCH(All[[#This Row],[Student No.]],Project[Student No.],0)))
    ),
  "No student!")</f>
        <v/>
      </c>
      <c r="F71" s="201">
        <f>IF(All[[#This Row],[Wrote Def]], INDEX(#REF!, MATCH(All[[#This Row],[Student No.]],#REF!,0)),
  IF(All[[#This Row],[Wrote Exam]], INDEX(Exam[Total (%)], MATCH(All[[#This Row],[Student No.]], Exam[Student No.],0)),
    ""))</f>
        <v>24</v>
      </c>
      <c r="G71" s="18" t="str">
        <f>IF(AND(All[[#This Row],[Student]], All[[#This Row],[All Components]]),
    IF(NOT(All[Has Test Mark]),ROUND((All[[#This Row],[Engagement]]*$C$5+All[[#This Row],[Project]]*$E$5+All[[#This Row],[Exam/Def]]*$F$5)/($C$5+$E$5+$F$5),0),
      ROUND((All[[#This Row],[Engagement]]*$C$5+All[[#This Row],[Test]]*$D$5+All[[#This Row],[Project]]*$E$5+All[[#This Row],[Exam/Def]]*$F$5)/($C$5+$D$5+$E$5+$F$5),0)
  ),
  "")</f>
        <v/>
      </c>
      <c r="H71" s="18" t="str">
        <f>All[[#This Row],[Course Mark]]</f>
        <v/>
      </c>
      <c r="I71" s="18" t="str">
        <f>IF(All[[#This Row],[Wrote Sup]], INDEX(#REF!,MATCH(All[[#This Row],[Student No.]],#REF!,0)), "")</f>
        <v/>
      </c>
      <c r="J71" s="18" t="str">
        <f>IF(AND(All[[#This Row],[Student]],ISNUMBER(All[[#This Row],[Final]])),_xlfn.RANK.EQ(All[[#This Row],[Final]],All[Final]),"")</f>
        <v/>
      </c>
      <c r="K71" s="31"/>
      <c r="L71" s="18" t="str">
        <f>IF(All[[#This Row],[Student]], IF(All[Wrote Sup],All[Sup],All[[#This Row],[Final]]),"No student")</f>
        <v/>
      </c>
      <c r="M71" s="18" t="str">
        <f>IF(All[[#This Row],[Final]]="","",
  IF(All[[#This Row],[Wrote Sup]],
    IF(All[[#This Row],[Sup]]&lt;50,"FAL","PAS"),
  IF(All[[#This Row],[Exam/Def]]&lt;35, "FSB",
    IF(All[[#This Row],[Final]]&lt;50,"FAL",
    IF(All[[#This Row],[Final]]&gt;=50,"PAS",
  "Error!")))))</f>
        <v/>
      </c>
      <c r="N71" s="18">
        <f>IF(All[[#This Row],[Student]], _xlfn.IFNA(INDEX(captured[Course Mark],MATCH(All[[#This Row],[Student No.]],captured[ID_TEXT],0) &amp; ""), "Cannot find student!"),"No student!")</f>
        <v>20</v>
      </c>
      <c r="O71" s="189" t="str">
        <f>IF(All[[#This Row],[Student]], _xlfn.IFNA(INDEX(captured[Grade],MATCH(All[[#This Row],[Student No.]],captured[ID_TEXT],0)), "Cannot find student!") &amp; "","No student!")</f>
        <v>FAL</v>
      </c>
      <c r="P71"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71" s="18" t="str">
        <f>IF(All[[#This Row],[My Grade]]&lt;&gt;"",IF(All[[#This Row],[My Grade]]&lt;&gt;All[[#This Row],[Cap Grade]],TRUE,FALSE),"")</f>
        <v/>
      </c>
      <c r="R71" s="18" t="b">
        <f>IF(NOT(ISBLANK(All[[#This Row],[Student No.]])),OR(ISNUMBER(FIND("FSB",All[[#This Row],[My Grade]])),ISNUMBER(FIND("PAS", All[[#This Row],[My Grade]])),ISNUMBER(FIND("FAL",All[[#This Row],[My Grade]])),ISNUMBER(FIND("FAB", All[[#This Row],[My Grade]])),COUNTBLANK(All[[#This Row],[My Grade]])=1),FALSE)</f>
        <v>1</v>
      </c>
      <c r="S71" s="18" t="b">
        <f>IF(All[[#This Row],[Student No.]]&lt;&gt;"", TRUE, FALSE)</f>
        <v>1</v>
      </c>
      <c r="T71" s="18" t="b">
        <f>IF(COUNTBLANK(All[[#This Row],[Engagement]:[Exam/Def]])=0,TRUE, FALSE)</f>
        <v>0</v>
      </c>
      <c r="U71" s="18" t="b">
        <f>IF(ISNUMBER(All[[#This Row],[Test]]),TRUE,FALSE)</f>
        <v>0</v>
      </c>
      <c r="V71" s="18" t="e">
        <f>IF((INDEX(Test[Total (%)],MATCH(All[[#This Row],[Student No.]],Test[Student No.],0)))="ABS", TRUE, FALSE)</f>
        <v>#N/A</v>
      </c>
      <c r="W71" s="18" t="b">
        <f>IF(ISNUMBER(INDEX(Exam[Total (%)],MATCH(All[[#This Row],[Student No.]],Exam[Student No.],0))), TRUE, FALSE)</f>
        <v>1</v>
      </c>
      <c r="X71" s="18" t="b">
        <f>IF(ISNUMBER(INDEX(#REF!,MATCH(All[[#This Row],[Student No.]],#REF!,0))),TRUE,FALSE)</f>
        <v>0</v>
      </c>
      <c r="Y71" s="18" t="b">
        <f>IF(ISNUMBER(INDEX(#REF!,MATCH(All[[#This Row],[Student No.]],#REF!,0))),TRUE,FALSE)</f>
        <v>0</v>
      </c>
      <c r="Z71" s="18" t="b">
        <f>IF(All[[#This Row],[Wrote Def]],
IF(INDEX(#REF!, MATCH(All[[#This Row],[Student No.]],#REF!,0))&lt;&gt;All[[#This Row],[Exam/Def]], TRUE, FALSE),
  IF(All[[#This Row],[Wrote Exam]], IF(INDEX(Exam[Total (%)], MATCH(All[[#This Row],[Student No.]],Exam[Student No.],0))&lt;&gt;All[[#This Row],[Exam/Def]],TRUE,FALSE), FALSE))</f>
        <v>0</v>
      </c>
      <c r="AA71" s="18" t="b">
        <f xml:space="preserve">    IF(AND(All[[#This Row],[Exam/Def]]&lt;35,OR(All[[#This Row],[Wrote Exam]],All[[#This Row],[Wrote Def]])), TRUE,FALSE)</f>
        <v>1</v>
      </c>
      <c r="AB71" s="18" t="b">
        <f>IF(AND(All[[#This Row],[Exam &lt; 35%]],All[[#This Row],[Final]]&gt;=50),TRUE,FALSE)</f>
        <v>1</v>
      </c>
      <c r="AC71" s="18"/>
    </row>
    <row r="72" spans="1:29" ht="43.2">
      <c r="A72" s="17" t="s">
        <v>338</v>
      </c>
      <c r="B72" s="17" t="s">
        <v>513</v>
      </c>
      <c r="C72" s="100" t="e">
        <f>IF(All[[#This Row],[Student]],
  IF(ISNA(INDEX(#REF!,MATCH(All[[#This Row],[Student No.]],#REF!,0))),
    "Cannot find student!",
    IF(INDEX(#REF!,MATCH(All[[#This Row],[Student No.]],#REF!,0))="",
      "",
      INDEX(#REF!,MATCH(All[[#This Row],[Student No.]],#REF!,0)))
    ),
  "No student!")</f>
        <v>#REF!</v>
      </c>
      <c r="D72"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72" s="18" t="str">
        <f>IF(All[[#This Row],[Student]],
  IF(ISNA(INDEX(Project[Total (%)],MATCH(All[[#This Row],[Student No.]],Project[Student No.],0))),
    "Cannot find student!",
    IF(INDEX(Project[Total (%)],MATCH(All[[#This Row],[Student No.]],Project[Student No.],0))="",
      "",
      INDEX(Project[Total (%)],MATCH(All[[#This Row],[Student No.]],Project[Student No.],0)))
    ),
  "No student!")</f>
        <v/>
      </c>
      <c r="F72" s="201">
        <f>IF(All[[#This Row],[Wrote Def]], INDEX(#REF!, MATCH(All[[#This Row],[Student No.]],#REF!,0)),
  IF(All[[#This Row],[Wrote Exam]], INDEX(Exam[Total (%)], MATCH(All[[#This Row],[Student No.]], Exam[Student No.],0)),
    ""))</f>
        <v>52</v>
      </c>
      <c r="G72" s="18" t="str">
        <f>IF(AND(All[[#This Row],[Student]], All[[#This Row],[All Components]]),
    IF(NOT(All[Has Test Mark]),ROUND((All[[#This Row],[Engagement]]*$C$5+All[[#This Row],[Project]]*$E$5+All[[#This Row],[Exam/Def]]*$F$5)/($C$5+$E$5+$F$5),0),
      ROUND((All[[#This Row],[Engagement]]*$C$5+All[[#This Row],[Test]]*$D$5+All[[#This Row],[Project]]*$E$5+All[[#This Row],[Exam/Def]]*$F$5)/($C$5+$D$5+$E$5+$F$5),0)
  ),
  "")</f>
        <v/>
      </c>
      <c r="H72" s="18" t="str">
        <f>All[[#This Row],[Course Mark]]</f>
        <v/>
      </c>
      <c r="I72" s="18" t="str">
        <f>IF(All[[#This Row],[Wrote Sup]], INDEX(#REF!,MATCH(All[[#This Row],[Student No.]],#REF!,0)), "")</f>
        <v/>
      </c>
      <c r="J72" s="18" t="str">
        <f>IF(AND(All[[#This Row],[Student]],ISNUMBER(All[[#This Row],[Final]])),_xlfn.RANK.EQ(All[[#This Row],[Final]],All[Final]),"")</f>
        <v/>
      </c>
      <c r="K72" s="31"/>
      <c r="L72" s="18" t="str">
        <f>IF(All[[#This Row],[Student]], IF(All[Wrote Sup],All[Sup],All[[#This Row],[Final]]),"No student")</f>
        <v/>
      </c>
      <c r="M72" s="18" t="str">
        <f>IF(All[[#This Row],[Final]]="","",
  IF(All[[#This Row],[Wrote Sup]],
    IF(All[[#This Row],[Sup]]&lt;50,"FAL","PAS"),
  IF(All[[#This Row],[Exam/Def]]&lt;35, "FSB",
    IF(All[[#This Row],[Final]]&lt;50,"FAL",
    IF(All[[#This Row],[Final]]&gt;=50,"PAS",
  "Error!")))))</f>
        <v/>
      </c>
      <c r="N72" s="18">
        <f>IF(All[[#This Row],[Student]], _xlfn.IFNA(INDEX(captured[Course Mark],MATCH(All[[#This Row],[Student No.]],captured[ID_TEXT],0) &amp; ""), "Cannot find student!"),"No student!")</f>
        <v>58</v>
      </c>
      <c r="O72" s="189" t="str">
        <f>IF(All[[#This Row],[Student]], _xlfn.IFNA(INDEX(captured[Grade],MATCH(All[[#This Row],[Student No.]],captured[ID_TEXT],0)), "Cannot find student!") &amp; "","No student!")</f>
        <v>PAS</v>
      </c>
      <c r="P72"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72" s="18" t="str">
        <f>IF(All[[#This Row],[My Grade]]&lt;&gt;"",IF(All[[#This Row],[My Grade]]&lt;&gt;All[[#This Row],[Cap Grade]],TRUE,FALSE),"")</f>
        <v/>
      </c>
      <c r="R72" s="18" t="b">
        <f>IF(NOT(ISBLANK(All[[#This Row],[Student No.]])),OR(ISNUMBER(FIND("FSB",All[[#This Row],[My Grade]])),ISNUMBER(FIND("PAS", All[[#This Row],[My Grade]])),ISNUMBER(FIND("FAL",All[[#This Row],[My Grade]])),ISNUMBER(FIND("FAB", All[[#This Row],[My Grade]])),COUNTBLANK(All[[#This Row],[My Grade]])=1),FALSE)</f>
        <v>1</v>
      </c>
      <c r="S72" s="18" t="b">
        <f>IF(All[[#This Row],[Student No.]]&lt;&gt;"", TRUE, FALSE)</f>
        <v>1</v>
      </c>
      <c r="T72" s="18" t="b">
        <f>IF(COUNTBLANK(All[[#This Row],[Engagement]:[Exam/Def]])=0,TRUE, FALSE)</f>
        <v>0</v>
      </c>
      <c r="U72" s="18" t="b">
        <f>IF(ISNUMBER(All[[#This Row],[Test]]),TRUE,FALSE)</f>
        <v>0</v>
      </c>
      <c r="V72" s="18" t="e">
        <f>IF((INDEX(Test[Total (%)],MATCH(All[[#This Row],[Student No.]],Test[Student No.],0)))="ABS", TRUE, FALSE)</f>
        <v>#N/A</v>
      </c>
      <c r="W72" s="18" t="b">
        <f>IF(ISNUMBER(INDEX(Exam[Total (%)],MATCH(All[[#This Row],[Student No.]],Exam[Student No.],0))), TRUE, FALSE)</f>
        <v>1</v>
      </c>
      <c r="X72" s="18" t="b">
        <f>IF(ISNUMBER(INDEX(#REF!,MATCH(All[[#This Row],[Student No.]],#REF!,0))),TRUE,FALSE)</f>
        <v>0</v>
      </c>
      <c r="Y72" s="18" t="b">
        <f>IF(ISNUMBER(INDEX(#REF!,MATCH(All[[#This Row],[Student No.]],#REF!,0))),TRUE,FALSE)</f>
        <v>0</v>
      </c>
      <c r="Z72" s="18" t="b">
        <f>IF(All[[#This Row],[Wrote Def]],
IF(INDEX(#REF!, MATCH(All[[#This Row],[Student No.]],#REF!,0))&lt;&gt;All[[#This Row],[Exam/Def]], TRUE, FALSE),
  IF(All[[#This Row],[Wrote Exam]], IF(INDEX(Exam[Total (%)], MATCH(All[[#This Row],[Student No.]],Exam[Student No.],0))&lt;&gt;All[[#This Row],[Exam/Def]],TRUE,FALSE), FALSE))</f>
        <v>0</v>
      </c>
      <c r="AA72" s="18" t="b">
        <f xml:space="preserve">    IF(AND(All[[#This Row],[Exam/Def]]&lt;35,OR(All[[#This Row],[Wrote Exam]],All[[#This Row],[Wrote Def]])), TRUE,FALSE)</f>
        <v>0</v>
      </c>
      <c r="AB72" s="18" t="b">
        <f>IF(AND(All[[#This Row],[Exam &lt; 35%]],All[[#This Row],[Final]]&gt;=50),TRUE,FALSE)</f>
        <v>0</v>
      </c>
      <c r="AC72" s="18"/>
    </row>
    <row r="73" spans="1:29">
      <c r="A73" s="17" t="s">
        <v>339</v>
      </c>
      <c r="B73" s="17" t="s">
        <v>514</v>
      </c>
      <c r="C73" s="100" t="e">
        <f>IF(All[[#This Row],[Student]],
  IF(ISNA(INDEX(#REF!,MATCH(All[[#This Row],[Student No.]],#REF!,0))),
    "Cannot find student!",
    IF(INDEX(#REF!,MATCH(All[[#This Row],[Student No.]],#REF!,0))="",
      "",
      INDEX(#REF!,MATCH(All[[#This Row],[Student No.]],#REF!,0)))
    ),
  "No student!")</f>
        <v>#REF!</v>
      </c>
      <c r="D73"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73" s="18" t="str">
        <f>IF(All[[#This Row],[Student]],
  IF(ISNA(INDEX(Project[Total (%)],MATCH(All[[#This Row],[Student No.]],Project[Student No.],0))),
    "Cannot find student!",
    IF(INDEX(Project[Total (%)],MATCH(All[[#This Row],[Student No.]],Project[Student No.],0))="",
      "",
      INDEX(Project[Total (%)],MATCH(All[[#This Row],[Student No.]],Project[Student No.],0)))
    ),
  "No student!")</f>
        <v/>
      </c>
      <c r="F73" s="201" t="str">
        <f>IF(All[[#This Row],[Wrote Def]], INDEX(#REF!, MATCH(All[[#This Row],[Student No.]],#REF!,0)),
  IF(All[[#This Row],[Wrote Exam]], INDEX(Exam[Total (%)], MATCH(All[[#This Row],[Student No.]], Exam[Student No.],0)),
    ""))</f>
        <v/>
      </c>
      <c r="G73" s="18" t="str">
        <f>IF(AND(All[[#This Row],[Student]], All[[#This Row],[All Components]]),
    IF(NOT(All[Has Test Mark]),ROUND((All[[#This Row],[Engagement]]*$C$5+All[[#This Row],[Project]]*$E$5+All[[#This Row],[Exam/Def]]*$F$5)/($C$5+$E$5+$F$5),0),
      ROUND((All[[#This Row],[Engagement]]*$C$5+All[[#This Row],[Test]]*$D$5+All[[#This Row],[Project]]*$E$5+All[[#This Row],[Exam/Def]]*$F$5)/($C$5+$D$5+$E$5+$F$5),0)
  ),
  "")</f>
        <v/>
      </c>
      <c r="H73" s="18" t="str">
        <f>All[[#This Row],[Course Mark]]</f>
        <v/>
      </c>
      <c r="I73" s="18" t="str">
        <f>IF(All[[#This Row],[Wrote Sup]], INDEX(#REF!,MATCH(All[[#This Row],[Student No.]],#REF!,0)), "")</f>
        <v/>
      </c>
      <c r="J73" s="18" t="str">
        <f>IF(AND(All[[#This Row],[Student]],ISNUMBER(All[[#This Row],[Final]])),_xlfn.RANK.EQ(All[[#This Row],[Final]],All[Final]),"")</f>
        <v/>
      </c>
      <c r="K73" s="31"/>
      <c r="L73" s="18" t="str">
        <f>IF(All[[#This Row],[Student]], IF(All[Wrote Sup],All[Sup],All[[#This Row],[Final]]),"No student")</f>
        <v/>
      </c>
      <c r="M73" s="18" t="str">
        <f>IF(All[[#This Row],[Final]]="","",
  IF(All[[#This Row],[Wrote Sup]],
    IF(All[[#This Row],[Sup]]&lt;50,"FAL","PAS"),
  IF(All[[#This Row],[Exam/Def]]&lt;35, "FSB",
    IF(All[[#This Row],[Final]]&lt;50,"FAL",
    IF(All[[#This Row],[Final]]&gt;=50,"PAS",
  "Error!")))))</f>
        <v/>
      </c>
      <c r="N73" s="18" t="str">
        <f>IF(All[[#This Row],[Student]], _xlfn.IFNA(INDEX(captured[Course Mark],MATCH(All[[#This Row],[Student No.]],captured[ID_TEXT],0) &amp; ""), "Cannot find student!"),"No student!")</f>
        <v>FABS</v>
      </c>
      <c r="O73" s="189" t="str">
        <f>IF(All[[#This Row],[Student]], _xlfn.IFNA(INDEX(captured[Grade],MATCH(All[[#This Row],[Student No.]],captured[ID_TEXT],0)), "Cannot find student!") &amp; "","No student!")</f>
        <v>FAB</v>
      </c>
      <c r="P73" s="18" t="b">
        <f xml:space="preserve"> IF(AND(ISNUMBER(All[[#This Row],[Cap Mark]]), ISNUMBER(All[[#This Row],[My Mark]])), ABS(All[[#This Row],[Cap Mark]] - All[[#This Row],[My Mark]]) &lt;&gt; 0,
    IF(AND(ISNUMBER(All[[#This Row],[My Mark]]),NOT(ISNUMBER(All[[#This Row],[Cap Mark]]))),TRUE,
    IF(AND(ISNUMBER(All[[#This Row],[Cap Mark]]),NOT(ISNUMBER(All[[#This Row],[My Mark]]))),TRUE,FALSE)
    ))</f>
        <v>0</v>
      </c>
      <c r="Q73" s="18" t="str">
        <f>IF(All[[#This Row],[My Grade]]&lt;&gt;"",IF(All[[#This Row],[My Grade]]&lt;&gt;All[[#This Row],[Cap Grade]],TRUE,FALSE),"")</f>
        <v/>
      </c>
      <c r="R73" s="18" t="b">
        <f>IF(NOT(ISBLANK(All[[#This Row],[Student No.]])),OR(ISNUMBER(FIND("FSB",All[[#This Row],[My Grade]])),ISNUMBER(FIND("PAS", All[[#This Row],[My Grade]])),ISNUMBER(FIND("FAL",All[[#This Row],[My Grade]])),ISNUMBER(FIND("FAB", All[[#This Row],[My Grade]])),COUNTBLANK(All[[#This Row],[My Grade]])=1),FALSE)</f>
        <v>1</v>
      </c>
      <c r="S73" s="18" t="b">
        <f>IF(All[[#This Row],[Student No.]]&lt;&gt;"", TRUE, FALSE)</f>
        <v>1</v>
      </c>
      <c r="T73" s="18" t="b">
        <f>IF(COUNTBLANK(All[[#This Row],[Engagement]:[Exam/Def]])=0,TRUE, FALSE)</f>
        <v>0</v>
      </c>
      <c r="U73" s="18" t="b">
        <f>IF(ISNUMBER(All[[#This Row],[Test]]),TRUE,FALSE)</f>
        <v>0</v>
      </c>
      <c r="V73" s="18" t="b">
        <f>IF((INDEX(Test[Total (%)],MATCH(All[[#This Row],[Student No.]],Test[Student No.],0)))="ABS", TRUE, FALSE)</f>
        <v>0</v>
      </c>
      <c r="W73" s="18" t="b">
        <f>IF(ISNUMBER(INDEX(Exam[Total (%)],MATCH(All[[#This Row],[Student No.]],Exam[Student No.],0))), TRUE, FALSE)</f>
        <v>0</v>
      </c>
      <c r="X73" s="18" t="b">
        <f>IF(ISNUMBER(INDEX(#REF!,MATCH(All[[#This Row],[Student No.]],#REF!,0))),TRUE,FALSE)</f>
        <v>0</v>
      </c>
      <c r="Y73" s="18" t="b">
        <f>IF(ISNUMBER(INDEX(#REF!,MATCH(All[[#This Row],[Student No.]],#REF!,0))),TRUE,FALSE)</f>
        <v>0</v>
      </c>
      <c r="Z73" s="18" t="b">
        <f>IF(All[[#This Row],[Wrote Def]],
IF(INDEX(#REF!, MATCH(All[[#This Row],[Student No.]],#REF!,0))&lt;&gt;All[[#This Row],[Exam/Def]], TRUE, FALSE),
  IF(All[[#This Row],[Wrote Exam]], IF(INDEX(Exam[Total (%)], MATCH(All[[#This Row],[Student No.]],Exam[Student No.],0))&lt;&gt;All[[#This Row],[Exam/Def]],TRUE,FALSE), FALSE))</f>
        <v>0</v>
      </c>
      <c r="AA73" s="18" t="b">
        <f xml:space="preserve">    IF(AND(All[[#This Row],[Exam/Def]]&lt;35,OR(All[[#This Row],[Wrote Exam]],All[[#This Row],[Wrote Def]])), TRUE,FALSE)</f>
        <v>0</v>
      </c>
      <c r="AB73" s="18" t="b">
        <f>IF(AND(All[[#This Row],[Exam &lt; 35%]],All[[#This Row],[Final]]&gt;=50),TRUE,FALSE)</f>
        <v>0</v>
      </c>
      <c r="AC73" s="18"/>
    </row>
    <row r="74" spans="1:29">
      <c r="A74" s="17" t="s">
        <v>340</v>
      </c>
      <c r="B74" s="17" t="s">
        <v>515</v>
      </c>
      <c r="C74" s="100" t="e">
        <f>IF(All[[#This Row],[Student]],
  IF(ISNA(INDEX(#REF!,MATCH(All[[#This Row],[Student No.]],#REF!,0))),
    "Cannot find student!",
    IF(INDEX(#REF!,MATCH(All[[#This Row],[Student No.]],#REF!,0))="",
      "",
      INDEX(#REF!,MATCH(All[[#This Row],[Student No.]],#REF!,0)))
    ),
  "No student!")</f>
        <v>#REF!</v>
      </c>
      <c r="D74"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74" s="18" t="str">
        <f>IF(All[[#This Row],[Student]],
  IF(ISNA(INDEX(Project[Total (%)],MATCH(All[[#This Row],[Student No.]],Project[Student No.],0))),
    "Cannot find student!",
    IF(INDEX(Project[Total (%)],MATCH(All[[#This Row],[Student No.]],Project[Student No.],0))="",
      "",
      INDEX(Project[Total (%)],MATCH(All[[#This Row],[Student No.]],Project[Student No.],0)))
    ),
  "No student!")</f>
        <v/>
      </c>
      <c r="F74" s="201">
        <f>IF(All[[#This Row],[Wrote Def]], INDEX(#REF!, MATCH(All[[#This Row],[Student No.]],#REF!,0)),
  IF(All[[#This Row],[Wrote Exam]], INDEX(Exam[Total (%)], MATCH(All[[#This Row],[Student No.]], Exam[Student No.],0)),
    ""))</f>
        <v>23</v>
      </c>
      <c r="G74" s="18" t="str">
        <f>IF(AND(All[[#This Row],[Student]], All[[#This Row],[All Components]]),
    IF(NOT(All[Has Test Mark]),ROUND((All[[#This Row],[Engagement]]*$C$5+All[[#This Row],[Project]]*$E$5+All[[#This Row],[Exam/Def]]*$F$5)/($C$5+$E$5+$F$5),0),
      ROUND((All[[#This Row],[Engagement]]*$C$5+All[[#This Row],[Test]]*$D$5+All[[#This Row],[Project]]*$E$5+All[[#This Row],[Exam/Def]]*$F$5)/($C$5+$D$5+$E$5+$F$5),0)
  ),
  "")</f>
        <v/>
      </c>
      <c r="H74" s="18" t="str">
        <f>All[[#This Row],[Course Mark]]</f>
        <v/>
      </c>
      <c r="I74" s="18" t="str">
        <f>IF(All[[#This Row],[Wrote Sup]], INDEX(#REF!,MATCH(All[[#This Row],[Student No.]],#REF!,0)), "")</f>
        <v/>
      </c>
      <c r="J74" s="18" t="str">
        <f>IF(AND(All[[#This Row],[Student]],ISNUMBER(All[[#This Row],[Final]])),_xlfn.RANK.EQ(All[[#This Row],[Final]],All[Final]),"")</f>
        <v/>
      </c>
      <c r="K74" s="31"/>
      <c r="L74" s="18" t="str">
        <f>IF(All[[#This Row],[Student]], IF(All[Wrote Sup],All[Sup],All[[#This Row],[Final]]),"No student")</f>
        <v/>
      </c>
      <c r="M74" s="18" t="str">
        <f>IF(All[[#This Row],[Final]]="","",
  IF(All[[#This Row],[Wrote Sup]],
    IF(All[[#This Row],[Sup]]&lt;50,"FAL","PAS"),
  IF(All[[#This Row],[Exam/Def]]&lt;35, "FSB",
    IF(All[[#This Row],[Final]]&lt;50,"FAL",
    IF(All[[#This Row],[Final]]&gt;=50,"PAS",
  "Error!")))))</f>
        <v/>
      </c>
      <c r="N74" s="18">
        <f>IF(All[[#This Row],[Student]], _xlfn.IFNA(INDEX(captured[Course Mark],MATCH(All[[#This Row],[Student No.]],captured[ID_TEXT],0) &amp; ""), "Cannot find student!"),"No student!")</f>
        <v>37</v>
      </c>
      <c r="O74" s="189" t="str">
        <f>IF(All[[#This Row],[Student]], _xlfn.IFNA(INDEX(captured[Grade],MATCH(All[[#This Row],[Student No.]],captured[ID_TEXT],0)), "Cannot find student!") &amp; "","No student!")</f>
        <v>FSB</v>
      </c>
      <c r="P74"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74" s="18" t="str">
        <f>IF(All[[#This Row],[My Grade]]&lt;&gt;"",IF(All[[#This Row],[My Grade]]&lt;&gt;All[[#This Row],[Cap Grade]],TRUE,FALSE),"")</f>
        <v/>
      </c>
      <c r="R74" s="18" t="b">
        <f>IF(NOT(ISBLANK(All[[#This Row],[Student No.]])),OR(ISNUMBER(FIND("FSB",All[[#This Row],[My Grade]])),ISNUMBER(FIND("PAS", All[[#This Row],[My Grade]])),ISNUMBER(FIND("FAL",All[[#This Row],[My Grade]])),ISNUMBER(FIND("FAB", All[[#This Row],[My Grade]])),COUNTBLANK(All[[#This Row],[My Grade]])=1),FALSE)</f>
        <v>1</v>
      </c>
      <c r="S74" s="18" t="b">
        <f>IF(All[[#This Row],[Student No.]]&lt;&gt;"", TRUE, FALSE)</f>
        <v>1</v>
      </c>
      <c r="T74" s="18" t="b">
        <f>IF(COUNTBLANK(All[[#This Row],[Engagement]:[Exam/Def]])=0,TRUE, FALSE)</f>
        <v>0</v>
      </c>
      <c r="U74" s="18" t="b">
        <f>IF(ISNUMBER(All[[#This Row],[Test]]),TRUE,FALSE)</f>
        <v>0</v>
      </c>
      <c r="V74" s="18" t="b">
        <f>IF((INDEX(Test[Total (%)],MATCH(All[[#This Row],[Student No.]],Test[Student No.],0)))="ABS", TRUE, FALSE)</f>
        <v>0</v>
      </c>
      <c r="W74" s="18" t="b">
        <f>IF(ISNUMBER(INDEX(Exam[Total (%)],MATCH(All[[#This Row],[Student No.]],Exam[Student No.],0))), TRUE, FALSE)</f>
        <v>1</v>
      </c>
      <c r="X74" s="18" t="b">
        <f>IF(ISNUMBER(INDEX(#REF!,MATCH(All[[#This Row],[Student No.]],#REF!,0))),TRUE,FALSE)</f>
        <v>0</v>
      </c>
      <c r="Y74" s="18" t="b">
        <f>IF(ISNUMBER(INDEX(#REF!,MATCH(All[[#This Row],[Student No.]],#REF!,0))),TRUE,FALSE)</f>
        <v>0</v>
      </c>
      <c r="Z74" s="18" t="b">
        <f>IF(All[[#This Row],[Wrote Def]],
IF(INDEX(#REF!, MATCH(All[[#This Row],[Student No.]],#REF!,0))&lt;&gt;All[[#This Row],[Exam/Def]], TRUE, FALSE),
  IF(All[[#This Row],[Wrote Exam]], IF(INDEX(Exam[Total (%)], MATCH(All[[#This Row],[Student No.]],Exam[Student No.],0))&lt;&gt;All[[#This Row],[Exam/Def]],TRUE,FALSE), FALSE))</f>
        <v>0</v>
      </c>
      <c r="AA74" s="18" t="b">
        <f xml:space="preserve">    IF(AND(All[[#This Row],[Exam/Def]]&lt;35,OR(All[[#This Row],[Wrote Exam]],All[[#This Row],[Wrote Def]])), TRUE,FALSE)</f>
        <v>1</v>
      </c>
      <c r="AB74" s="18" t="b">
        <f>IF(AND(All[[#This Row],[Exam &lt; 35%]],All[[#This Row],[Final]]&gt;=50),TRUE,FALSE)</f>
        <v>1</v>
      </c>
      <c r="AC74" s="18"/>
    </row>
    <row r="75" spans="1:29" ht="43.2">
      <c r="A75" s="17" t="s">
        <v>341</v>
      </c>
      <c r="B75" s="17" t="s">
        <v>516</v>
      </c>
      <c r="C75" s="100" t="e">
        <f>IF(All[[#This Row],[Student]],
  IF(ISNA(INDEX(#REF!,MATCH(All[[#This Row],[Student No.]],#REF!,0))),
    "Cannot find student!",
    IF(INDEX(#REF!,MATCH(All[[#This Row],[Student No.]],#REF!,0))="",
      "",
      INDEX(#REF!,MATCH(All[[#This Row],[Student No.]],#REF!,0)))
    ),
  "No student!")</f>
        <v>#REF!</v>
      </c>
      <c r="D75"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75" s="18" t="str">
        <f>IF(All[[#This Row],[Student]],
  IF(ISNA(INDEX(Project[Total (%)],MATCH(All[[#This Row],[Student No.]],Project[Student No.],0))),
    "Cannot find student!",
    IF(INDEX(Project[Total (%)],MATCH(All[[#This Row],[Student No.]],Project[Student No.],0))="",
      "",
      INDEX(Project[Total (%)],MATCH(All[[#This Row],[Student No.]],Project[Student No.],0)))
    ),
  "No student!")</f>
        <v/>
      </c>
      <c r="F75" s="201">
        <f>IF(All[[#This Row],[Wrote Def]], INDEX(#REF!, MATCH(All[[#This Row],[Student No.]],#REF!,0)),
  IF(All[[#This Row],[Wrote Exam]], INDEX(Exam[Total (%)], MATCH(All[[#This Row],[Student No.]], Exam[Student No.],0)),
    ""))</f>
        <v>35</v>
      </c>
      <c r="G75" s="18" t="str">
        <f>IF(AND(All[[#This Row],[Student]], All[[#This Row],[All Components]]),
    IF(NOT(All[Has Test Mark]),ROUND((All[[#This Row],[Engagement]]*$C$5+All[[#This Row],[Project]]*$E$5+All[[#This Row],[Exam/Def]]*$F$5)/($C$5+$E$5+$F$5),0),
      ROUND((All[[#This Row],[Engagement]]*$C$5+All[[#This Row],[Test]]*$D$5+All[[#This Row],[Project]]*$E$5+All[[#This Row],[Exam/Def]]*$F$5)/($C$5+$D$5+$E$5+$F$5),0)
  ),
  "")</f>
        <v/>
      </c>
      <c r="H75" s="18" t="str">
        <f>All[[#This Row],[Course Mark]]</f>
        <v/>
      </c>
      <c r="I75" s="18" t="str">
        <f>IF(All[[#This Row],[Wrote Sup]], INDEX(#REF!,MATCH(All[[#This Row],[Student No.]],#REF!,0)), "")</f>
        <v/>
      </c>
      <c r="J75" s="18" t="str">
        <f>IF(AND(All[[#This Row],[Student]],ISNUMBER(All[[#This Row],[Final]])),_xlfn.RANK.EQ(All[[#This Row],[Final]],All[Final]),"")</f>
        <v/>
      </c>
      <c r="K75" s="31"/>
      <c r="L75" s="18" t="str">
        <f>IF(All[[#This Row],[Student]], IF(All[Wrote Sup],All[Sup],All[[#This Row],[Final]]),"No student")</f>
        <v/>
      </c>
      <c r="M75" s="18" t="str">
        <f>IF(All[[#This Row],[Final]]="","",
  IF(All[[#This Row],[Wrote Sup]],
    IF(All[[#This Row],[Sup]]&lt;50,"FAL","PAS"),
  IF(All[[#This Row],[Exam/Def]]&lt;35, "FSB",
    IF(All[[#This Row],[Final]]&lt;50,"FAL",
    IF(All[[#This Row],[Final]]&gt;=50,"PAS",
  "Error!")))))</f>
        <v/>
      </c>
      <c r="N75" s="18">
        <f>IF(All[[#This Row],[Student]], _xlfn.IFNA(INDEX(captured[Course Mark],MATCH(All[[#This Row],[Student No.]],captured[ID_TEXT],0) &amp; ""), "Cannot find student!"),"No student!")</f>
        <v>34</v>
      </c>
      <c r="O75" s="189" t="str">
        <f>IF(All[[#This Row],[Student]], _xlfn.IFNA(INDEX(captured[Grade],MATCH(All[[#This Row],[Student No.]],captured[ID_TEXT],0)), "Cannot find student!") &amp; "","No student!")</f>
        <v/>
      </c>
      <c r="P75"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75" s="18" t="str">
        <f>IF(All[[#This Row],[My Grade]]&lt;&gt;"",IF(All[[#This Row],[My Grade]]&lt;&gt;All[[#This Row],[Cap Grade]],TRUE,FALSE),"")</f>
        <v/>
      </c>
      <c r="R75" s="18" t="b">
        <f>IF(NOT(ISBLANK(All[[#This Row],[Student No.]])),OR(ISNUMBER(FIND("FSB",All[[#This Row],[My Grade]])),ISNUMBER(FIND("PAS", All[[#This Row],[My Grade]])),ISNUMBER(FIND("FAL",All[[#This Row],[My Grade]])),ISNUMBER(FIND("FAB", All[[#This Row],[My Grade]])),COUNTBLANK(All[[#This Row],[My Grade]])=1),FALSE)</f>
        <v>1</v>
      </c>
      <c r="S75" s="18" t="b">
        <f>IF(All[[#This Row],[Student No.]]&lt;&gt;"", TRUE, FALSE)</f>
        <v>1</v>
      </c>
      <c r="T75" s="18" t="b">
        <f>IF(COUNTBLANK(All[[#This Row],[Engagement]:[Exam/Def]])=0,TRUE, FALSE)</f>
        <v>0</v>
      </c>
      <c r="U75" s="18" t="b">
        <f>IF(ISNUMBER(All[[#This Row],[Test]]),TRUE,FALSE)</f>
        <v>0</v>
      </c>
      <c r="V75" s="18" t="e">
        <f>IF((INDEX(Test[Total (%)],MATCH(All[[#This Row],[Student No.]],Test[Student No.],0)))="ABS", TRUE, FALSE)</f>
        <v>#N/A</v>
      </c>
      <c r="W75" s="18" t="b">
        <f>IF(ISNUMBER(INDEX(Exam[Total (%)],MATCH(All[[#This Row],[Student No.]],Exam[Student No.],0))), TRUE, FALSE)</f>
        <v>1</v>
      </c>
      <c r="X75" s="18" t="b">
        <f>IF(ISNUMBER(INDEX(#REF!,MATCH(All[[#This Row],[Student No.]],#REF!,0))),TRUE,FALSE)</f>
        <v>0</v>
      </c>
      <c r="Y75" s="18" t="b">
        <f>IF(ISNUMBER(INDEX(#REF!,MATCH(All[[#This Row],[Student No.]],#REF!,0))),TRUE,FALSE)</f>
        <v>0</v>
      </c>
      <c r="Z75" s="18" t="b">
        <f>IF(All[[#This Row],[Wrote Def]],
IF(INDEX(#REF!, MATCH(All[[#This Row],[Student No.]],#REF!,0))&lt;&gt;All[[#This Row],[Exam/Def]], TRUE, FALSE),
  IF(All[[#This Row],[Wrote Exam]], IF(INDEX(Exam[Total (%)], MATCH(All[[#This Row],[Student No.]],Exam[Student No.],0))&lt;&gt;All[[#This Row],[Exam/Def]],TRUE,FALSE), FALSE))</f>
        <v>0</v>
      </c>
      <c r="AA75" s="18" t="b">
        <f xml:space="preserve">    IF(AND(All[[#This Row],[Exam/Def]]&lt;35,OR(All[[#This Row],[Wrote Exam]],All[[#This Row],[Wrote Def]])), TRUE,FALSE)</f>
        <v>0</v>
      </c>
      <c r="AB75" s="18" t="b">
        <f>IF(AND(All[[#This Row],[Exam &lt; 35%]],All[[#This Row],[Final]]&gt;=50),TRUE,FALSE)</f>
        <v>0</v>
      </c>
      <c r="AC75" s="18"/>
    </row>
    <row r="76" spans="1:29">
      <c r="A76" s="17" t="s">
        <v>342</v>
      </c>
      <c r="B76" s="17" t="s">
        <v>517</v>
      </c>
      <c r="C76" s="100" t="e">
        <f>IF(All[[#This Row],[Student]],
  IF(ISNA(INDEX(#REF!,MATCH(All[[#This Row],[Student No.]],#REF!,0))),
    "Cannot find student!",
    IF(INDEX(#REF!,MATCH(All[[#This Row],[Student No.]],#REF!,0))="",
      "",
      INDEX(#REF!,MATCH(All[[#This Row],[Student No.]],#REF!,0)))
    ),
  "No student!")</f>
        <v>#REF!</v>
      </c>
      <c r="D76"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76" s="18" t="str">
        <f>IF(All[[#This Row],[Student]],
  IF(ISNA(INDEX(Project[Total (%)],MATCH(All[[#This Row],[Student No.]],Project[Student No.],0))),
    "Cannot find student!",
    IF(INDEX(Project[Total (%)],MATCH(All[[#This Row],[Student No.]],Project[Student No.],0))="",
      "",
      INDEX(Project[Total (%)],MATCH(All[[#This Row],[Student No.]],Project[Student No.],0)))
    ),
  "No student!")</f>
        <v/>
      </c>
      <c r="F76" s="201">
        <f>IF(All[[#This Row],[Wrote Def]], INDEX(#REF!, MATCH(All[[#This Row],[Student No.]],#REF!,0)),
  IF(All[[#This Row],[Wrote Exam]], INDEX(Exam[Total (%)], MATCH(All[[#This Row],[Student No.]], Exam[Student No.],0)),
    ""))</f>
        <v>27</v>
      </c>
      <c r="G76" s="18" t="str">
        <f>IF(AND(All[[#This Row],[Student]], All[[#This Row],[All Components]]),
    IF(NOT(All[Has Test Mark]),ROUND((All[[#This Row],[Engagement]]*$C$5+All[[#This Row],[Project]]*$E$5+All[[#This Row],[Exam/Def]]*$F$5)/($C$5+$E$5+$F$5),0),
      ROUND((All[[#This Row],[Engagement]]*$C$5+All[[#This Row],[Test]]*$D$5+All[[#This Row],[Project]]*$E$5+All[[#This Row],[Exam/Def]]*$F$5)/($C$5+$D$5+$E$5+$F$5),0)
  ),
  "")</f>
        <v/>
      </c>
      <c r="H76" s="18" t="str">
        <f>All[[#This Row],[Course Mark]]</f>
        <v/>
      </c>
      <c r="I76" s="18" t="str">
        <f>IF(All[[#This Row],[Wrote Sup]], INDEX(#REF!,MATCH(All[[#This Row],[Student No.]],#REF!,0)), "")</f>
        <v/>
      </c>
      <c r="J76" s="18" t="str">
        <f>IF(AND(All[[#This Row],[Student]],ISNUMBER(All[[#This Row],[Final]])),_xlfn.RANK.EQ(All[[#This Row],[Final]],All[Final]),"")</f>
        <v/>
      </c>
      <c r="K76" s="31"/>
      <c r="L76" s="18" t="str">
        <f>IF(All[[#This Row],[Student]], IF(All[Wrote Sup],All[Sup],All[[#This Row],[Final]]),"No student")</f>
        <v/>
      </c>
      <c r="M76" s="18" t="str">
        <f>IF(All[[#This Row],[Final]]="","",
  IF(All[[#This Row],[Wrote Sup]],
    IF(All[[#This Row],[Sup]]&lt;50,"FAL","PAS"),
  IF(All[[#This Row],[Exam/Def]]&lt;35, "FSB",
    IF(All[[#This Row],[Final]]&lt;50,"FAL",
    IF(All[[#This Row],[Final]]&gt;=50,"PAS",
  "Error!")))))</f>
        <v/>
      </c>
      <c r="N76" s="18">
        <f>IF(All[[#This Row],[Student]], _xlfn.IFNA(INDEX(captured[Course Mark],MATCH(All[[#This Row],[Student No.]],captured[ID_TEXT],0) &amp; ""), "Cannot find student!"),"No student!")</f>
        <v>18</v>
      </c>
      <c r="O76" s="189" t="str">
        <f>IF(All[[#This Row],[Student]], _xlfn.IFNA(INDEX(captured[Grade],MATCH(All[[#This Row],[Student No.]],captured[ID_TEXT],0)), "Cannot find student!") &amp; "","No student!")</f>
        <v>FSB</v>
      </c>
      <c r="P76"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76" s="18" t="str">
        <f>IF(All[[#This Row],[My Grade]]&lt;&gt;"",IF(All[[#This Row],[My Grade]]&lt;&gt;All[[#This Row],[Cap Grade]],TRUE,FALSE),"")</f>
        <v/>
      </c>
      <c r="R76" s="18" t="b">
        <f>IF(NOT(ISBLANK(All[[#This Row],[Student No.]])),OR(ISNUMBER(FIND("FSB",All[[#This Row],[My Grade]])),ISNUMBER(FIND("PAS", All[[#This Row],[My Grade]])),ISNUMBER(FIND("FAL",All[[#This Row],[My Grade]])),ISNUMBER(FIND("FAB", All[[#This Row],[My Grade]])),COUNTBLANK(All[[#This Row],[My Grade]])=1),FALSE)</f>
        <v>1</v>
      </c>
      <c r="S76" s="18" t="b">
        <f>IF(All[[#This Row],[Student No.]]&lt;&gt;"", TRUE, FALSE)</f>
        <v>1</v>
      </c>
      <c r="T76" s="18" t="b">
        <f>IF(COUNTBLANK(All[[#This Row],[Engagement]:[Exam/Def]])=0,TRUE, FALSE)</f>
        <v>0</v>
      </c>
      <c r="U76" s="18" t="b">
        <f>IF(ISNUMBER(All[[#This Row],[Test]]),TRUE,FALSE)</f>
        <v>0</v>
      </c>
      <c r="V76" s="18" t="b">
        <f>IF((INDEX(Test[Total (%)],MATCH(All[[#This Row],[Student No.]],Test[Student No.],0)))="ABS", TRUE, FALSE)</f>
        <v>0</v>
      </c>
      <c r="W76" s="18" t="b">
        <f>IF(ISNUMBER(INDEX(Exam[Total (%)],MATCH(All[[#This Row],[Student No.]],Exam[Student No.],0))), TRUE, FALSE)</f>
        <v>1</v>
      </c>
      <c r="X76" s="18" t="b">
        <f>IF(ISNUMBER(INDEX(#REF!,MATCH(All[[#This Row],[Student No.]],#REF!,0))),TRUE,FALSE)</f>
        <v>0</v>
      </c>
      <c r="Y76" s="18" t="b">
        <f>IF(ISNUMBER(INDEX(#REF!,MATCH(All[[#This Row],[Student No.]],#REF!,0))),TRUE,FALSE)</f>
        <v>0</v>
      </c>
      <c r="Z76" s="18" t="b">
        <f>IF(All[[#This Row],[Wrote Def]],
IF(INDEX(#REF!, MATCH(All[[#This Row],[Student No.]],#REF!,0))&lt;&gt;All[[#This Row],[Exam/Def]], TRUE, FALSE),
  IF(All[[#This Row],[Wrote Exam]], IF(INDEX(Exam[Total (%)], MATCH(All[[#This Row],[Student No.]],Exam[Student No.],0))&lt;&gt;All[[#This Row],[Exam/Def]],TRUE,FALSE), FALSE))</f>
        <v>0</v>
      </c>
      <c r="AA76" s="18" t="b">
        <f xml:space="preserve">    IF(AND(All[[#This Row],[Exam/Def]]&lt;35,OR(All[[#This Row],[Wrote Exam]],All[[#This Row],[Wrote Def]])), TRUE,FALSE)</f>
        <v>1</v>
      </c>
      <c r="AB76" s="18" t="b">
        <f>IF(AND(All[[#This Row],[Exam &lt; 35%]],All[[#This Row],[Final]]&gt;=50),TRUE,FALSE)</f>
        <v>1</v>
      </c>
      <c r="AC76" s="18"/>
    </row>
    <row r="77" spans="1:29" ht="43.2">
      <c r="A77" s="17" t="s">
        <v>343</v>
      </c>
      <c r="B77" s="17" t="s">
        <v>518</v>
      </c>
      <c r="C77" s="100" t="e">
        <f>IF(All[[#This Row],[Student]],
  IF(ISNA(INDEX(#REF!,MATCH(All[[#This Row],[Student No.]],#REF!,0))),
    "Cannot find student!",
    IF(INDEX(#REF!,MATCH(All[[#This Row],[Student No.]],#REF!,0))="",
      "",
      INDEX(#REF!,MATCH(All[[#This Row],[Student No.]],#REF!,0)))
    ),
  "No student!")</f>
        <v>#REF!</v>
      </c>
      <c r="D77"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77" s="18" t="str">
        <f>IF(All[[#This Row],[Student]],
  IF(ISNA(INDEX(Project[Total (%)],MATCH(All[[#This Row],[Student No.]],Project[Student No.],0))),
    "Cannot find student!",
    IF(INDEX(Project[Total (%)],MATCH(All[[#This Row],[Student No.]],Project[Student No.],0))="",
      "",
      INDEX(Project[Total (%)],MATCH(All[[#This Row],[Student No.]],Project[Student No.],0)))
    ),
  "No student!")</f>
        <v/>
      </c>
      <c r="F77" s="201">
        <f>IF(All[[#This Row],[Wrote Def]], INDEX(#REF!, MATCH(All[[#This Row],[Student No.]],#REF!,0)),
  IF(All[[#This Row],[Wrote Exam]], INDEX(Exam[Total (%)], MATCH(All[[#This Row],[Student No.]], Exam[Student No.],0)),
    ""))</f>
        <v>7</v>
      </c>
      <c r="G77" s="18" t="str">
        <f>IF(AND(All[[#This Row],[Student]], All[[#This Row],[All Components]]),
    IF(NOT(All[Has Test Mark]),ROUND((All[[#This Row],[Engagement]]*$C$5+All[[#This Row],[Project]]*$E$5+All[[#This Row],[Exam/Def]]*$F$5)/($C$5+$E$5+$F$5),0),
      ROUND((All[[#This Row],[Engagement]]*$C$5+All[[#This Row],[Test]]*$D$5+All[[#This Row],[Project]]*$E$5+All[[#This Row],[Exam/Def]]*$F$5)/($C$5+$D$5+$E$5+$F$5),0)
  ),
  "")</f>
        <v/>
      </c>
      <c r="H77" s="18" t="str">
        <f>All[[#This Row],[Course Mark]]</f>
        <v/>
      </c>
      <c r="I77" s="18" t="str">
        <f>IF(All[[#This Row],[Wrote Sup]], INDEX(#REF!,MATCH(All[[#This Row],[Student No.]],#REF!,0)), "")</f>
        <v/>
      </c>
      <c r="J77" s="18" t="str">
        <f>IF(AND(All[[#This Row],[Student]],ISNUMBER(All[[#This Row],[Final]])),_xlfn.RANK.EQ(All[[#This Row],[Final]],All[Final]),"")</f>
        <v/>
      </c>
      <c r="K77" s="31"/>
      <c r="L77" s="18" t="str">
        <f>IF(All[[#This Row],[Student]], IF(All[Wrote Sup],All[Sup],All[[#This Row],[Final]]),"No student")</f>
        <v/>
      </c>
      <c r="M77" s="18" t="str">
        <f>IF(All[[#This Row],[Final]]="","",
  IF(All[[#This Row],[Wrote Sup]],
    IF(All[[#This Row],[Sup]]&lt;50,"FAL","PAS"),
  IF(All[[#This Row],[Exam/Def]]&lt;35, "FSB",
    IF(All[[#This Row],[Final]]&lt;50,"FAL",
    IF(All[[#This Row],[Final]]&gt;=50,"PAS",
  "Error!")))))</f>
        <v/>
      </c>
      <c r="N77" s="18">
        <f>IF(All[[#This Row],[Student]], _xlfn.IFNA(INDEX(captured[Course Mark],MATCH(All[[#This Row],[Student No.]],captured[ID_TEXT],0) &amp; ""), "Cannot find student!"),"No student!")</f>
        <v>9</v>
      </c>
      <c r="O77" s="189" t="str">
        <f>IF(All[[#This Row],[Student]], _xlfn.IFNA(INDEX(captured[Grade],MATCH(All[[#This Row],[Student No.]],captured[ID_TEXT],0)), "Cannot find student!") &amp; "","No student!")</f>
        <v>FSB</v>
      </c>
      <c r="P77"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77" s="18" t="str">
        <f>IF(All[[#This Row],[My Grade]]&lt;&gt;"",IF(All[[#This Row],[My Grade]]&lt;&gt;All[[#This Row],[Cap Grade]],TRUE,FALSE),"")</f>
        <v/>
      </c>
      <c r="R77" s="18" t="b">
        <f>IF(NOT(ISBLANK(All[[#This Row],[Student No.]])),OR(ISNUMBER(FIND("FSB",All[[#This Row],[My Grade]])),ISNUMBER(FIND("PAS", All[[#This Row],[My Grade]])),ISNUMBER(FIND("FAL",All[[#This Row],[My Grade]])),ISNUMBER(FIND("FAB", All[[#This Row],[My Grade]])),COUNTBLANK(All[[#This Row],[My Grade]])=1),FALSE)</f>
        <v>1</v>
      </c>
      <c r="S77" s="18" t="b">
        <f>IF(All[[#This Row],[Student No.]]&lt;&gt;"", TRUE, FALSE)</f>
        <v>1</v>
      </c>
      <c r="T77" s="18" t="b">
        <f>IF(COUNTBLANK(All[[#This Row],[Engagement]:[Exam/Def]])=0,TRUE, FALSE)</f>
        <v>0</v>
      </c>
      <c r="U77" s="18" t="b">
        <f>IF(ISNUMBER(All[[#This Row],[Test]]),TRUE,FALSE)</f>
        <v>0</v>
      </c>
      <c r="V77" s="18" t="e">
        <f>IF((INDEX(Test[Total (%)],MATCH(All[[#This Row],[Student No.]],Test[Student No.],0)))="ABS", TRUE, FALSE)</f>
        <v>#N/A</v>
      </c>
      <c r="W77" s="18" t="b">
        <f>IF(ISNUMBER(INDEX(Exam[Total (%)],MATCH(All[[#This Row],[Student No.]],Exam[Student No.],0))), TRUE, FALSE)</f>
        <v>1</v>
      </c>
      <c r="X77" s="18" t="b">
        <f>IF(ISNUMBER(INDEX(#REF!,MATCH(All[[#This Row],[Student No.]],#REF!,0))),TRUE,FALSE)</f>
        <v>0</v>
      </c>
      <c r="Y77" s="18" t="b">
        <f>IF(ISNUMBER(INDEX(#REF!,MATCH(All[[#This Row],[Student No.]],#REF!,0))),TRUE,FALSE)</f>
        <v>0</v>
      </c>
      <c r="Z77" s="18" t="b">
        <f>IF(All[[#This Row],[Wrote Def]],
IF(INDEX(#REF!, MATCH(All[[#This Row],[Student No.]],#REF!,0))&lt;&gt;All[[#This Row],[Exam/Def]], TRUE, FALSE),
  IF(All[[#This Row],[Wrote Exam]], IF(INDEX(Exam[Total (%)], MATCH(All[[#This Row],[Student No.]],Exam[Student No.],0))&lt;&gt;All[[#This Row],[Exam/Def]],TRUE,FALSE), FALSE))</f>
        <v>0</v>
      </c>
      <c r="AA77" s="18" t="b">
        <f xml:space="preserve">    IF(AND(All[[#This Row],[Exam/Def]]&lt;35,OR(All[[#This Row],[Wrote Exam]],All[[#This Row],[Wrote Def]])), TRUE,FALSE)</f>
        <v>1</v>
      </c>
      <c r="AB77" s="18" t="b">
        <f>IF(AND(All[[#This Row],[Exam &lt; 35%]],All[[#This Row],[Final]]&gt;=50),TRUE,FALSE)</f>
        <v>1</v>
      </c>
      <c r="AC77" s="18"/>
    </row>
    <row r="78" spans="1:29">
      <c r="A78" s="17" t="s">
        <v>344</v>
      </c>
      <c r="B78" s="17" t="s">
        <v>519</v>
      </c>
      <c r="C78" s="100" t="e">
        <f>IF(All[[#This Row],[Student]],
  IF(ISNA(INDEX(#REF!,MATCH(All[[#This Row],[Student No.]],#REF!,0))),
    "Cannot find student!",
    IF(INDEX(#REF!,MATCH(All[[#This Row],[Student No.]],#REF!,0))="",
      "",
      INDEX(#REF!,MATCH(All[[#This Row],[Student No.]],#REF!,0)))
    ),
  "No student!")</f>
        <v>#REF!</v>
      </c>
      <c r="D78"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78" s="18" t="str">
        <f>IF(All[[#This Row],[Student]],
  IF(ISNA(INDEX(Project[Total (%)],MATCH(All[[#This Row],[Student No.]],Project[Student No.],0))),
    "Cannot find student!",
    IF(INDEX(Project[Total (%)],MATCH(All[[#This Row],[Student No.]],Project[Student No.],0))="",
      "",
      INDEX(Project[Total (%)],MATCH(All[[#This Row],[Student No.]],Project[Student No.],0)))
    ),
  "No student!")</f>
        <v/>
      </c>
      <c r="F78" s="201" t="str">
        <f>IF(All[[#This Row],[Wrote Def]], INDEX(#REF!, MATCH(All[[#This Row],[Student No.]],#REF!,0)),
  IF(All[[#This Row],[Wrote Exam]], INDEX(Exam[Total (%)], MATCH(All[[#This Row],[Student No.]], Exam[Student No.],0)),
    ""))</f>
        <v/>
      </c>
      <c r="G78" s="18" t="str">
        <f>IF(AND(All[[#This Row],[Student]], All[[#This Row],[All Components]]),
    IF(NOT(All[Has Test Mark]),ROUND((All[[#This Row],[Engagement]]*$C$5+All[[#This Row],[Project]]*$E$5+All[[#This Row],[Exam/Def]]*$F$5)/($C$5+$E$5+$F$5),0),
      ROUND((All[[#This Row],[Engagement]]*$C$5+All[[#This Row],[Test]]*$D$5+All[[#This Row],[Project]]*$E$5+All[[#This Row],[Exam/Def]]*$F$5)/($C$5+$D$5+$E$5+$F$5),0)
  ),
  "")</f>
        <v/>
      </c>
      <c r="H78" s="18" t="str">
        <f>All[[#This Row],[Course Mark]]</f>
        <v/>
      </c>
      <c r="I78" s="18" t="str">
        <f>IF(All[[#This Row],[Wrote Sup]], INDEX(#REF!,MATCH(All[[#This Row],[Student No.]],#REF!,0)), "")</f>
        <v/>
      </c>
      <c r="J78" s="18" t="str">
        <f>IF(AND(All[[#This Row],[Student]],ISNUMBER(All[[#This Row],[Final]])),_xlfn.RANK.EQ(All[[#This Row],[Final]],All[Final]),"")</f>
        <v/>
      </c>
      <c r="K78" s="31"/>
      <c r="L78" s="18" t="str">
        <f>IF(All[[#This Row],[Student]], IF(All[Wrote Sup],All[Sup],All[[#This Row],[Final]]),"No student")</f>
        <v/>
      </c>
      <c r="M78" s="18" t="str">
        <f>IF(All[[#This Row],[Final]]="","",
  IF(All[[#This Row],[Wrote Sup]],
    IF(All[[#This Row],[Sup]]&lt;50,"FAL","PAS"),
  IF(All[[#This Row],[Exam/Def]]&lt;35, "FSB",
    IF(All[[#This Row],[Final]]&lt;50,"FAL",
    IF(All[[#This Row],[Final]]&gt;=50,"PAS",
  "Error!")))))</f>
        <v/>
      </c>
      <c r="N78" s="18">
        <f>IF(All[[#This Row],[Student]], _xlfn.IFNA(INDEX(captured[Course Mark],MATCH(All[[#This Row],[Student No.]],captured[ID_TEXT],0) &amp; ""), "Cannot find student!"),"No student!")</f>
        <v>8</v>
      </c>
      <c r="O78" s="189" t="str">
        <f>IF(All[[#This Row],[Student]], _xlfn.IFNA(INDEX(captured[Grade],MATCH(All[[#This Row],[Student No.]],captured[ID_TEXT],0)), "Cannot find student!") &amp; "","No student!")</f>
        <v>FSB</v>
      </c>
      <c r="P78"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78" s="18" t="str">
        <f>IF(All[[#This Row],[My Grade]]&lt;&gt;"",IF(All[[#This Row],[My Grade]]&lt;&gt;All[[#This Row],[Cap Grade]],TRUE,FALSE),"")</f>
        <v/>
      </c>
      <c r="R78" s="18" t="b">
        <f>IF(NOT(ISBLANK(All[[#This Row],[Student No.]])),OR(ISNUMBER(FIND("FSB",All[[#This Row],[My Grade]])),ISNUMBER(FIND("PAS", All[[#This Row],[My Grade]])),ISNUMBER(FIND("FAL",All[[#This Row],[My Grade]])),ISNUMBER(FIND("FAB", All[[#This Row],[My Grade]])),COUNTBLANK(All[[#This Row],[My Grade]])=1),FALSE)</f>
        <v>1</v>
      </c>
      <c r="S78" s="18" t="b">
        <f>IF(All[[#This Row],[Student No.]]&lt;&gt;"", TRUE, FALSE)</f>
        <v>1</v>
      </c>
      <c r="T78" s="18" t="b">
        <f>IF(COUNTBLANK(All[[#This Row],[Engagement]:[Exam/Def]])=0,TRUE, FALSE)</f>
        <v>0</v>
      </c>
      <c r="U78" s="18" t="b">
        <f>IF(ISNUMBER(All[[#This Row],[Test]]),TRUE,FALSE)</f>
        <v>0</v>
      </c>
      <c r="V78" s="18" t="b">
        <f>IF((INDEX(Test[Total (%)],MATCH(All[[#This Row],[Student No.]],Test[Student No.],0)))="ABS", TRUE, FALSE)</f>
        <v>0</v>
      </c>
      <c r="W78" s="18" t="b">
        <f>IF(ISNUMBER(INDEX(Exam[Total (%)],MATCH(All[[#This Row],[Student No.]],Exam[Student No.],0))), TRUE, FALSE)</f>
        <v>0</v>
      </c>
      <c r="X78" s="18" t="b">
        <f>IF(ISNUMBER(INDEX(#REF!,MATCH(All[[#This Row],[Student No.]],#REF!,0))),TRUE,FALSE)</f>
        <v>0</v>
      </c>
      <c r="Y78" s="18" t="b">
        <f>IF(ISNUMBER(INDEX(#REF!,MATCH(All[[#This Row],[Student No.]],#REF!,0))),TRUE,FALSE)</f>
        <v>0</v>
      </c>
      <c r="Z78" s="18" t="b">
        <f>IF(All[[#This Row],[Wrote Def]],
IF(INDEX(#REF!, MATCH(All[[#This Row],[Student No.]],#REF!,0))&lt;&gt;All[[#This Row],[Exam/Def]], TRUE, FALSE),
  IF(All[[#This Row],[Wrote Exam]], IF(INDEX(Exam[Total (%)], MATCH(All[[#This Row],[Student No.]],Exam[Student No.],0))&lt;&gt;All[[#This Row],[Exam/Def]],TRUE,FALSE), FALSE))</f>
        <v>0</v>
      </c>
      <c r="AA78" s="18" t="b">
        <f xml:space="preserve">    IF(AND(All[[#This Row],[Exam/Def]]&lt;35,OR(All[[#This Row],[Wrote Exam]],All[[#This Row],[Wrote Def]])), TRUE,FALSE)</f>
        <v>0</v>
      </c>
      <c r="AB78" s="18" t="b">
        <f>IF(AND(All[[#This Row],[Exam &lt; 35%]],All[[#This Row],[Final]]&gt;=50),TRUE,FALSE)</f>
        <v>0</v>
      </c>
      <c r="AC78" s="18"/>
    </row>
    <row r="79" spans="1:29" ht="43.2">
      <c r="A79" s="17" t="s">
        <v>345</v>
      </c>
      <c r="B79" s="17" t="s">
        <v>520</v>
      </c>
      <c r="C79" s="100" t="e">
        <f>IF(All[[#This Row],[Student]],
  IF(ISNA(INDEX(#REF!,MATCH(All[[#This Row],[Student No.]],#REF!,0))),
    "Cannot find student!",
    IF(INDEX(#REF!,MATCH(All[[#This Row],[Student No.]],#REF!,0))="",
      "",
      INDEX(#REF!,MATCH(All[[#This Row],[Student No.]],#REF!,0)))
    ),
  "No student!")</f>
        <v>#REF!</v>
      </c>
      <c r="D79"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79" s="18" t="str">
        <f>IF(All[[#This Row],[Student]],
  IF(ISNA(INDEX(Project[Total (%)],MATCH(All[[#This Row],[Student No.]],Project[Student No.],0))),
    "Cannot find student!",
    IF(INDEX(Project[Total (%)],MATCH(All[[#This Row],[Student No.]],Project[Student No.],0))="",
      "",
      INDEX(Project[Total (%)],MATCH(All[[#This Row],[Student No.]],Project[Student No.],0)))
    ),
  "No student!")</f>
        <v/>
      </c>
      <c r="F79" s="201">
        <f>IF(All[[#This Row],[Wrote Def]], INDEX(#REF!, MATCH(All[[#This Row],[Student No.]],#REF!,0)),
  IF(All[[#This Row],[Wrote Exam]], INDEX(Exam[Total (%)], MATCH(All[[#This Row],[Student No.]], Exam[Student No.],0)),
    ""))</f>
        <v>27</v>
      </c>
      <c r="G79" s="18" t="str">
        <f>IF(AND(All[[#This Row],[Student]], All[[#This Row],[All Components]]),
    IF(NOT(All[Has Test Mark]),ROUND((All[[#This Row],[Engagement]]*$C$5+All[[#This Row],[Project]]*$E$5+All[[#This Row],[Exam/Def]]*$F$5)/($C$5+$E$5+$F$5),0),
      ROUND((All[[#This Row],[Engagement]]*$C$5+All[[#This Row],[Test]]*$D$5+All[[#This Row],[Project]]*$E$5+All[[#This Row],[Exam/Def]]*$F$5)/($C$5+$D$5+$E$5+$F$5),0)
  ),
  "")</f>
        <v/>
      </c>
      <c r="H79" s="18" t="str">
        <f>All[[#This Row],[Course Mark]]</f>
        <v/>
      </c>
      <c r="I79" s="18" t="str">
        <f>IF(All[[#This Row],[Wrote Sup]], INDEX(#REF!,MATCH(All[[#This Row],[Student No.]],#REF!,0)), "")</f>
        <v/>
      </c>
      <c r="J79" s="18" t="str">
        <f>IF(AND(All[[#This Row],[Student]],ISNUMBER(All[[#This Row],[Final]])),_xlfn.RANK.EQ(All[[#This Row],[Final]],All[Final]),"")</f>
        <v/>
      </c>
      <c r="K79" s="31"/>
      <c r="L79" s="18" t="str">
        <f>IF(All[[#This Row],[Student]], IF(All[Wrote Sup],All[Sup],All[[#This Row],[Final]]),"No student")</f>
        <v/>
      </c>
      <c r="M79" s="18" t="str">
        <f>IF(All[[#This Row],[Final]]="","",
  IF(All[[#This Row],[Wrote Sup]],
    IF(All[[#This Row],[Sup]]&lt;50,"FAL","PAS"),
  IF(All[[#This Row],[Exam/Def]]&lt;35, "FSB",
    IF(All[[#This Row],[Final]]&lt;50,"FAL",
    IF(All[[#This Row],[Final]]&gt;=50,"PAS",
  "Error!")))))</f>
        <v/>
      </c>
      <c r="N79" s="18">
        <f>IF(All[[#This Row],[Student]], _xlfn.IFNA(INDEX(captured[Course Mark],MATCH(All[[#This Row],[Student No.]],captured[ID_TEXT],0) &amp; ""), "Cannot find student!"),"No student!")</f>
        <v>50</v>
      </c>
      <c r="O79" s="189" t="str">
        <f>IF(All[[#This Row],[Student]], _xlfn.IFNA(INDEX(captured[Grade],MATCH(All[[#This Row],[Student No.]],captured[ID_TEXT],0)), "Cannot find student!") &amp; "","No student!")</f>
        <v/>
      </c>
      <c r="P79"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79" s="18" t="str">
        <f>IF(All[[#This Row],[My Grade]]&lt;&gt;"",IF(All[[#This Row],[My Grade]]&lt;&gt;All[[#This Row],[Cap Grade]],TRUE,FALSE),"")</f>
        <v/>
      </c>
      <c r="R79" s="18" t="b">
        <f>IF(NOT(ISBLANK(All[[#This Row],[Student No.]])),OR(ISNUMBER(FIND("FSB",All[[#This Row],[My Grade]])),ISNUMBER(FIND("PAS", All[[#This Row],[My Grade]])),ISNUMBER(FIND("FAL",All[[#This Row],[My Grade]])),ISNUMBER(FIND("FAB", All[[#This Row],[My Grade]])),COUNTBLANK(All[[#This Row],[My Grade]])=1),FALSE)</f>
        <v>1</v>
      </c>
      <c r="S79" s="18" t="b">
        <f>IF(All[[#This Row],[Student No.]]&lt;&gt;"", TRUE, FALSE)</f>
        <v>1</v>
      </c>
      <c r="T79" s="18" t="b">
        <f>IF(COUNTBLANK(All[[#This Row],[Engagement]:[Exam/Def]])=0,TRUE, FALSE)</f>
        <v>0</v>
      </c>
      <c r="U79" s="18" t="b">
        <f>IF(ISNUMBER(All[[#This Row],[Test]]),TRUE,FALSE)</f>
        <v>0</v>
      </c>
      <c r="V79" s="18" t="e">
        <f>IF((INDEX(Test[Total (%)],MATCH(All[[#This Row],[Student No.]],Test[Student No.],0)))="ABS", TRUE, FALSE)</f>
        <v>#N/A</v>
      </c>
      <c r="W79" s="18" t="b">
        <f>IF(ISNUMBER(INDEX(Exam[Total (%)],MATCH(All[[#This Row],[Student No.]],Exam[Student No.],0))), TRUE, FALSE)</f>
        <v>1</v>
      </c>
      <c r="X79" s="18" t="b">
        <f>IF(ISNUMBER(INDEX(#REF!,MATCH(All[[#This Row],[Student No.]],#REF!,0))),TRUE,FALSE)</f>
        <v>0</v>
      </c>
      <c r="Y79" s="18" t="b">
        <f>IF(ISNUMBER(INDEX(#REF!,MATCH(All[[#This Row],[Student No.]],#REF!,0))),TRUE,FALSE)</f>
        <v>0</v>
      </c>
      <c r="Z79" s="18" t="b">
        <f>IF(All[[#This Row],[Wrote Def]],
IF(INDEX(#REF!, MATCH(All[[#This Row],[Student No.]],#REF!,0))&lt;&gt;All[[#This Row],[Exam/Def]], TRUE, FALSE),
  IF(All[[#This Row],[Wrote Exam]], IF(INDEX(Exam[Total (%)], MATCH(All[[#This Row],[Student No.]],Exam[Student No.],0))&lt;&gt;All[[#This Row],[Exam/Def]],TRUE,FALSE), FALSE))</f>
        <v>0</v>
      </c>
      <c r="AA79" s="18" t="b">
        <f xml:space="preserve">    IF(AND(All[[#This Row],[Exam/Def]]&lt;35,OR(All[[#This Row],[Wrote Exam]],All[[#This Row],[Wrote Def]])), TRUE,FALSE)</f>
        <v>1</v>
      </c>
      <c r="AB79" s="18" t="b">
        <f>IF(AND(All[[#This Row],[Exam &lt; 35%]],All[[#This Row],[Final]]&gt;=50),TRUE,FALSE)</f>
        <v>1</v>
      </c>
      <c r="AC79" s="18"/>
    </row>
    <row r="80" spans="1:29">
      <c r="A80" s="17" t="s">
        <v>346</v>
      </c>
      <c r="B80" s="17" t="s">
        <v>521</v>
      </c>
      <c r="C80" s="100" t="e">
        <f>IF(All[[#This Row],[Student]],
  IF(ISNA(INDEX(#REF!,MATCH(All[[#This Row],[Student No.]],#REF!,0))),
    "Cannot find student!",
    IF(INDEX(#REF!,MATCH(All[[#This Row],[Student No.]],#REF!,0))="",
      "",
      INDEX(#REF!,MATCH(All[[#This Row],[Student No.]],#REF!,0)))
    ),
  "No student!")</f>
        <v>#REF!</v>
      </c>
      <c r="D80"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80" s="18" t="str">
        <f>IF(All[[#This Row],[Student]],
  IF(ISNA(INDEX(Project[Total (%)],MATCH(All[[#This Row],[Student No.]],Project[Student No.],0))),
    "Cannot find student!",
    IF(INDEX(Project[Total (%)],MATCH(All[[#This Row],[Student No.]],Project[Student No.],0))="",
      "",
      INDEX(Project[Total (%)],MATCH(All[[#This Row],[Student No.]],Project[Student No.],0)))
    ),
  "No student!")</f>
        <v/>
      </c>
      <c r="F80" s="201">
        <f>IF(All[[#This Row],[Wrote Def]], INDEX(#REF!, MATCH(All[[#This Row],[Student No.]],#REF!,0)),
  IF(All[[#This Row],[Wrote Exam]], INDEX(Exam[Total (%)], MATCH(All[[#This Row],[Student No.]], Exam[Student No.],0)),
    ""))</f>
        <v>25</v>
      </c>
      <c r="G80" s="18" t="str">
        <f>IF(AND(All[[#This Row],[Student]], All[[#This Row],[All Components]]),
    IF(NOT(All[Has Test Mark]),ROUND((All[[#This Row],[Engagement]]*$C$5+All[[#This Row],[Project]]*$E$5+All[[#This Row],[Exam/Def]]*$F$5)/($C$5+$E$5+$F$5),0),
      ROUND((All[[#This Row],[Engagement]]*$C$5+All[[#This Row],[Test]]*$D$5+All[[#This Row],[Project]]*$E$5+All[[#This Row],[Exam/Def]]*$F$5)/($C$5+$D$5+$E$5+$F$5),0)
  ),
  "")</f>
        <v/>
      </c>
      <c r="H80" s="18" t="str">
        <f>All[[#This Row],[Course Mark]]</f>
        <v/>
      </c>
      <c r="I80" s="18" t="str">
        <f>IF(All[[#This Row],[Wrote Sup]], INDEX(#REF!,MATCH(All[[#This Row],[Student No.]],#REF!,0)), "")</f>
        <v/>
      </c>
      <c r="J80" s="18" t="str">
        <f>IF(AND(All[[#This Row],[Student]],ISNUMBER(All[[#This Row],[Final]])),_xlfn.RANK.EQ(All[[#This Row],[Final]],All[Final]),"")</f>
        <v/>
      </c>
      <c r="K80" s="31"/>
      <c r="L80" s="18" t="str">
        <f>IF(All[[#This Row],[Student]], IF(All[Wrote Sup],All[Sup],All[[#This Row],[Final]]),"No student")</f>
        <v/>
      </c>
      <c r="M80" s="18" t="str">
        <f>IF(All[[#This Row],[Final]]="","",
  IF(All[[#This Row],[Wrote Sup]],
    IF(All[[#This Row],[Sup]]&lt;50,"FAL","PAS"),
  IF(All[[#This Row],[Exam/Def]]&lt;35, "FSB",
    IF(All[[#This Row],[Final]]&lt;50,"FAL",
    IF(All[[#This Row],[Final]]&gt;=50,"PAS",
  "Error!")))))</f>
        <v/>
      </c>
      <c r="N80" s="18">
        <f>IF(All[[#This Row],[Student]], _xlfn.IFNA(INDEX(captured[Course Mark],MATCH(All[[#This Row],[Student No.]],captured[ID_TEXT],0) &amp; ""), "Cannot find student!"),"No student!")</f>
        <v>29</v>
      </c>
      <c r="O80" s="189" t="str">
        <f>IF(All[[#This Row],[Student]], _xlfn.IFNA(INDEX(captured[Grade],MATCH(All[[#This Row],[Student No.]],captured[ID_TEXT],0)), "Cannot find student!") &amp; "","No student!")</f>
        <v>FSB</v>
      </c>
      <c r="P80"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80" s="18" t="str">
        <f>IF(All[[#This Row],[My Grade]]&lt;&gt;"",IF(All[[#This Row],[My Grade]]&lt;&gt;All[[#This Row],[Cap Grade]],TRUE,FALSE),"")</f>
        <v/>
      </c>
      <c r="R80" s="18" t="b">
        <f>IF(NOT(ISBLANK(All[[#This Row],[Student No.]])),OR(ISNUMBER(FIND("FSB",All[[#This Row],[My Grade]])),ISNUMBER(FIND("PAS", All[[#This Row],[My Grade]])),ISNUMBER(FIND("FAL",All[[#This Row],[My Grade]])),ISNUMBER(FIND("FAB", All[[#This Row],[My Grade]])),COUNTBLANK(All[[#This Row],[My Grade]])=1),FALSE)</f>
        <v>1</v>
      </c>
      <c r="S80" s="18" t="b">
        <f>IF(All[[#This Row],[Student No.]]&lt;&gt;"", TRUE, FALSE)</f>
        <v>1</v>
      </c>
      <c r="T80" s="18" t="b">
        <f>IF(COUNTBLANK(All[[#This Row],[Engagement]:[Exam/Def]])=0,TRUE, FALSE)</f>
        <v>0</v>
      </c>
      <c r="U80" s="18" t="b">
        <f>IF(ISNUMBER(All[[#This Row],[Test]]),TRUE,FALSE)</f>
        <v>0</v>
      </c>
      <c r="V80" s="18" t="b">
        <f>IF((INDEX(Test[Total (%)],MATCH(All[[#This Row],[Student No.]],Test[Student No.],0)))="ABS", TRUE, FALSE)</f>
        <v>0</v>
      </c>
      <c r="W80" s="18" t="b">
        <f>IF(ISNUMBER(INDEX(Exam[Total (%)],MATCH(All[[#This Row],[Student No.]],Exam[Student No.],0))), TRUE, FALSE)</f>
        <v>1</v>
      </c>
      <c r="X80" s="18" t="b">
        <f>IF(ISNUMBER(INDEX(#REF!,MATCH(All[[#This Row],[Student No.]],#REF!,0))),TRUE,FALSE)</f>
        <v>0</v>
      </c>
      <c r="Y80" s="18" t="b">
        <f>IF(ISNUMBER(INDEX(#REF!,MATCH(All[[#This Row],[Student No.]],#REF!,0))),TRUE,FALSE)</f>
        <v>0</v>
      </c>
      <c r="Z80" s="18" t="b">
        <f>IF(All[[#This Row],[Wrote Def]],
IF(INDEX(#REF!, MATCH(All[[#This Row],[Student No.]],#REF!,0))&lt;&gt;All[[#This Row],[Exam/Def]], TRUE, FALSE),
  IF(All[[#This Row],[Wrote Exam]], IF(INDEX(Exam[Total (%)], MATCH(All[[#This Row],[Student No.]],Exam[Student No.],0))&lt;&gt;All[[#This Row],[Exam/Def]],TRUE,FALSE), FALSE))</f>
        <v>0</v>
      </c>
      <c r="AA80" s="18" t="b">
        <f xml:space="preserve">    IF(AND(All[[#This Row],[Exam/Def]]&lt;35,OR(All[[#This Row],[Wrote Exam]],All[[#This Row],[Wrote Def]])), TRUE,FALSE)</f>
        <v>1</v>
      </c>
      <c r="AB80" s="18" t="b">
        <f>IF(AND(All[[#This Row],[Exam &lt; 35%]],All[[#This Row],[Final]]&gt;=50),TRUE,FALSE)</f>
        <v>1</v>
      </c>
      <c r="AC80" s="18"/>
    </row>
    <row r="81" spans="1:29" ht="43.2">
      <c r="A81" s="17" t="s">
        <v>347</v>
      </c>
      <c r="B81" s="17" t="s">
        <v>522</v>
      </c>
      <c r="C81" s="100" t="e">
        <f>IF(All[[#This Row],[Student]],
  IF(ISNA(INDEX(#REF!,MATCH(All[[#This Row],[Student No.]],#REF!,0))),
    "Cannot find student!",
    IF(INDEX(#REF!,MATCH(All[[#This Row],[Student No.]],#REF!,0))="",
      "",
      INDEX(#REF!,MATCH(All[[#This Row],[Student No.]],#REF!,0)))
    ),
  "No student!")</f>
        <v>#REF!</v>
      </c>
      <c r="D81"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81" s="18" t="str">
        <f>IF(All[[#This Row],[Student]],
  IF(ISNA(INDEX(Project[Total (%)],MATCH(All[[#This Row],[Student No.]],Project[Student No.],0))),
    "Cannot find student!",
    IF(INDEX(Project[Total (%)],MATCH(All[[#This Row],[Student No.]],Project[Student No.],0))="",
      "",
      INDEX(Project[Total (%)],MATCH(All[[#This Row],[Student No.]],Project[Student No.],0)))
    ),
  "No student!")</f>
        <v/>
      </c>
      <c r="F81" s="201">
        <f>IF(All[[#This Row],[Wrote Def]], INDEX(#REF!, MATCH(All[[#This Row],[Student No.]],#REF!,0)),
  IF(All[[#This Row],[Wrote Exam]], INDEX(Exam[Total (%)], MATCH(All[[#This Row],[Student No.]], Exam[Student No.],0)),
    ""))</f>
        <v>22</v>
      </c>
      <c r="G81" s="18" t="str">
        <f>IF(AND(All[[#This Row],[Student]], All[[#This Row],[All Components]]),
    IF(NOT(All[Has Test Mark]),ROUND((All[[#This Row],[Engagement]]*$C$5+All[[#This Row],[Project]]*$E$5+All[[#This Row],[Exam/Def]]*$F$5)/($C$5+$E$5+$F$5),0),
      ROUND((All[[#This Row],[Engagement]]*$C$5+All[[#This Row],[Test]]*$D$5+All[[#This Row],[Project]]*$E$5+All[[#This Row],[Exam/Def]]*$F$5)/($C$5+$D$5+$E$5+$F$5),0)
  ),
  "")</f>
        <v/>
      </c>
      <c r="H81" s="18" t="str">
        <f>All[[#This Row],[Course Mark]]</f>
        <v/>
      </c>
      <c r="I81" s="18" t="str">
        <f>IF(All[[#This Row],[Wrote Sup]], INDEX(#REF!,MATCH(All[[#This Row],[Student No.]],#REF!,0)), "")</f>
        <v/>
      </c>
      <c r="J81" s="18" t="str">
        <f>IF(AND(All[[#This Row],[Student]],ISNUMBER(All[[#This Row],[Final]])),_xlfn.RANK.EQ(All[[#This Row],[Final]],All[Final]),"")</f>
        <v/>
      </c>
      <c r="K81" s="31"/>
      <c r="L81" s="18" t="str">
        <f>IF(All[[#This Row],[Student]], IF(All[Wrote Sup],All[Sup],All[[#This Row],[Final]]),"No student")</f>
        <v/>
      </c>
      <c r="M81" s="18" t="str">
        <f>IF(All[[#This Row],[Final]]="","",
  IF(All[[#This Row],[Wrote Sup]],
    IF(All[[#This Row],[Sup]]&lt;50,"FAL","PAS"),
  IF(All[[#This Row],[Exam/Def]]&lt;35, "FSB",
    IF(All[[#This Row],[Final]]&lt;50,"FAL",
    IF(All[[#This Row],[Final]]&gt;=50,"PAS",
  "Error!")))))</f>
        <v/>
      </c>
      <c r="N81" s="18">
        <f>IF(All[[#This Row],[Student]], _xlfn.IFNA(INDEX(captured[Course Mark],MATCH(All[[#This Row],[Student No.]],captured[ID_TEXT],0) &amp; ""), "Cannot find student!"),"No student!")</f>
        <v>22</v>
      </c>
      <c r="O81" s="189" t="str">
        <f>IF(All[[#This Row],[Student]], _xlfn.IFNA(INDEX(captured[Grade],MATCH(All[[#This Row],[Student No.]],captured[ID_TEXT],0)), "Cannot find student!") &amp; "","No student!")</f>
        <v>FSB</v>
      </c>
      <c r="P81"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81" s="18" t="str">
        <f>IF(All[[#This Row],[My Grade]]&lt;&gt;"",IF(All[[#This Row],[My Grade]]&lt;&gt;All[[#This Row],[Cap Grade]],TRUE,FALSE),"")</f>
        <v/>
      </c>
      <c r="R81" s="18" t="b">
        <f>IF(NOT(ISBLANK(All[[#This Row],[Student No.]])),OR(ISNUMBER(FIND("FSB",All[[#This Row],[My Grade]])),ISNUMBER(FIND("PAS", All[[#This Row],[My Grade]])),ISNUMBER(FIND("FAL",All[[#This Row],[My Grade]])),ISNUMBER(FIND("FAB", All[[#This Row],[My Grade]])),COUNTBLANK(All[[#This Row],[My Grade]])=1),FALSE)</f>
        <v>1</v>
      </c>
      <c r="S81" s="18" t="b">
        <f>IF(All[[#This Row],[Student No.]]&lt;&gt;"", TRUE, FALSE)</f>
        <v>1</v>
      </c>
      <c r="T81" s="18" t="b">
        <f>IF(COUNTBLANK(All[[#This Row],[Engagement]:[Exam/Def]])=0,TRUE, FALSE)</f>
        <v>0</v>
      </c>
      <c r="U81" s="18" t="b">
        <f>IF(ISNUMBER(All[[#This Row],[Test]]),TRUE,FALSE)</f>
        <v>0</v>
      </c>
      <c r="V81" s="18" t="e">
        <f>IF((INDEX(Test[Total (%)],MATCH(All[[#This Row],[Student No.]],Test[Student No.],0)))="ABS", TRUE, FALSE)</f>
        <v>#N/A</v>
      </c>
      <c r="W81" s="18" t="b">
        <f>IF(ISNUMBER(INDEX(Exam[Total (%)],MATCH(All[[#This Row],[Student No.]],Exam[Student No.],0))), TRUE, FALSE)</f>
        <v>1</v>
      </c>
      <c r="X81" s="18" t="b">
        <f>IF(ISNUMBER(INDEX(#REF!,MATCH(All[[#This Row],[Student No.]],#REF!,0))),TRUE,FALSE)</f>
        <v>0</v>
      </c>
      <c r="Y81" s="18" t="b">
        <f>IF(ISNUMBER(INDEX(#REF!,MATCH(All[[#This Row],[Student No.]],#REF!,0))),TRUE,FALSE)</f>
        <v>0</v>
      </c>
      <c r="Z81" s="18" t="b">
        <f>IF(All[[#This Row],[Wrote Def]],
IF(INDEX(#REF!, MATCH(All[[#This Row],[Student No.]],#REF!,0))&lt;&gt;All[[#This Row],[Exam/Def]], TRUE, FALSE),
  IF(All[[#This Row],[Wrote Exam]], IF(INDEX(Exam[Total (%)], MATCH(All[[#This Row],[Student No.]],Exam[Student No.],0))&lt;&gt;All[[#This Row],[Exam/Def]],TRUE,FALSE), FALSE))</f>
        <v>0</v>
      </c>
      <c r="AA81" s="18" t="b">
        <f xml:space="preserve">    IF(AND(All[[#This Row],[Exam/Def]]&lt;35,OR(All[[#This Row],[Wrote Exam]],All[[#This Row],[Wrote Def]])), TRUE,FALSE)</f>
        <v>1</v>
      </c>
      <c r="AB81" s="18" t="b">
        <f>IF(AND(All[[#This Row],[Exam &lt; 35%]],All[[#This Row],[Final]]&gt;=50),TRUE,FALSE)</f>
        <v>1</v>
      </c>
      <c r="AC81" s="18"/>
    </row>
    <row r="82" spans="1:29" ht="43.2">
      <c r="A82" s="17" t="s">
        <v>348</v>
      </c>
      <c r="B82" s="17" t="s">
        <v>523</v>
      </c>
      <c r="C82" s="100" t="e">
        <f>IF(All[[#This Row],[Student]],
  IF(ISNA(INDEX(#REF!,MATCH(All[[#This Row],[Student No.]],#REF!,0))),
    "Cannot find student!",
    IF(INDEX(#REF!,MATCH(All[[#This Row],[Student No.]],#REF!,0))="",
      "",
      INDEX(#REF!,MATCH(All[[#This Row],[Student No.]],#REF!,0)))
    ),
  "No student!")</f>
        <v>#REF!</v>
      </c>
      <c r="D82"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82" s="18" t="str">
        <f>IF(All[[#This Row],[Student]],
  IF(ISNA(INDEX(Project[Total (%)],MATCH(All[[#This Row],[Student No.]],Project[Student No.],0))),
    "Cannot find student!",
    IF(INDEX(Project[Total (%)],MATCH(All[[#This Row],[Student No.]],Project[Student No.],0))="",
      "",
      INDEX(Project[Total (%)],MATCH(All[[#This Row],[Student No.]],Project[Student No.],0)))
    ),
  "No student!")</f>
        <v/>
      </c>
      <c r="F82" s="201">
        <f>IF(All[[#This Row],[Wrote Def]], INDEX(#REF!, MATCH(All[[#This Row],[Student No.]],#REF!,0)),
  IF(All[[#This Row],[Wrote Exam]], INDEX(Exam[Total (%)], MATCH(All[[#This Row],[Student No.]], Exam[Student No.],0)),
    ""))</f>
        <v>46</v>
      </c>
      <c r="G82" s="18" t="str">
        <f>IF(AND(All[[#This Row],[Student]], All[[#This Row],[All Components]]),
    IF(NOT(All[Has Test Mark]),ROUND((All[[#This Row],[Engagement]]*$C$5+All[[#This Row],[Project]]*$E$5+All[[#This Row],[Exam/Def]]*$F$5)/($C$5+$E$5+$F$5),0),
      ROUND((All[[#This Row],[Engagement]]*$C$5+All[[#This Row],[Test]]*$D$5+All[[#This Row],[Project]]*$E$5+All[[#This Row],[Exam/Def]]*$F$5)/($C$5+$D$5+$E$5+$F$5),0)
  ),
  "")</f>
        <v/>
      </c>
      <c r="H82" s="18" t="str">
        <f>All[[#This Row],[Course Mark]]</f>
        <v/>
      </c>
      <c r="I82" s="18" t="str">
        <f>IF(All[[#This Row],[Wrote Sup]], INDEX(#REF!,MATCH(All[[#This Row],[Student No.]],#REF!,0)), "")</f>
        <v/>
      </c>
      <c r="J82" s="18" t="str">
        <f>IF(AND(All[[#This Row],[Student]],ISNUMBER(All[[#This Row],[Final]])),_xlfn.RANK.EQ(All[[#This Row],[Final]],All[Final]),"")</f>
        <v/>
      </c>
      <c r="K82" s="31"/>
      <c r="L82" s="18" t="str">
        <f>IF(All[[#This Row],[Student]], IF(All[Wrote Sup],All[Sup],All[[#This Row],[Final]]),"No student")</f>
        <v/>
      </c>
      <c r="M82" s="18" t="str">
        <f>IF(All[[#This Row],[Final]]="","",
  IF(All[[#This Row],[Wrote Sup]],
    IF(All[[#This Row],[Sup]]&lt;50,"FAL","PAS"),
  IF(All[[#This Row],[Exam/Def]]&lt;35, "FSB",
    IF(All[[#This Row],[Final]]&lt;50,"FAL",
    IF(All[[#This Row],[Final]]&gt;=50,"PAS",
  "Error!")))))</f>
        <v/>
      </c>
      <c r="N82" s="18">
        <f>IF(All[[#This Row],[Student]], _xlfn.IFNA(INDEX(captured[Course Mark],MATCH(All[[#This Row],[Student No.]],captured[ID_TEXT],0) &amp; ""), "Cannot find student!"),"No student!")</f>
        <v>55</v>
      </c>
      <c r="O82" s="189" t="str">
        <f>IF(All[[#This Row],[Student]], _xlfn.IFNA(INDEX(captured[Grade],MATCH(All[[#This Row],[Student No.]],captured[ID_TEXT],0)), "Cannot find student!") &amp; "","No student!")</f>
        <v>PAS</v>
      </c>
      <c r="P82"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82" s="18" t="str">
        <f>IF(All[[#This Row],[My Grade]]&lt;&gt;"",IF(All[[#This Row],[My Grade]]&lt;&gt;All[[#This Row],[Cap Grade]],TRUE,FALSE),"")</f>
        <v/>
      </c>
      <c r="R82" s="18" t="b">
        <f>IF(NOT(ISBLANK(All[[#This Row],[Student No.]])),OR(ISNUMBER(FIND("FSB",All[[#This Row],[My Grade]])),ISNUMBER(FIND("PAS", All[[#This Row],[My Grade]])),ISNUMBER(FIND("FAL",All[[#This Row],[My Grade]])),ISNUMBER(FIND("FAB", All[[#This Row],[My Grade]])),COUNTBLANK(All[[#This Row],[My Grade]])=1),FALSE)</f>
        <v>1</v>
      </c>
      <c r="S82" s="18" t="b">
        <f>IF(All[[#This Row],[Student No.]]&lt;&gt;"", TRUE, FALSE)</f>
        <v>1</v>
      </c>
      <c r="T82" s="18" t="b">
        <f>IF(COUNTBLANK(All[[#This Row],[Engagement]:[Exam/Def]])=0,TRUE, FALSE)</f>
        <v>0</v>
      </c>
      <c r="U82" s="18" t="b">
        <f>IF(ISNUMBER(All[[#This Row],[Test]]),TRUE,FALSE)</f>
        <v>0</v>
      </c>
      <c r="V82" s="18" t="e">
        <f>IF((INDEX(Test[Total (%)],MATCH(All[[#This Row],[Student No.]],Test[Student No.],0)))="ABS", TRUE, FALSE)</f>
        <v>#N/A</v>
      </c>
      <c r="W82" s="18" t="b">
        <f>IF(ISNUMBER(INDEX(Exam[Total (%)],MATCH(All[[#This Row],[Student No.]],Exam[Student No.],0))), TRUE, FALSE)</f>
        <v>1</v>
      </c>
      <c r="X82" s="18" t="b">
        <f>IF(ISNUMBER(INDEX(#REF!,MATCH(All[[#This Row],[Student No.]],#REF!,0))),TRUE,FALSE)</f>
        <v>0</v>
      </c>
      <c r="Y82" s="18" t="b">
        <f>IF(ISNUMBER(INDEX(#REF!,MATCH(All[[#This Row],[Student No.]],#REF!,0))),TRUE,FALSE)</f>
        <v>0</v>
      </c>
      <c r="Z82" s="18" t="b">
        <f>IF(All[[#This Row],[Wrote Def]],
IF(INDEX(#REF!, MATCH(All[[#This Row],[Student No.]],#REF!,0))&lt;&gt;All[[#This Row],[Exam/Def]], TRUE, FALSE),
  IF(All[[#This Row],[Wrote Exam]], IF(INDEX(Exam[Total (%)], MATCH(All[[#This Row],[Student No.]],Exam[Student No.],0))&lt;&gt;All[[#This Row],[Exam/Def]],TRUE,FALSE), FALSE))</f>
        <v>0</v>
      </c>
      <c r="AA82" s="18" t="b">
        <f xml:space="preserve">    IF(AND(All[[#This Row],[Exam/Def]]&lt;35,OR(All[[#This Row],[Wrote Exam]],All[[#This Row],[Wrote Def]])), TRUE,FALSE)</f>
        <v>0</v>
      </c>
      <c r="AB82" s="18" t="b">
        <f>IF(AND(All[[#This Row],[Exam &lt; 35%]],All[[#This Row],[Final]]&gt;=50),TRUE,FALSE)</f>
        <v>0</v>
      </c>
      <c r="AC82" s="18"/>
    </row>
    <row r="83" spans="1:29" ht="43.2">
      <c r="A83" s="17" t="s">
        <v>349</v>
      </c>
      <c r="B83" s="17" t="s">
        <v>524</v>
      </c>
      <c r="C83" s="100" t="e">
        <f>IF(All[[#This Row],[Student]],
  IF(ISNA(INDEX(#REF!,MATCH(All[[#This Row],[Student No.]],#REF!,0))),
    "Cannot find student!",
    IF(INDEX(#REF!,MATCH(All[[#This Row],[Student No.]],#REF!,0))="",
      "",
      INDEX(#REF!,MATCH(All[[#This Row],[Student No.]],#REF!,0)))
    ),
  "No student!")</f>
        <v>#REF!</v>
      </c>
      <c r="D83"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83" s="18" t="str">
        <f>IF(All[[#This Row],[Student]],
  IF(ISNA(INDEX(Project[Total (%)],MATCH(All[[#This Row],[Student No.]],Project[Student No.],0))),
    "Cannot find student!",
    IF(INDEX(Project[Total (%)],MATCH(All[[#This Row],[Student No.]],Project[Student No.],0))="",
      "",
      INDEX(Project[Total (%)],MATCH(All[[#This Row],[Student No.]],Project[Student No.],0)))
    ),
  "No student!")</f>
        <v/>
      </c>
      <c r="F83" s="201">
        <f>IF(All[[#This Row],[Wrote Def]], INDEX(#REF!, MATCH(All[[#This Row],[Student No.]],#REF!,0)),
  IF(All[[#This Row],[Wrote Exam]], INDEX(Exam[Total (%)], MATCH(All[[#This Row],[Student No.]], Exam[Student No.],0)),
    ""))</f>
        <v>48</v>
      </c>
      <c r="G83" s="18" t="str">
        <f>IF(AND(All[[#This Row],[Student]], All[[#This Row],[All Components]]),
    IF(NOT(All[Has Test Mark]),ROUND((All[[#This Row],[Engagement]]*$C$5+All[[#This Row],[Project]]*$E$5+All[[#This Row],[Exam/Def]]*$F$5)/($C$5+$E$5+$F$5),0),
      ROUND((All[[#This Row],[Engagement]]*$C$5+All[[#This Row],[Test]]*$D$5+All[[#This Row],[Project]]*$E$5+All[[#This Row],[Exam/Def]]*$F$5)/($C$5+$D$5+$E$5+$F$5),0)
  ),
  "")</f>
        <v/>
      </c>
      <c r="H83" s="18" t="str">
        <f>All[[#This Row],[Course Mark]]</f>
        <v/>
      </c>
      <c r="I83" s="18" t="str">
        <f>IF(All[[#This Row],[Wrote Sup]], INDEX(#REF!,MATCH(All[[#This Row],[Student No.]],#REF!,0)), "")</f>
        <v/>
      </c>
      <c r="J83" s="18" t="str">
        <f>IF(AND(All[[#This Row],[Student]],ISNUMBER(All[[#This Row],[Final]])),_xlfn.RANK.EQ(All[[#This Row],[Final]],All[Final]),"")</f>
        <v/>
      </c>
      <c r="K83" s="31"/>
      <c r="L83" s="18" t="str">
        <f>IF(All[[#This Row],[Student]], IF(All[Wrote Sup],All[Sup],All[[#This Row],[Final]]),"No student")</f>
        <v/>
      </c>
      <c r="M83" s="18" t="str">
        <f>IF(All[[#This Row],[Final]]="","",
  IF(All[[#This Row],[Wrote Sup]],
    IF(All[[#This Row],[Sup]]&lt;50,"FAL","PAS"),
  IF(All[[#This Row],[Exam/Def]]&lt;35, "FSB",
    IF(All[[#This Row],[Final]]&lt;50,"FAL",
    IF(All[[#This Row],[Final]]&gt;=50,"PAS",
  "Error!")))))</f>
        <v/>
      </c>
      <c r="N83" s="18">
        <f>IF(All[[#This Row],[Student]], _xlfn.IFNA(INDEX(captured[Course Mark],MATCH(All[[#This Row],[Student No.]],captured[ID_TEXT],0) &amp; ""), "Cannot find student!"),"No student!")</f>
        <v>59</v>
      </c>
      <c r="O83" s="189" t="str">
        <f>IF(All[[#This Row],[Student]], _xlfn.IFNA(INDEX(captured[Grade],MATCH(All[[#This Row],[Student No.]],captured[ID_TEXT],0)), "Cannot find student!") &amp; "","No student!")</f>
        <v>PAS</v>
      </c>
      <c r="P83"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83" s="18" t="str">
        <f>IF(All[[#This Row],[My Grade]]&lt;&gt;"",IF(All[[#This Row],[My Grade]]&lt;&gt;All[[#This Row],[Cap Grade]],TRUE,FALSE),"")</f>
        <v/>
      </c>
      <c r="R83" s="18" t="b">
        <f>IF(NOT(ISBLANK(All[[#This Row],[Student No.]])),OR(ISNUMBER(FIND("FSB",All[[#This Row],[My Grade]])),ISNUMBER(FIND("PAS", All[[#This Row],[My Grade]])),ISNUMBER(FIND("FAL",All[[#This Row],[My Grade]])),ISNUMBER(FIND("FAB", All[[#This Row],[My Grade]])),COUNTBLANK(All[[#This Row],[My Grade]])=1),FALSE)</f>
        <v>1</v>
      </c>
      <c r="S83" s="18" t="b">
        <f>IF(All[[#This Row],[Student No.]]&lt;&gt;"", TRUE, FALSE)</f>
        <v>1</v>
      </c>
      <c r="T83" s="18" t="b">
        <f>IF(COUNTBLANK(All[[#This Row],[Engagement]:[Exam/Def]])=0,TRUE, FALSE)</f>
        <v>0</v>
      </c>
      <c r="U83" s="18" t="b">
        <f>IF(ISNUMBER(All[[#This Row],[Test]]),TRUE,FALSE)</f>
        <v>0</v>
      </c>
      <c r="V83" s="18" t="e">
        <f>IF((INDEX(Test[Total (%)],MATCH(All[[#This Row],[Student No.]],Test[Student No.],0)))="ABS", TRUE, FALSE)</f>
        <v>#N/A</v>
      </c>
      <c r="W83" s="18" t="b">
        <f>IF(ISNUMBER(INDEX(Exam[Total (%)],MATCH(All[[#This Row],[Student No.]],Exam[Student No.],0))), TRUE, FALSE)</f>
        <v>1</v>
      </c>
      <c r="X83" s="18" t="b">
        <f>IF(ISNUMBER(INDEX(#REF!,MATCH(All[[#This Row],[Student No.]],#REF!,0))),TRUE,FALSE)</f>
        <v>0</v>
      </c>
      <c r="Y83" s="18" t="b">
        <f>IF(ISNUMBER(INDEX(#REF!,MATCH(All[[#This Row],[Student No.]],#REF!,0))),TRUE,FALSE)</f>
        <v>0</v>
      </c>
      <c r="Z83" s="18" t="b">
        <f>IF(All[[#This Row],[Wrote Def]],
IF(INDEX(#REF!, MATCH(All[[#This Row],[Student No.]],#REF!,0))&lt;&gt;All[[#This Row],[Exam/Def]], TRUE, FALSE),
  IF(All[[#This Row],[Wrote Exam]], IF(INDEX(Exam[Total (%)], MATCH(All[[#This Row],[Student No.]],Exam[Student No.],0))&lt;&gt;All[[#This Row],[Exam/Def]],TRUE,FALSE), FALSE))</f>
        <v>0</v>
      </c>
      <c r="AA83" s="18" t="b">
        <f xml:space="preserve">    IF(AND(All[[#This Row],[Exam/Def]]&lt;35,OR(All[[#This Row],[Wrote Exam]],All[[#This Row],[Wrote Def]])), TRUE,FALSE)</f>
        <v>0</v>
      </c>
      <c r="AB83" s="18" t="b">
        <f>IF(AND(All[[#This Row],[Exam &lt; 35%]],All[[#This Row],[Final]]&gt;=50),TRUE,FALSE)</f>
        <v>0</v>
      </c>
      <c r="AC83" s="18"/>
    </row>
    <row r="84" spans="1:29">
      <c r="A84" s="17" t="s">
        <v>351</v>
      </c>
      <c r="B84" s="17" t="s">
        <v>525</v>
      </c>
      <c r="C84" s="100" t="e">
        <f>IF(All[[#This Row],[Student]],
  IF(ISNA(INDEX(#REF!,MATCH(All[[#This Row],[Student No.]],#REF!,0))),
    "Cannot find student!",
    IF(INDEX(#REF!,MATCH(All[[#This Row],[Student No.]],#REF!,0))="",
      "",
      INDEX(#REF!,MATCH(All[[#This Row],[Student No.]],#REF!,0)))
    ),
  "No student!")</f>
        <v>#REF!</v>
      </c>
      <c r="D84"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84" s="18" t="str">
        <f>IF(All[[#This Row],[Student]],
  IF(ISNA(INDEX(Project[Total (%)],MATCH(All[[#This Row],[Student No.]],Project[Student No.],0))),
    "Cannot find student!",
    IF(INDEX(Project[Total (%)],MATCH(All[[#This Row],[Student No.]],Project[Student No.],0))="",
      "",
      INDEX(Project[Total (%)],MATCH(All[[#This Row],[Student No.]],Project[Student No.],0)))
    ),
  "No student!")</f>
        <v/>
      </c>
      <c r="F84" s="201">
        <f>IF(All[[#This Row],[Wrote Def]], INDEX(#REF!, MATCH(All[[#This Row],[Student No.]],#REF!,0)),
  IF(All[[#This Row],[Wrote Exam]], INDEX(Exam[Total (%)], MATCH(All[[#This Row],[Student No.]], Exam[Student No.],0)),
    ""))</f>
        <v>25</v>
      </c>
      <c r="G84" s="18" t="str">
        <f>IF(AND(All[[#This Row],[Student]], All[[#This Row],[All Components]]),
    IF(NOT(All[Has Test Mark]),ROUND((All[[#This Row],[Engagement]]*$C$5+All[[#This Row],[Project]]*$E$5+All[[#This Row],[Exam/Def]]*$F$5)/($C$5+$E$5+$F$5),0),
      ROUND((All[[#This Row],[Engagement]]*$C$5+All[[#This Row],[Test]]*$D$5+All[[#This Row],[Project]]*$E$5+All[[#This Row],[Exam/Def]]*$F$5)/($C$5+$D$5+$E$5+$F$5),0)
  ),
  "")</f>
        <v/>
      </c>
      <c r="H84" s="18" t="str">
        <f>All[[#This Row],[Course Mark]]</f>
        <v/>
      </c>
      <c r="I84" s="18" t="str">
        <f>IF(All[[#This Row],[Wrote Sup]], INDEX(#REF!,MATCH(All[[#This Row],[Student No.]],#REF!,0)), "")</f>
        <v/>
      </c>
      <c r="J84" s="18" t="str">
        <f>IF(AND(All[[#This Row],[Student]],ISNUMBER(All[[#This Row],[Final]])),_xlfn.RANK.EQ(All[[#This Row],[Final]],All[Final]),"")</f>
        <v/>
      </c>
      <c r="K84" s="31"/>
      <c r="L84" s="18" t="str">
        <f>IF(All[[#This Row],[Student]], IF(All[Wrote Sup],All[Sup],All[[#This Row],[Final]]),"No student")</f>
        <v/>
      </c>
      <c r="M84" s="18" t="str">
        <f>IF(All[[#This Row],[Final]]="","",
  IF(All[[#This Row],[Wrote Sup]],
    IF(All[[#This Row],[Sup]]&lt;50,"FAL","PAS"),
  IF(All[[#This Row],[Exam/Def]]&lt;35, "FSB",
    IF(All[[#This Row],[Final]]&lt;50,"FAL",
    IF(All[[#This Row],[Final]]&gt;=50,"PAS",
  "Error!")))))</f>
        <v/>
      </c>
      <c r="N84" s="18">
        <f>IF(All[[#This Row],[Student]], _xlfn.IFNA(INDEX(captured[Course Mark],MATCH(All[[#This Row],[Student No.]],captured[ID_TEXT],0) &amp; ""), "Cannot find student!"),"No student!")</f>
        <v>34</v>
      </c>
      <c r="O84" s="189" t="str">
        <f>IF(All[[#This Row],[Student]], _xlfn.IFNA(INDEX(captured[Grade],MATCH(All[[#This Row],[Student No.]],captured[ID_TEXT],0)), "Cannot find student!") &amp; "","No student!")</f>
        <v>FAL</v>
      </c>
      <c r="P84"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84" s="18" t="str">
        <f>IF(All[[#This Row],[My Grade]]&lt;&gt;"",IF(All[[#This Row],[My Grade]]&lt;&gt;All[[#This Row],[Cap Grade]],TRUE,FALSE),"")</f>
        <v/>
      </c>
      <c r="R84" s="18" t="b">
        <f>IF(NOT(ISBLANK(All[[#This Row],[Student No.]])),OR(ISNUMBER(FIND("FSB",All[[#This Row],[My Grade]])),ISNUMBER(FIND("PAS", All[[#This Row],[My Grade]])),ISNUMBER(FIND("FAL",All[[#This Row],[My Grade]])),ISNUMBER(FIND("FAB", All[[#This Row],[My Grade]])),COUNTBLANK(All[[#This Row],[My Grade]])=1),FALSE)</f>
        <v>1</v>
      </c>
      <c r="S84" s="18" t="b">
        <f>IF(All[[#This Row],[Student No.]]&lt;&gt;"", TRUE, FALSE)</f>
        <v>1</v>
      </c>
      <c r="T84" s="18" t="b">
        <f>IF(COUNTBLANK(All[[#This Row],[Engagement]:[Exam/Def]])=0,TRUE, FALSE)</f>
        <v>0</v>
      </c>
      <c r="U84" s="18" t="b">
        <f>IF(ISNUMBER(All[[#This Row],[Test]]),TRUE,FALSE)</f>
        <v>0</v>
      </c>
      <c r="V84" s="18" t="b">
        <f>IF((INDEX(Test[Total (%)],MATCH(All[[#This Row],[Student No.]],Test[Student No.],0)))="ABS", TRUE, FALSE)</f>
        <v>0</v>
      </c>
      <c r="W84" s="18" t="b">
        <f>IF(ISNUMBER(INDEX(Exam[Total (%)],MATCH(All[[#This Row],[Student No.]],Exam[Student No.],0))), TRUE, FALSE)</f>
        <v>1</v>
      </c>
      <c r="X84" s="18" t="b">
        <f>IF(ISNUMBER(INDEX(#REF!,MATCH(All[[#This Row],[Student No.]],#REF!,0))),TRUE,FALSE)</f>
        <v>0</v>
      </c>
      <c r="Y84" s="18" t="b">
        <f>IF(ISNUMBER(INDEX(#REF!,MATCH(All[[#This Row],[Student No.]],#REF!,0))),TRUE,FALSE)</f>
        <v>0</v>
      </c>
      <c r="Z84" s="18" t="b">
        <f>IF(All[[#This Row],[Wrote Def]],
IF(INDEX(#REF!, MATCH(All[[#This Row],[Student No.]],#REF!,0))&lt;&gt;All[[#This Row],[Exam/Def]], TRUE, FALSE),
  IF(All[[#This Row],[Wrote Exam]], IF(INDEX(Exam[Total (%)], MATCH(All[[#This Row],[Student No.]],Exam[Student No.],0))&lt;&gt;All[[#This Row],[Exam/Def]],TRUE,FALSE), FALSE))</f>
        <v>0</v>
      </c>
      <c r="AA84" s="18" t="b">
        <f xml:space="preserve">    IF(AND(All[[#This Row],[Exam/Def]]&lt;35,OR(All[[#This Row],[Wrote Exam]],All[[#This Row],[Wrote Def]])), TRUE,FALSE)</f>
        <v>1</v>
      </c>
      <c r="AB84" s="18" t="b">
        <f>IF(AND(All[[#This Row],[Exam &lt; 35%]],All[[#This Row],[Final]]&gt;=50),TRUE,FALSE)</f>
        <v>1</v>
      </c>
      <c r="AC84" s="18"/>
    </row>
    <row r="85" spans="1:29" ht="43.2">
      <c r="A85" s="17" t="s">
        <v>352</v>
      </c>
      <c r="B85" s="17" t="s">
        <v>526</v>
      </c>
      <c r="C85" s="100" t="e">
        <f>IF(All[[#This Row],[Student]],
  IF(ISNA(INDEX(#REF!,MATCH(All[[#This Row],[Student No.]],#REF!,0))),
    "Cannot find student!",
    IF(INDEX(#REF!,MATCH(All[[#This Row],[Student No.]],#REF!,0))="",
      "",
      INDEX(#REF!,MATCH(All[[#This Row],[Student No.]],#REF!,0)))
    ),
  "No student!")</f>
        <v>#REF!</v>
      </c>
      <c r="D85"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85" s="18" t="str">
        <f>IF(All[[#This Row],[Student]],
  IF(ISNA(INDEX(Project[Total (%)],MATCH(All[[#This Row],[Student No.]],Project[Student No.],0))),
    "Cannot find student!",
    IF(INDEX(Project[Total (%)],MATCH(All[[#This Row],[Student No.]],Project[Student No.],0))="",
      "",
      INDEX(Project[Total (%)],MATCH(All[[#This Row],[Student No.]],Project[Student No.],0)))
    ),
  "No student!")</f>
        <v/>
      </c>
      <c r="F85" s="201">
        <f>IF(All[[#This Row],[Wrote Def]], INDEX(#REF!, MATCH(All[[#This Row],[Student No.]],#REF!,0)),
  IF(All[[#This Row],[Wrote Exam]], INDEX(Exam[Total (%)], MATCH(All[[#This Row],[Student No.]], Exam[Student No.],0)),
    ""))</f>
        <v>44</v>
      </c>
      <c r="G85" s="18" t="str">
        <f>IF(AND(All[[#This Row],[Student]], All[[#This Row],[All Components]]),
    IF(NOT(All[Has Test Mark]),ROUND((All[[#This Row],[Engagement]]*$C$5+All[[#This Row],[Project]]*$E$5+All[[#This Row],[Exam/Def]]*$F$5)/($C$5+$E$5+$F$5),0),
      ROUND((All[[#This Row],[Engagement]]*$C$5+All[[#This Row],[Test]]*$D$5+All[[#This Row],[Project]]*$E$5+All[[#This Row],[Exam/Def]]*$F$5)/($C$5+$D$5+$E$5+$F$5),0)
  ),
  "")</f>
        <v/>
      </c>
      <c r="H85" s="18" t="str">
        <f>All[[#This Row],[Course Mark]]</f>
        <v/>
      </c>
      <c r="I85" s="18" t="str">
        <f>IF(All[[#This Row],[Wrote Sup]], INDEX(#REF!,MATCH(All[[#This Row],[Student No.]],#REF!,0)), "")</f>
        <v/>
      </c>
      <c r="J85" s="18" t="str">
        <f>IF(AND(All[[#This Row],[Student]],ISNUMBER(All[[#This Row],[Final]])),_xlfn.RANK.EQ(All[[#This Row],[Final]],All[Final]),"")</f>
        <v/>
      </c>
      <c r="K85" s="31"/>
      <c r="L85" s="18" t="str">
        <f>IF(All[[#This Row],[Student]], IF(All[Wrote Sup],All[Sup],All[[#This Row],[Final]]),"No student")</f>
        <v/>
      </c>
      <c r="M85" s="18" t="str">
        <f>IF(All[[#This Row],[Final]]="","",
  IF(All[[#This Row],[Wrote Sup]],
    IF(All[[#This Row],[Sup]]&lt;50,"FAL","PAS"),
  IF(All[[#This Row],[Exam/Def]]&lt;35, "FSB",
    IF(All[[#This Row],[Final]]&lt;50,"FAL",
    IF(All[[#This Row],[Final]]&gt;=50,"PAS",
  "Error!")))))</f>
        <v/>
      </c>
      <c r="N85" s="18">
        <f>IF(All[[#This Row],[Student]], _xlfn.IFNA(INDEX(captured[Course Mark],MATCH(All[[#This Row],[Student No.]],captured[ID_TEXT],0) &amp; ""), "Cannot find student!"),"No student!")</f>
        <v>50</v>
      </c>
      <c r="O85" s="189" t="str">
        <f>IF(All[[#This Row],[Student]], _xlfn.IFNA(INDEX(captured[Grade],MATCH(All[[#This Row],[Student No.]],captured[ID_TEXT],0)), "Cannot find student!") &amp; "","No student!")</f>
        <v>PAS</v>
      </c>
      <c r="P85"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85" s="18" t="str">
        <f>IF(All[[#This Row],[My Grade]]&lt;&gt;"",IF(All[[#This Row],[My Grade]]&lt;&gt;All[[#This Row],[Cap Grade]],TRUE,FALSE),"")</f>
        <v/>
      </c>
      <c r="R85" s="18" t="b">
        <f>IF(NOT(ISBLANK(All[[#This Row],[Student No.]])),OR(ISNUMBER(FIND("FSB",All[[#This Row],[My Grade]])),ISNUMBER(FIND("PAS", All[[#This Row],[My Grade]])),ISNUMBER(FIND("FAL",All[[#This Row],[My Grade]])),ISNUMBER(FIND("FAB", All[[#This Row],[My Grade]])),COUNTBLANK(All[[#This Row],[My Grade]])=1),FALSE)</f>
        <v>1</v>
      </c>
      <c r="S85" s="18" t="b">
        <f>IF(All[[#This Row],[Student No.]]&lt;&gt;"", TRUE, FALSE)</f>
        <v>1</v>
      </c>
      <c r="T85" s="18" t="b">
        <f>IF(COUNTBLANK(All[[#This Row],[Engagement]:[Exam/Def]])=0,TRUE, FALSE)</f>
        <v>0</v>
      </c>
      <c r="U85" s="18" t="b">
        <f>IF(ISNUMBER(All[[#This Row],[Test]]),TRUE,FALSE)</f>
        <v>0</v>
      </c>
      <c r="V85" s="18" t="e">
        <f>IF((INDEX(Test[Total (%)],MATCH(All[[#This Row],[Student No.]],Test[Student No.],0)))="ABS", TRUE, FALSE)</f>
        <v>#N/A</v>
      </c>
      <c r="W85" s="18" t="b">
        <f>IF(ISNUMBER(INDEX(Exam[Total (%)],MATCH(All[[#This Row],[Student No.]],Exam[Student No.],0))), TRUE, FALSE)</f>
        <v>1</v>
      </c>
      <c r="X85" s="18" t="b">
        <f>IF(ISNUMBER(INDEX(#REF!,MATCH(All[[#This Row],[Student No.]],#REF!,0))),TRUE,FALSE)</f>
        <v>0</v>
      </c>
      <c r="Y85" s="18" t="b">
        <f>IF(ISNUMBER(INDEX(#REF!,MATCH(All[[#This Row],[Student No.]],#REF!,0))),TRUE,FALSE)</f>
        <v>0</v>
      </c>
      <c r="Z85" s="18" t="b">
        <f>IF(All[[#This Row],[Wrote Def]],
IF(INDEX(#REF!, MATCH(All[[#This Row],[Student No.]],#REF!,0))&lt;&gt;All[[#This Row],[Exam/Def]], TRUE, FALSE),
  IF(All[[#This Row],[Wrote Exam]], IF(INDEX(Exam[Total (%)], MATCH(All[[#This Row],[Student No.]],Exam[Student No.],0))&lt;&gt;All[[#This Row],[Exam/Def]],TRUE,FALSE), FALSE))</f>
        <v>0</v>
      </c>
      <c r="AA85" s="18" t="b">
        <f xml:space="preserve">    IF(AND(All[[#This Row],[Exam/Def]]&lt;35,OR(All[[#This Row],[Wrote Exam]],All[[#This Row],[Wrote Def]])), TRUE,FALSE)</f>
        <v>0</v>
      </c>
      <c r="AB85" s="18" t="b">
        <f>IF(AND(All[[#This Row],[Exam &lt; 35%]],All[[#This Row],[Final]]&gt;=50),TRUE,FALSE)</f>
        <v>0</v>
      </c>
      <c r="AC85" s="18"/>
    </row>
    <row r="86" spans="1:29" ht="43.2">
      <c r="A86" s="17" t="s">
        <v>353</v>
      </c>
      <c r="B86" s="17" t="s">
        <v>527</v>
      </c>
      <c r="C86" s="100" t="e">
        <f>IF(All[[#This Row],[Student]],
  IF(ISNA(INDEX(#REF!,MATCH(All[[#This Row],[Student No.]],#REF!,0))),
    "Cannot find student!",
    IF(INDEX(#REF!,MATCH(All[[#This Row],[Student No.]],#REF!,0))="",
      "",
      INDEX(#REF!,MATCH(All[[#This Row],[Student No.]],#REF!,0)))
    ),
  "No student!")</f>
        <v>#REF!</v>
      </c>
      <c r="D86"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86" s="18" t="str">
        <f>IF(All[[#This Row],[Student]],
  IF(ISNA(INDEX(Project[Total (%)],MATCH(All[[#This Row],[Student No.]],Project[Student No.],0))),
    "Cannot find student!",
    IF(INDEX(Project[Total (%)],MATCH(All[[#This Row],[Student No.]],Project[Student No.],0))="",
      "",
      INDEX(Project[Total (%)],MATCH(All[[#This Row],[Student No.]],Project[Student No.],0)))
    ),
  "No student!")</f>
        <v/>
      </c>
      <c r="F86" s="201">
        <f>IF(All[[#This Row],[Wrote Def]], INDEX(#REF!, MATCH(All[[#This Row],[Student No.]],#REF!,0)),
  IF(All[[#This Row],[Wrote Exam]], INDEX(Exam[Total (%)], MATCH(All[[#This Row],[Student No.]], Exam[Student No.],0)),
    ""))</f>
        <v>45</v>
      </c>
      <c r="G86" s="18" t="str">
        <f>IF(AND(All[[#This Row],[Student]], All[[#This Row],[All Components]]),
    IF(NOT(All[Has Test Mark]),ROUND((All[[#This Row],[Engagement]]*$C$5+All[[#This Row],[Project]]*$E$5+All[[#This Row],[Exam/Def]]*$F$5)/($C$5+$E$5+$F$5),0),
      ROUND((All[[#This Row],[Engagement]]*$C$5+All[[#This Row],[Test]]*$D$5+All[[#This Row],[Project]]*$E$5+All[[#This Row],[Exam/Def]]*$F$5)/($C$5+$D$5+$E$5+$F$5),0)
  ),
  "")</f>
        <v/>
      </c>
      <c r="H86" s="18" t="str">
        <f>All[[#This Row],[Course Mark]]</f>
        <v/>
      </c>
      <c r="I86" s="18" t="str">
        <f>IF(All[[#This Row],[Wrote Sup]], INDEX(#REF!,MATCH(All[[#This Row],[Student No.]],#REF!,0)), "")</f>
        <v/>
      </c>
      <c r="J86" s="18" t="str">
        <f>IF(AND(All[[#This Row],[Student]],ISNUMBER(All[[#This Row],[Final]])),_xlfn.RANK.EQ(All[[#This Row],[Final]],All[Final]),"")</f>
        <v/>
      </c>
      <c r="K86" s="31"/>
      <c r="L86" s="18" t="str">
        <f>IF(All[[#This Row],[Student]], IF(All[Wrote Sup],All[Sup],All[[#This Row],[Final]]),"No student")</f>
        <v/>
      </c>
      <c r="M86" s="18" t="str">
        <f>IF(All[[#This Row],[Final]]="","",
  IF(All[[#This Row],[Wrote Sup]],
    IF(All[[#This Row],[Sup]]&lt;50,"FAL","PAS"),
  IF(All[[#This Row],[Exam/Def]]&lt;35, "FSB",
    IF(All[[#This Row],[Final]]&lt;50,"FAL",
    IF(All[[#This Row],[Final]]&gt;=50,"PAS",
  "Error!")))))</f>
        <v/>
      </c>
      <c r="N86" s="18">
        <f>IF(All[[#This Row],[Student]], _xlfn.IFNA(INDEX(captured[Course Mark],MATCH(All[[#This Row],[Student No.]],captured[ID_TEXT],0) &amp; ""), "Cannot find student!"),"No student!")</f>
        <v>50</v>
      </c>
      <c r="O86" s="189" t="str">
        <f>IF(All[[#This Row],[Student]], _xlfn.IFNA(INDEX(captured[Grade],MATCH(All[[#This Row],[Student No.]],captured[ID_TEXT],0)), "Cannot find student!") &amp; "","No student!")</f>
        <v>PAS</v>
      </c>
      <c r="P86"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86" s="18" t="str">
        <f>IF(All[[#This Row],[My Grade]]&lt;&gt;"",IF(All[[#This Row],[My Grade]]&lt;&gt;All[[#This Row],[Cap Grade]],TRUE,FALSE),"")</f>
        <v/>
      </c>
      <c r="R86" s="18" t="b">
        <f>IF(NOT(ISBLANK(All[[#This Row],[Student No.]])),OR(ISNUMBER(FIND("FSB",All[[#This Row],[My Grade]])),ISNUMBER(FIND("PAS", All[[#This Row],[My Grade]])),ISNUMBER(FIND("FAL",All[[#This Row],[My Grade]])),ISNUMBER(FIND("FAB", All[[#This Row],[My Grade]])),COUNTBLANK(All[[#This Row],[My Grade]])=1),FALSE)</f>
        <v>1</v>
      </c>
      <c r="S86" s="18" t="b">
        <f>IF(All[[#This Row],[Student No.]]&lt;&gt;"", TRUE, FALSE)</f>
        <v>1</v>
      </c>
      <c r="T86" s="18" t="b">
        <f>IF(COUNTBLANK(All[[#This Row],[Engagement]:[Exam/Def]])=0,TRUE, FALSE)</f>
        <v>0</v>
      </c>
      <c r="U86" s="18" t="b">
        <f>IF(ISNUMBER(All[[#This Row],[Test]]),TRUE,FALSE)</f>
        <v>0</v>
      </c>
      <c r="V86" s="18" t="e">
        <f>IF((INDEX(Test[Total (%)],MATCH(All[[#This Row],[Student No.]],Test[Student No.],0)))="ABS", TRUE, FALSE)</f>
        <v>#N/A</v>
      </c>
      <c r="W86" s="18" t="b">
        <f>IF(ISNUMBER(INDEX(Exam[Total (%)],MATCH(All[[#This Row],[Student No.]],Exam[Student No.],0))), TRUE, FALSE)</f>
        <v>1</v>
      </c>
      <c r="X86" s="18" t="b">
        <f>IF(ISNUMBER(INDEX(#REF!,MATCH(All[[#This Row],[Student No.]],#REF!,0))),TRUE,FALSE)</f>
        <v>0</v>
      </c>
      <c r="Y86" s="18" t="b">
        <f>IF(ISNUMBER(INDEX(#REF!,MATCH(All[[#This Row],[Student No.]],#REF!,0))),TRUE,FALSE)</f>
        <v>0</v>
      </c>
      <c r="Z86" s="18" t="b">
        <f>IF(All[[#This Row],[Wrote Def]],
IF(INDEX(#REF!, MATCH(All[[#This Row],[Student No.]],#REF!,0))&lt;&gt;All[[#This Row],[Exam/Def]], TRUE, FALSE),
  IF(All[[#This Row],[Wrote Exam]], IF(INDEX(Exam[Total (%)], MATCH(All[[#This Row],[Student No.]],Exam[Student No.],0))&lt;&gt;All[[#This Row],[Exam/Def]],TRUE,FALSE), FALSE))</f>
        <v>0</v>
      </c>
      <c r="AA86" s="18" t="b">
        <f xml:space="preserve">    IF(AND(All[[#This Row],[Exam/Def]]&lt;35,OR(All[[#This Row],[Wrote Exam]],All[[#This Row],[Wrote Def]])), TRUE,FALSE)</f>
        <v>0</v>
      </c>
      <c r="AB86" s="18" t="b">
        <f>IF(AND(All[[#This Row],[Exam &lt; 35%]],All[[#This Row],[Final]]&gt;=50),TRUE,FALSE)</f>
        <v>0</v>
      </c>
      <c r="AC86" s="18"/>
    </row>
    <row r="87" spans="1:29" ht="43.2">
      <c r="A87" s="17" t="s">
        <v>354</v>
      </c>
      <c r="B87" s="17" t="s">
        <v>528</v>
      </c>
      <c r="C87" s="100" t="e">
        <f>IF(All[[#This Row],[Student]],
  IF(ISNA(INDEX(#REF!,MATCH(All[[#This Row],[Student No.]],#REF!,0))),
    "Cannot find student!",
    IF(INDEX(#REF!,MATCH(All[[#This Row],[Student No.]],#REF!,0))="",
      "",
      INDEX(#REF!,MATCH(All[[#This Row],[Student No.]],#REF!,0)))
    ),
  "No student!")</f>
        <v>#REF!</v>
      </c>
      <c r="D87"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87" s="18" t="str">
        <f>IF(All[[#This Row],[Student]],
  IF(ISNA(INDEX(Project[Total (%)],MATCH(All[[#This Row],[Student No.]],Project[Student No.],0))),
    "Cannot find student!",
    IF(INDEX(Project[Total (%)],MATCH(All[[#This Row],[Student No.]],Project[Student No.],0))="",
      "",
      INDEX(Project[Total (%)],MATCH(All[[#This Row],[Student No.]],Project[Student No.],0)))
    ),
  "No student!")</f>
        <v/>
      </c>
      <c r="F87" s="201">
        <f>IF(All[[#This Row],[Wrote Def]], INDEX(#REF!, MATCH(All[[#This Row],[Student No.]],#REF!,0)),
  IF(All[[#This Row],[Wrote Exam]], INDEX(Exam[Total (%)], MATCH(All[[#This Row],[Student No.]], Exam[Student No.],0)),
    ""))</f>
        <v>33</v>
      </c>
      <c r="G87" s="18" t="str">
        <f>IF(AND(All[[#This Row],[Student]], All[[#This Row],[All Components]]),
    IF(NOT(All[Has Test Mark]),ROUND((All[[#This Row],[Engagement]]*$C$5+All[[#This Row],[Project]]*$E$5+All[[#This Row],[Exam/Def]]*$F$5)/($C$5+$E$5+$F$5),0),
      ROUND((All[[#This Row],[Engagement]]*$C$5+All[[#This Row],[Test]]*$D$5+All[[#This Row],[Project]]*$E$5+All[[#This Row],[Exam/Def]]*$F$5)/($C$5+$D$5+$E$5+$F$5),0)
  ),
  "")</f>
        <v/>
      </c>
      <c r="H87" s="18" t="str">
        <f>All[[#This Row],[Course Mark]]</f>
        <v/>
      </c>
      <c r="I87" s="18" t="str">
        <f>IF(All[[#This Row],[Wrote Sup]], INDEX(#REF!,MATCH(All[[#This Row],[Student No.]],#REF!,0)), "")</f>
        <v/>
      </c>
      <c r="J87" s="18" t="str">
        <f>IF(AND(All[[#This Row],[Student]],ISNUMBER(All[[#This Row],[Final]])),_xlfn.RANK.EQ(All[[#This Row],[Final]],All[Final]),"")</f>
        <v/>
      </c>
      <c r="K87" s="31"/>
      <c r="L87" s="18" t="str">
        <f>IF(All[[#This Row],[Student]], IF(All[Wrote Sup],All[Sup],All[[#This Row],[Final]]),"No student")</f>
        <v/>
      </c>
      <c r="M87" s="18" t="str">
        <f>IF(All[[#This Row],[Final]]="","",
  IF(All[[#This Row],[Wrote Sup]],
    IF(All[[#This Row],[Sup]]&lt;50,"FAL","PAS"),
  IF(All[[#This Row],[Exam/Def]]&lt;35, "FSB",
    IF(All[[#This Row],[Final]]&lt;50,"FAL",
    IF(All[[#This Row],[Final]]&gt;=50,"PAS",
  "Error!")))))</f>
        <v/>
      </c>
      <c r="N87" s="18">
        <f>IF(All[[#This Row],[Student]], _xlfn.IFNA(INDEX(captured[Course Mark],MATCH(All[[#This Row],[Student No.]],captured[ID_TEXT],0) &amp; ""), "Cannot find student!"),"No student!")</f>
        <v>50</v>
      </c>
      <c r="O87" s="189" t="str">
        <f>IF(All[[#This Row],[Student]], _xlfn.IFNA(INDEX(captured[Grade],MATCH(All[[#This Row],[Student No.]],captured[ID_TEXT],0)), "Cannot find student!") &amp; "","No student!")</f>
        <v/>
      </c>
      <c r="P87"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87" s="18" t="str">
        <f>IF(All[[#This Row],[My Grade]]&lt;&gt;"",IF(All[[#This Row],[My Grade]]&lt;&gt;All[[#This Row],[Cap Grade]],TRUE,FALSE),"")</f>
        <v/>
      </c>
      <c r="R87" s="18" t="b">
        <f>IF(NOT(ISBLANK(All[[#This Row],[Student No.]])),OR(ISNUMBER(FIND("FSB",All[[#This Row],[My Grade]])),ISNUMBER(FIND("PAS", All[[#This Row],[My Grade]])),ISNUMBER(FIND("FAL",All[[#This Row],[My Grade]])),ISNUMBER(FIND("FAB", All[[#This Row],[My Grade]])),COUNTBLANK(All[[#This Row],[My Grade]])=1),FALSE)</f>
        <v>1</v>
      </c>
      <c r="S87" s="18" t="b">
        <f>IF(All[[#This Row],[Student No.]]&lt;&gt;"", TRUE, FALSE)</f>
        <v>1</v>
      </c>
      <c r="T87" s="18" t="b">
        <f>IF(COUNTBLANK(All[[#This Row],[Engagement]:[Exam/Def]])=0,TRUE, FALSE)</f>
        <v>0</v>
      </c>
      <c r="U87" s="18" t="b">
        <f>IF(ISNUMBER(All[[#This Row],[Test]]),TRUE,FALSE)</f>
        <v>0</v>
      </c>
      <c r="V87" s="18" t="e">
        <f>IF((INDEX(Test[Total (%)],MATCH(All[[#This Row],[Student No.]],Test[Student No.],0)))="ABS", TRUE, FALSE)</f>
        <v>#N/A</v>
      </c>
      <c r="W87" s="18" t="b">
        <f>IF(ISNUMBER(INDEX(Exam[Total (%)],MATCH(All[[#This Row],[Student No.]],Exam[Student No.],0))), TRUE, FALSE)</f>
        <v>1</v>
      </c>
      <c r="X87" s="18" t="b">
        <f>IF(ISNUMBER(INDEX(#REF!,MATCH(All[[#This Row],[Student No.]],#REF!,0))),TRUE,FALSE)</f>
        <v>0</v>
      </c>
      <c r="Y87" s="18" t="b">
        <f>IF(ISNUMBER(INDEX(#REF!,MATCH(All[[#This Row],[Student No.]],#REF!,0))),TRUE,FALSE)</f>
        <v>0</v>
      </c>
      <c r="Z87" s="18" t="b">
        <f>IF(All[[#This Row],[Wrote Def]],
IF(INDEX(#REF!, MATCH(All[[#This Row],[Student No.]],#REF!,0))&lt;&gt;All[[#This Row],[Exam/Def]], TRUE, FALSE),
  IF(All[[#This Row],[Wrote Exam]], IF(INDEX(Exam[Total (%)], MATCH(All[[#This Row],[Student No.]],Exam[Student No.],0))&lt;&gt;All[[#This Row],[Exam/Def]],TRUE,FALSE), FALSE))</f>
        <v>0</v>
      </c>
      <c r="AA87" s="18" t="b">
        <f xml:space="preserve">    IF(AND(All[[#This Row],[Exam/Def]]&lt;35,OR(All[[#This Row],[Wrote Exam]],All[[#This Row],[Wrote Def]])), TRUE,FALSE)</f>
        <v>1</v>
      </c>
      <c r="AB87" s="18" t="b">
        <f>IF(AND(All[[#This Row],[Exam &lt; 35%]],All[[#This Row],[Final]]&gt;=50),TRUE,FALSE)</f>
        <v>1</v>
      </c>
      <c r="AC87" s="18"/>
    </row>
    <row r="88" spans="1:29" ht="43.2">
      <c r="A88" s="17" t="s">
        <v>355</v>
      </c>
      <c r="B88" s="17" t="s">
        <v>529</v>
      </c>
      <c r="C88" s="100" t="e">
        <f>IF(All[[#This Row],[Student]],
  IF(ISNA(INDEX(#REF!,MATCH(All[[#This Row],[Student No.]],#REF!,0))),
    "Cannot find student!",
    IF(INDEX(#REF!,MATCH(All[[#This Row],[Student No.]],#REF!,0))="",
      "",
      INDEX(#REF!,MATCH(All[[#This Row],[Student No.]],#REF!,0)))
    ),
  "No student!")</f>
        <v>#REF!</v>
      </c>
      <c r="D88"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88" s="18" t="str">
        <f>IF(All[[#This Row],[Student]],
  IF(ISNA(INDEX(Project[Total (%)],MATCH(All[[#This Row],[Student No.]],Project[Student No.],0))),
    "Cannot find student!",
    IF(INDEX(Project[Total (%)],MATCH(All[[#This Row],[Student No.]],Project[Student No.],0))="",
      "",
      INDEX(Project[Total (%)],MATCH(All[[#This Row],[Student No.]],Project[Student No.],0)))
    ),
  "No student!")</f>
        <v/>
      </c>
      <c r="F88" s="201">
        <f>IF(All[[#This Row],[Wrote Def]], INDEX(#REF!, MATCH(All[[#This Row],[Student No.]],#REF!,0)),
  IF(All[[#This Row],[Wrote Exam]], INDEX(Exam[Total (%)], MATCH(All[[#This Row],[Student No.]], Exam[Student No.],0)),
    ""))</f>
        <v>42</v>
      </c>
      <c r="G88" s="18" t="str">
        <f>IF(AND(All[[#This Row],[Student]], All[[#This Row],[All Components]]),
    IF(NOT(All[Has Test Mark]),ROUND((All[[#This Row],[Engagement]]*$C$5+All[[#This Row],[Project]]*$E$5+All[[#This Row],[Exam/Def]]*$F$5)/($C$5+$E$5+$F$5),0),
      ROUND((All[[#This Row],[Engagement]]*$C$5+All[[#This Row],[Test]]*$D$5+All[[#This Row],[Project]]*$E$5+All[[#This Row],[Exam/Def]]*$F$5)/($C$5+$D$5+$E$5+$F$5),0)
  ),
  "")</f>
        <v/>
      </c>
      <c r="H88" s="18" t="str">
        <f>All[[#This Row],[Course Mark]]</f>
        <v/>
      </c>
      <c r="I88" s="18" t="str">
        <f>IF(All[[#This Row],[Wrote Sup]], INDEX(#REF!,MATCH(All[[#This Row],[Student No.]],#REF!,0)), "")</f>
        <v/>
      </c>
      <c r="J88" s="18" t="str">
        <f>IF(AND(All[[#This Row],[Student]],ISNUMBER(All[[#This Row],[Final]])),_xlfn.RANK.EQ(All[[#This Row],[Final]],All[Final]),"")</f>
        <v/>
      </c>
      <c r="K88" s="31"/>
      <c r="L88" s="18" t="str">
        <f>IF(All[[#This Row],[Student]], IF(All[Wrote Sup],All[Sup],All[[#This Row],[Final]]),"No student")</f>
        <v/>
      </c>
      <c r="M88" s="18" t="str">
        <f>IF(All[[#This Row],[Final]]="","",
  IF(All[[#This Row],[Wrote Sup]],
    IF(All[[#This Row],[Sup]]&lt;50,"FAL","PAS"),
  IF(All[[#This Row],[Exam/Def]]&lt;35, "FSB",
    IF(All[[#This Row],[Final]]&lt;50,"FAL",
    IF(All[[#This Row],[Final]]&gt;=50,"PAS",
  "Error!")))))</f>
        <v/>
      </c>
      <c r="N88" s="18">
        <f>IF(All[[#This Row],[Student]], _xlfn.IFNA(INDEX(captured[Course Mark],MATCH(All[[#This Row],[Student No.]],captured[ID_TEXT],0) &amp; ""), "Cannot find student!"),"No student!")</f>
        <v>52</v>
      </c>
      <c r="O88" s="189" t="str">
        <f>IF(All[[#This Row],[Student]], _xlfn.IFNA(INDEX(captured[Grade],MATCH(All[[#This Row],[Student No.]],captured[ID_TEXT],0)), "Cannot find student!") &amp; "","No student!")</f>
        <v>PAS</v>
      </c>
      <c r="P88"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88" s="18" t="str">
        <f>IF(All[[#This Row],[My Grade]]&lt;&gt;"",IF(All[[#This Row],[My Grade]]&lt;&gt;All[[#This Row],[Cap Grade]],TRUE,FALSE),"")</f>
        <v/>
      </c>
      <c r="R88" s="18" t="b">
        <f>IF(NOT(ISBLANK(All[[#This Row],[Student No.]])),OR(ISNUMBER(FIND("FSB",All[[#This Row],[My Grade]])),ISNUMBER(FIND("PAS", All[[#This Row],[My Grade]])),ISNUMBER(FIND("FAL",All[[#This Row],[My Grade]])),ISNUMBER(FIND("FAB", All[[#This Row],[My Grade]])),COUNTBLANK(All[[#This Row],[My Grade]])=1),FALSE)</f>
        <v>1</v>
      </c>
      <c r="S88" s="18" t="b">
        <f>IF(All[[#This Row],[Student No.]]&lt;&gt;"", TRUE, FALSE)</f>
        <v>1</v>
      </c>
      <c r="T88" s="18" t="b">
        <f>IF(COUNTBLANK(All[[#This Row],[Engagement]:[Exam/Def]])=0,TRUE, FALSE)</f>
        <v>0</v>
      </c>
      <c r="U88" s="18" t="b">
        <f>IF(ISNUMBER(All[[#This Row],[Test]]),TRUE,FALSE)</f>
        <v>0</v>
      </c>
      <c r="V88" s="18" t="e">
        <f>IF((INDEX(Test[Total (%)],MATCH(All[[#This Row],[Student No.]],Test[Student No.],0)))="ABS", TRUE, FALSE)</f>
        <v>#N/A</v>
      </c>
      <c r="W88" s="18" t="b">
        <f>IF(ISNUMBER(INDEX(Exam[Total (%)],MATCH(All[[#This Row],[Student No.]],Exam[Student No.],0))), TRUE, FALSE)</f>
        <v>1</v>
      </c>
      <c r="X88" s="18" t="b">
        <f>IF(ISNUMBER(INDEX(#REF!,MATCH(All[[#This Row],[Student No.]],#REF!,0))),TRUE,FALSE)</f>
        <v>0</v>
      </c>
      <c r="Y88" s="18" t="b">
        <f>IF(ISNUMBER(INDEX(#REF!,MATCH(All[[#This Row],[Student No.]],#REF!,0))),TRUE,FALSE)</f>
        <v>0</v>
      </c>
      <c r="Z88" s="18" t="b">
        <f>IF(All[[#This Row],[Wrote Def]],
IF(INDEX(#REF!, MATCH(All[[#This Row],[Student No.]],#REF!,0))&lt;&gt;All[[#This Row],[Exam/Def]], TRUE, FALSE),
  IF(All[[#This Row],[Wrote Exam]], IF(INDEX(Exam[Total (%)], MATCH(All[[#This Row],[Student No.]],Exam[Student No.],0))&lt;&gt;All[[#This Row],[Exam/Def]],TRUE,FALSE), FALSE))</f>
        <v>0</v>
      </c>
      <c r="AA88" s="18" t="b">
        <f xml:space="preserve">    IF(AND(All[[#This Row],[Exam/Def]]&lt;35,OR(All[[#This Row],[Wrote Exam]],All[[#This Row],[Wrote Def]])), TRUE,FALSE)</f>
        <v>0</v>
      </c>
      <c r="AB88" s="18" t="b">
        <f>IF(AND(All[[#This Row],[Exam &lt; 35%]],All[[#This Row],[Final]]&gt;=50),TRUE,FALSE)</f>
        <v>0</v>
      </c>
      <c r="AC88" s="18"/>
    </row>
    <row r="89" spans="1:29" ht="43.2">
      <c r="A89" s="17" t="s">
        <v>356</v>
      </c>
      <c r="B89" s="17" t="s">
        <v>530</v>
      </c>
      <c r="C89" s="100" t="e">
        <f>IF(All[[#This Row],[Student]],
  IF(ISNA(INDEX(#REF!,MATCH(All[[#This Row],[Student No.]],#REF!,0))),
    "Cannot find student!",
    IF(INDEX(#REF!,MATCH(All[[#This Row],[Student No.]],#REF!,0))="",
      "",
      INDEX(#REF!,MATCH(All[[#This Row],[Student No.]],#REF!,0)))
    ),
  "No student!")</f>
        <v>#REF!</v>
      </c>
      <c r="D89"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89" s="18" t="str">
        <f>IF(All[[#This Row],[Student]],
  IF(ISNA(INDEX(Project[Total (%)],MATCH(All[[#This Row],[Student No.]],Project[Student No.],0))),
    "Cannot find student!",
    IF(INDEX(Project[Total (%)],MATCH(All[[#This Row],[Student No.]],Project[Student No.],0))="",
      "",
      INDEX(Project[Total (%)],MATCH(All[[#This Row],[Student No.]],Project[Student No.],0)))
    ),
  "No student!")</f>
        <v/>
      </c>
      <c r="F89" s="201">
        <f>IF(All[[#This Row],[Wrote Def]], INDEX(#REF!, MATCH(All[[#This Row],[Student No.]],#REF!,0)),
  IF(All[[#This Row],[Wrote Exam]], INDEX(Exam[Total (%)], MATCH(All[[#This Row],[Student No.]], Exam[Student No.],0)),
    ""))</f>
        <v>65</v>
      </c>
      <c r="G89" s="18" t="str">
        <f>IF(AND(All[[#This Row],[Student]], All[[#This Row],[All Components]]),
    IF(NOT(All[Has Test Mark]),ROUND((All[[#This Row],[Engagement]]*$C$5+All[[#This Row],[Project]]*$E$5+All[[#This Row],[Exam/Def]]*$F$5)/($C$5+$E$5+$F$5),0),
      ROUND((All[[#This Row],[Engagement]]*$C$5+All[[#This Row],[Test]]*$D$5+All[[#This Row],[Project]]*$E$5+All[[#This Row],[Exam/Def]]*$F$5)/($C$5+$D$5+$E$5+$F$5),0)
  ),
  "")</f>
        <v/>
      </c>
      <c r="H89" s="18" t="str">
        <f>All[[#This Row],[Course Mark]]</f>
        <v/>
      </c>
      <c r="I89" s="18" t="str">
        <f>IF(All[[#This Row],[Wrote Sup]], INDEX(#REF!,MATCH(All[[#This Row],[Student No.]],#REF!,0)), "")</f>
        <v/>
      </c>
      <c r="J89" s="18" t="str">
        <f>IF(AND(All[[#This Row],[Student]],ISNUMBER(All[[#This Row],[Final]])),_xlfn.RANK.EQ(All[[#This Row],[Final]],All[Final]),"")</f>
        <v/>
      </c>
      <c r="K89" s="31"/>
      <c r="L89" s="18" t="str">
        <f>IF(All[[#This Row],[Student]], IF(All[Wrote Sup],All[Sup],All[[#This Row],[Final]]),"No student")</f>
        <v/>
      </c>
      <c r="M89" s="18" t="str">
        <f>IF(All[[#This Row],[Final]]="","",
  IF(All[[#This Row],[Wrote Sup]],
    IF(All[[#This Row],[Sup]]&lt;50,"FAL","PAS"),
  IF(All[[#This Row],[Exam/Def]]&lt;35, "FSB",
    IF(All[[#This Row],[Final]]&lt;50,"FAL",
    IF(All[[#This Row],[Final]]&gt;=50,"PAS",
  "Error!")))))</f>
        <v/>
      </c>
      <c r="N89" s="18">
        <f>IF(All[[#This Row],[Student]], _xlfn.IFNA(INDEX(captured[Course Mark],MATCH(All[[#This Row],[Student No.]],captured[ID_TEXT],0) &amp; ""), "Cannot find student!"),"No student!")</f>
        <v>63</v>
      </c>
      <c r="O89" s="189" t="str">
        <f>IF(All[[#This Row],[Student]], _xlfn.IFNA(INDEX(captured[Grade],MATCH(All[[#This Row],[Student No.]],captured[ID_TEXT],0)), "Cannot find student!") &amp; "","No student!")</f>
        <v>PAS</v>
      </c>
      <c r="P89"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89" s="18" t="str">
        <f>IF(All[[#This Row],[My Grade]]&lt;&gt;"",IF(All[[#This Row],[My Grade]]&lt;&gt;All[[#This Row],[Cap Grade]],TRUE,FALSE),"")</f>
        <v/>
      </c>
      <c r="R89" s="18" t="b">
        <f>IF(NOT(ISBLANK(All[[#This Row],[Student No.]])),OR(ISNUMBER(FIND("FSB",All[[#This Row],[My Grade]])),ISNUMBER(FIND("PAS", All[[#This Row],[My Grade]])),ISNUMBER(FIND("FAL",All[[#This Row],[My Grade]])),ISNUMBER(FIND("FAB", All[[#This Row],[My Grade]])),COUNTBLANK(All[[#This Row],[My Grade]])=1),FALSE)</f>
        <v>1</v>
      </c>
      <c r="S89" s="18" t="b">
        <f>IF(All[[#This Row],[Student No.]]&lt;&gt;"", TRUE, FALSE)</f>
        <v>1</v>
      </c>
      <c r="T89" s="18" t="b">
        <f>IF(COUNTBLANK(All[[#This Row],[Engagement]:[Exam/Def]])=0,TRUE, FALSE)</f>
        <v>0</v>
      </c>
      <c r="U89" s="18" t="b">
        <f>IF(ISNUMBER(All[[#This Row],[Test]]),TRUE,FALSE)</f>
        <v>0</v>
      </c>
      <c r="V89" s="18" t="e">
        <f>IF((INDEX(Test[Total (%)],MATCH(All[[#This Row],[Student No.]],Test[Student No.],0)))="ABS", TRUE, FALSE)</f>
        <v>#N/A</v>
      </c>
      <c r="W89" s="18" t="b">
        <f>IF(ISNUMBER(INDEX(Exam[Total (%)],MATCH(All[[#This Row],[Student No.]],Exam[Student No.],0))), TRUE, FALSE)</f>
        <v>1</v>
      </c>
      <c r="X89" s="18" t="b">
        <f>IF(ISNUMBER(INDEX(#REF!,MATCH(All[[#This Row],[Student No.]],#REF!,0))),TRUE,FALSE)</f>
        <v>0</v>
      </c>
      <c r="Y89" s="18" t="b">
        <f>IF(ISNUMBER(INDEX(#REF!,MATCH(All[[#This Row],[Student No.]],#REF!,0))),TRUE,FALSE)</f>
        <v>0</v>
      </c>
      <c r="Z89" s="18" t="b">
        <f>IF(All[[#This Row],[Wrote Def]],
IF(INDEX(#REF!, MATCH(All[[#This Row],[Student No.]],#REF!,0))&lt;&gt;All[[#This Row],[Exam/Def]], TRUE, FALSE),
  IF(All[[#This Row],[Wrote Exam]], IF(INDEX(Exam[Total (%)], MATCH(All[[#This Row],[Student No.]],Exam[Student No.],0))&lt;&gt;All[[#This Row],[Exam/Def]],TRUE,FALSE), FALSE))</f>
        <v>0</v>
      </c>
      <c r="AA89" s="18" t="b">
        <f xml:space="preserve">    IF(AND(All[[#This Row],[Exam/Def]]&lt;35,OR(All[[#This Row],[Wrote Exam]],All[[#This Row],[Wrote Def]])), TRUE,FALSE)</f>
        <v>0</v>
      </c>
      <c r="AB89" s="18" t="b">
        <f>IF(AND(All[[#This Row],[Exam &lt; 35%]],All[[#This Row],[Final]]&gt;=50),TRUE,FALSE)</f>
        <v>0</v>
      </c>
      <c r="AC89" s="18"/>
    </row>
    <row r="90" spans="1:29" ht="43.2">
      <c r="A90" s="17" t="s">
        <v>357</v>
      </c>
      <c r="B90" s="17" t="s">
        <v>531</v>
      </c>
      <c r="C90" s="100" t="e">
        <f>IF(All[[#This Row],[Student]],
  IF(ISNA(INDEX(#REF!,MATCH(All[[#This Row],[Student No.]],#REF!,0))),
    "Cannot find student!",
    IF(INDEX(#REF!,MATCH(All[[#This Row],[Student No.]],#REF!,0))="",
      "",
      INDEX(#REF!,MATCH(All[[#This Row],[Student No.]],#REF!,0)))
    ),
  "No student!")</f>
        <v>#REF!</v>
      </c>
      <c r="D90"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90" s="18" t="str">
        <f>IF(All[[#This Row],[Student]],
  IF(ISNA(INDEX(Project[Total (%)],MATCH(All[[#This Row],[Student No.]],Project[Student No.],0))),
    "Cannot find student!",
    IF(INDEX(Project[Total (%)],MATCH(All[[#This Row],[Student No.]],Project[Student No.],0))="",
      "",
      INDEX(Project[Total (%)],MATCH(All[[#This Row],[Student No.]],Project[Student No.],0)))
    ),
  "No student!")</f>
        <v/>
      </c>
      <c r="F90" s="201">
        <f>IF(All[[#This Row],[Wrote Def]], INDEX(#REF!, MATCH(All[[#This Row],[Student No.]],#REF!,0)),
  IF(All[[#This Row],[Wrote Exam]], INDEX(Exam[Total (%)], MATCH(All[[#This Row],[Student No.]], Exam[Student No.],0)),
    ""))</f>
        <v>2</v>
      </c>
      <c r="G90" s="18" t="str">
        <f>IF(AND(All[[#This Row],[Student]], All[[#This Row],[All Components]]),
    IF(NOT(All[Has Test Mark]),ROUND((All[[#This Row],[Engagement]]*$C$5+All[[#This Row],[Project]]*$E$5+All[[#This Row],[Exam/Def]]*$F$5)/($C$5+$E$5+$F$5),0),
      ROUND((All[[#This Row],[Engagement]]*$C$5+All[[#This Row],[Test]]*$D$5+All[[#This Row],[Project]]*$E$5+All[[#This Row],[Exam/Def]]*$F$5)/($C$5+$D$5+$E$5+$F$5),0)
  ),
  "")</f>
        <v/>
      </c>
      <c r="H90" s="18" t="str">
        <f>All[[#This Row],[Course Mark]]</f>
        <v/>
      </c>
      <c r="I90" s="18" t="str">
        <f>IF(All[[#This Row],[Wrote Sup]], INDEX(#REF!,MATCH(All[[#This Row],[Student No.]],#REF!,0)), "")</f>
        <v/>
      </c>
      <c r="J90" s="18" t="str">
        <f>IF(AND(All[[#This Row],[Student]],ISNUMBER(All[[#This Row],[Final]])),_xlfn.RANK.EQ(All[[#This Row],[Final]],All[Final]),"")</f>
        <v/>
      </c>
      <c r="K90" s="31"/>
      <c r="L90" s="18" t="str">
        <f>IF(All[[#This Row],[Student]], IF(All[Wrote Sup],All[Sup],All[[#This Row],[Final]]),"No student")</f>
        <v/>
      </c>
      <c r="M90" s="18" t="str">
        <f>IF(All[[#This Row],[Final]]="","",
  IF(All[[#This Row],[Wrote Sup]],
    IF(All[[#This Row],[Sup]]&lt;50,"FAL","PAS"),
  IF(All[[#This Row],[Exam/Def]]&lt;35, "FSB",
    IF(All[[#This Row],[Final]]&lt;50,"FAL",
    IF(All[[#This Row],[Final]]&gt;=50,"PAS",
  "Error!")))))</f>
        <v/>
      </c>
      <c r="N90" s="18">
        <f>IF(All[[#This Row],[Student]], _xlfn.IFNA(INDEX(captured[Course Mark],MATCH(All[[#This Row],[Student No.]],captured[ID_TEXT],0) &amp; ""), "Cannot find student!"),"No student!")</f>
        <v>9</v>
      </c>
      <c r="O90" s="189" t="str">
        <f>IF(All[[#This Row],[Student]], _xlfn.IFNA(INDEX(captured[Grade],MATCH(All[[#This Row],[Student No.]],captured[ID_TEXT],0)), "Cannot find student!") &amp; "","No student!")</f>
        <v>FSB</v>
      </c>
      <c r="P90"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90" s="18" t="str">
        <f>IF(All[[#This Row],[My Grade]]&lt;&gt;"",IF(All[[#This Row],[My Grade]]&lt;&gt;All[[#This Row],[Cap Grade]],TRUE,FALSE),"")</f>
        <v/>
      </c>
      <c r="R90" s="18" t="b">
        <f>IF(NOT(ISBLANK(All[[#This Row],[Student No.]])),OR(ISNUMBER(FIND("FSB",All[[#This Row],[My Grade]])),ISNUMBER(FIND("PAS", All[[#This Row],[My Grade]])),ISNUMBER(FIND("FAL",All[[#This Row],[My Grade]])),ISNUMBER(FIND("FAB", All[[#This Row],[My Grade]])),COUNTBLANK(All[[#This Row],[My Grade]])=1),FALSE)</f>
        <v>1</v>
      </c>
      <c r="S90" s="18" t="b">
        <f>IF(All[[#This Row],[Student No.]]&lt;&gt;"", TRUE, FALSE)</f>
        <v>1</v>
      </c>
      <c r="T90" s="18" t="b">
        <f>IF(COUNTBLANK(All[[#This Row],[Engagement]:[Exam/Def]])=0,TRUE, FALSE)</f>
        <v>0</v>
      </c>
      <c r="U90" s="18" t="b">
        <f>IF(ISNUMBER(All[[#This Row],[Test]]),TRUE,FALSE)</f>
        <v>0</v>
      </c>
      <c r="V90" s="18" t="e">
        <f>IF((INDEX(Test[Total (%)],MATCH(All[[#This Row],[Student No.]],Test[Student No.],0)))="ABS", TRUE, FALSE)</f>
        <v>#N/A</v>
      </c>
      <c r="W90" s="18" t="b">
        <f>IF(ISNUMBER(INDEX(Exam[Total (%)],MATCH(All[[#This Row],[Student No.]],Exam[Student No.],0))), TRUE, FALSE)</f>
        <v>1</v>
      </c>
      <c r="X90" s="18" t="b">
        <f>IF(ISNUMBER(INDEX(#REF!,MATCH(All[[#This Row],[Student No.]],#REF!,0))),TRUE,FALSE)</f>
        <v>0</v>
      </c>
      <c r="Y90" s="18" t="b">
        <f>IF(ISNUMBER(INDEX(#REF!,MATCH(All[[#This Row],[Student No.]],#REF!,0))),TRUE,FALSE)</f>
        <v>0</v>
      </c>
      <c r="Z90" s="18" t="b">
        <f>IF(All[[#This Row],[Wrote Def]],
IF(INDEX(#REF!, MATCH(All[[#This Row],[Student No.]],#REF!,0))&lt;&gt;All[[#This Row],[Exam/Def]], TRUE, FALSE),
  IF(All[[#This Row],[Wrote Exam]], IF(INDEX(Exam[Total (%)], MATCH(All[[#This Row],[Student No.]],Exam[Student No.],0))&lt;&gt;All[[#This Row],[Exam/Def]],TRUE,FALSE), FALSE))</f>
        <v>0</v>
      </c>
      <c r="AA90" s="18" t="b">
        <f xml:space="preserve">    IF(AND(All[[#This Row],[Exam/Def]]&lt;35,OR(All[[#This Row],[Wrote Exam]],All[[#This Row],[Wrote Def]])), TRUE,FALSE)</f>
        <v>1</v>
      </c>
      <c r="AB90" s="18" t="b">
        <f>IF(AND(All[[#This Row],[Exam &lt; 35%]],All[[#This Row],[Final]]&gt;=50),TRUE,FALSE)</f>
        <v>1</v>
      </c>
      <c r="AC90" s="18"/>
    </row>
    <row r="91" spans="1:29">
      <c r="A91" s="17" t="s">
        <v>358</v>
      </c>
      <c r="B91" s="17" t="s">
        <v>532</v>
      </c>
      <c r="C91" s="100" t="e">
        <f>IF(All[[#This Row],[Student]],
  IF(ISNA(INDEX(#REF!,MATCH(All[[#This Row],[Student No.]],#REF!,0))),
    "Cannot find student!",
    IF(INDEX(#REF!,MATCH(All[[#This Row],[Student No.]],#REF!,0))="",
      "",
      INDEX(#REF!,MATCH(All[[#This Row],[Student No.]],#REF!,0)))
    ),
  "No student!")</f>
        <v>#REF!</v>
      </c>
      <c r="D91"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91" s="18" t="str">
        <f>IF(All[[#This Row],[Student]],
  IF(ISNA(INDEX(Project[Total (%)],MATCH(All[[#This Row],[Student No.]],Project[Student No.],0))),
    "Cannot find student!",
    IF(INDEX(Project[Total (%)],MATCH(All[[#This Row],[Student No.]],Project[Student No.],0))="",
      "",
      INDEX(Project[Total (%)],MATCH(All[[#This Row],[Student No.]],Project[Student No.],0)))
    ),
  "No student!")</f>
        <v/>
      </c>
      <c r="F91" s="201" t="str">
        <f>IF(All[[#This Row],[Wrote Def]], INDEX(#REF!, MATCH(All[[#This Row],[Student No.]],#REF!,0)),
  IF(All[[#This Row],[Wrote Exam]], INDEX(Exam[Total (%)], MATCH(All[[#This Row],[Student No.]], Exam[Student No.],0)),
    ""))</f>
        <v/>
      </c>
      <c r="G91" s="18" t="str">
        <f>IF(AND(All[[#This Row],[Student]], All[[#This Row],[All Components]]),
    IF(NOT(All[Has Test Mark]),ROUND((All[[#This Row],[Engagement]]*$C$5+All[[#This Row],[Project]]*$E$5+All[[#This Row],[Exam/Def]]*$F$5)/($C$5+$E$5+$F$5),0),
      ROUND((All[[#This Row],[Engagement]]*$C$5+All[[#This Row],[Test]]*$D$5+All[[#This Row],[Project]]*$E$5+All[[#This Row],[Exam/Def]]*$F$5)/($C$5+$D$5+$E$5+$F$5),0)
  ),
  "")</f>
        <v/>
      </c>
      <c r="H91" s="18" t="str">
        <f>All[[#This Row],[Course Mark]]</f>
        <v/>
      </c>
      <c r="I91" s="18" t="str">
        <f>IF(All[[#This Row],[Wrote Sup]], INDEX(#REF!,MATCH(All[[#This Row],[Student No.]],#REF!,0)), "")</f>
        <v/>
      </c>
      <c r="J91" s="18" t="str">
        <f>IF(AND(All[[#This Row],[Student]],ISNUMBER(All[[#This Row],[Final]])),_xlfn.RANK.EQ(All[[#This Row],[Final]],All[Final]),"")</f>
        <v/>
      </c>
      <c r="K91" s="31"/>
      <c r="L91" s="18" t="str">
        <f>IF(All[[#This Row],[Student]], IF(All[Wrote Sup],All[Sup],All[[#This Row],[Final]]),"No student")</f>
        <v/>
      </c>
      <c r="M91" s="18" t="str">
        <f>IF(All[[#This Row],[Final]]="","",
  IF(All[[#This Row],[Wrote Sup]],
    IF(All[[#This Row],[Sup]]&lt;50,"FAL","PAS"),
  IF(All[[#This Row],[Exam/Def]]&lt;35, "FSB",
    IF(All[[#This Row],[Final]]&lt;50,"FAL",
    IF(All[[#This Row],[Final]]&gt;=50,"PAS",
  "Error!")))))</f>
        <v/>
      </c>
      <c r="N91" s="18">
        <f>IF(All[[#This Row],[Student]], _xlfn.IFNA(INDEX(captured[Course Mark],MATCH(All[[#This Row],[Student No.]],captured[ID_TEXT],0) &amp; ""), "Cannot find student!"),"No student!")</f>
        <v>34</v>
      </c>
      <c r="O91" s="189" t="str">
        <f>IF(All[[#This Row],[Student]], _xlfn.IFNA(INDEX(captured[Grade],MATCH(All[[#This Row],[Student No.]],captured[ID_TEXT],0)), "Cannot find student!") &amp; "","No student!")</f>
        <v>FSB</v>
      </c>
      <c r="P91"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91" s="18" t="str">
        <f>IF(All[[#This Row],[My Grade]]&lt;&gt;"",IF(All[[#This Row],[My Grade]]&lt;&gt;All[[#This Row],[Cap Grade]],TRUE,FALSE),"")</f>
        <v/>
      </c>
      <c r="R91" s="18" t="b">
        <f>IF(NOT(ISBLANK(All[[#This Row],[Student No.]])),OR(ISNUMBER(FIND("FSB",All[[#This Row],[My Grade]])),ISNUMBER(FIND("PAS", All[[#This Row],[My Grade]])),ISNUMBER(FIND("FAL",All[[#This Row],[My Grade]])),ISNUMBER(FIND("FAB", All[[#This Row],[My Grade]])),COUNTBLANK(All[[#This Row],[My Grade]])=1),FALSE)</f>
        <v>1</v>
      </c>
      <c r="S91" s="18" t="b">
        <f>IF(All[[#This Row],[Student No.]]&lt;&gt;"", TRUE, FALSE)</f>
        <v>1</v>
      </c>
      <c r="T91" s="18" t="b">
        <f>IF(COUNTBLANK(All[[#This Row],[Engagement]:[Exam/Def]])=0,TRUE, FALSE)</f>
        <v>0</v>
      </c>
      <c r="U91" s="18" t="b">
        <f>IF(ISNUMBER(All[[#This Row],[Test]]),TRUE,FALSE)</f>
        <v>0</v>
      </c>
      <c r="V91" s="18" t="b">
        <f>IF((INDEX(Test[Total (%)],MATCH(All[[#This Row],[Student No.]],Test[Student No.],0)))="ABS", TRUE, FALSE)</f>
        <v>0</v>
      </c>
      <c r="W91" s="18" t="b">
        <f>IF(ISNUMBER(INDEX(Exam[Total (%)],MATCH(All[[#This Row],[Student No.]],Exam[Student No.],0))), TRUE, FALSE)</f>
        <v>0</v>
      </c>
      <c r="X91" s="18" t="b">
        <f>IF(ISNUMBER(INDEX(#REF!,MATCH(All[[#This Row],[Student No.]],#REF!,0))),TRUE,FALSE)</f>
        <v>0</v>
      </c>
      <c r="Y91" s="18" t="b">
        <f>IF(ISNUMBER(INDEX(#REF!,MATCH(All[[#This Row],[Student No.]],#REF!,0))),TRUE,FALSE)</f>
        <v>0</v>
      </c>
      <c r="Z91" s="18" t="b">
        <f>IF(All[[#This Row],[Wrote Def]],
IF(INDEX(#REF!, MATCH(All[[#This Row],[Student No.]],#REF!,0))&lt;&gt;All[[#This Row],[Exam/Def]], TRUE, FALSE),
  IF(All[[#This Row],[Wrote Exam]], IF(INDEX(Exam[Total (%)], MATCH(All[[#This Row],[Student No.]],Exam[Student No.],0))&lt;&gt;All[[#This Row],[Exam/Def]],TRUE,FALSE), FALSE))</f>
        <v>0</v>
      </c>
      <c r="AA91" s="18" t="b">
        <f xml:space="preserve">    IF(AND(All[[#This Row],[Exam/Def]]&lt;35,OR(All[[#This Row],[Wrote Exam]],All[[#This Row],[Wrote Def]])), TRUE,FALSE)</f>
        <v>0</v>
      </c>
      <c r="AB91" s="18" t="b">
        <f>IF(AND(All[[#This Row],[Exam &lt; 35%]],All[[#This Row],[Final]]&gt;=50),TRUE,FALSE)</f>
        <v>0</v>
      </c>
      <c r="AC91" s="18"/>
    </row>
    <row r="92" spans="1:29" ht="43.2">
      <c r="A92" s="17" t="s">
        <v>359</v>
      </c>
      <c r="B92" s="17" t="s">
        <v>533</v>
      </c>
      <c r="C92" s="100" t="e">
        <f>IF(All[[#This Row],[Student]],
  IF(ISNA(INDEX(#REF!,MATCH(All[[#This Row],[Student No.]],#REF!,0))),
    "Cannot find student!",
    IF(INDEX(#REF!,MATCH(All[[#This Row],[Student No.]],#REF!,0))="",
      "",
      INDEX(#REF!,MATCH(All[[#This Row],[Student No.]],#REF!,0)))
    ),
  "No student!")</f>
        <v>#REF!</v>
      </c>
      <c r="D92"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92" s="18" t="str">
        <f>IF(All[[#This Row],[Student]],
  IF(ISNA(INDEX(Project[Total (%)],MATCH(All[[#This Row],[Student No.]],Project[Student No.],0))),
    "Cannot find student!",
    IF(INDEX(Project[Total (%)],MATCH(All[[#This Row],[Student No.]],Project[Student No.],0))="",
      "",
      INDEX(Project[Total (%)],MATCH(All[[#This Row],[Student No.]],Project[Student No.],0)))
    ),
  "No student!")</f>
        <v/>
      </c>
      <c r="F92" s="201" t="str">
        <f>IF(All[[#This Row],[Wrote Def]], INDEX(#REF!, MATCH(All[[#This Row],[Student No.]],#REF!,0)),
  IF(All[[#This Row],[Wrote Exam]], INDEX(Exam[Total (%)], MATCH(All[[#This Row],[Student No.]], Exam[Student No.],0)),
    ""))</f>
        <v/>
      </c>
      <c r="G92" s="18" t="str">
        <f>IF(AND(All[[#This Row],[Student]], All[[#This Row],[All Components]]),
    IF(NOT(All[Has Test Mark]),ROUND((All[[#This Row],[Engagement]]*$C$5+All[[#This Row],[Project]]*$E$5+All[[#This Row],[Exam/Def]]*$F$5)/($C$5+$E$5+$F$5),0),
      ROUND((All[[#This Row],[Engagement]]*$C$5+All[[#This Row],[Test]]*$D$5+All[[#This Row],[Project]]*$E$5+All[[#This Row],[Exam/Def]]*$F$5)/($C$5+$D$5+$E$5+$F$5),0)
  ),
  "")</f>
        <v/>
      </c>
      <c r="H92" s="18" t="str">
        <f>All[[#This Row],[Course Mark]]</f>
        <v/>
      </c>
      <c r="I92" s="18" t="str">
        <f>IF(All[[#This Row],[Wrote Sup]], INDEX(#REF!,MATCH(All[[#This Row],[Student No.]],#REF!,0)), "")</f>
        <v/>
      </c>
      <c r="J92" s="18" t="str">
        <f>IF(AND(All[[#This Row],[Student]],ISNUMBER(All[[#This Row],[Final]])),_xlfn.RANK.EQ(All[[#This Row],[Final]],All[Final]),"")</f>
        <v/>
      </c>
      <c r="K92" s="31"/>
      <c r="L92" s="18" t="str">
        <f>IF(All[[#This Row],[Student]], IF(All[Wrote Sup],All[Sup],All[[#This Row],[Final]]),"No student")</f>
        <v/>
      </c>
      <c r="M92" s="18" t="str">
        <f>IF(All[[#This Row],[Final]]="","",
  IF(All[[#This Row],[Wrote Sup]],
    IF(All[[#This Row],[Sup]]&lt;50,"FAL","PAS"),
  IF(All[[#This Row],[Exam/Def]]&lt;35, "FSB",
    IF(All[[#This Row],[Final]]&lt;50,"FAL",
    IF(All[[#This Row],[Final]]&gt;=50,"PAS",
  "Error!")))))</f>
        <v/>
      </c>
      <c r="N92" s="18">
        <f>IF(All[[#This Row],[Student]], _xlfn.IFNA(INDEX(captured[Course Mark],MATCH(All[[#This Row],[Student No.]],captured[ID_TEXT],0) &amp; ""), "Cannot find student!"),"No student!")</f>
        <v>27</v>
      </c>
      <c r="O92" s="189" t="str">
        <f>IF(All[[#This Row],[Student]], _xlfn.IFNA(INDEX(captured[Grade],MATCH(All[[#This Row],[Student No.]],captured[ID_TEXT],0)), "Cannot find student!") &amp; "","No student!")</f>
        <v>FSB</v>
      </c>
      <c r="P92"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92" s="18" t="str">
        <f>IF(All[[#This Row],[My Grade]]&lt;&gt;"",IF(All[[#This Row],[My Grade]]&lt;&gt;All[[#This Row],[Cap Grade]],TRUE,FALSE),"")</f>
        <v/>
      </c>
      <c r="R92" s="18" t="b">
        <f>IF(NOT(ISBLANK(All[[#This Row],[Student No.]])),OR(ISNUMBER(FIND("FSB",All[[#This Row],[My Grade]])),ISNUMBER(FIND("PAS", All[[#This Row],[My Grade]])),ISNUMBER(FIND("FAL",All[[#This Row],[My Grade]])),ISNUMBER(FIND("FAB", All[[#This Row],[My Grade]])),COUNTBLANK(All[[#This Row],[My Grade]])=1),FALSE)</f>
        <v>1</v>
      </c>
      <c r="S92" s="18" t="b">
        <f>IF(All[[#This Row],[Student No.]]&lt;&gt;"", TRUE, FALSE)</f>
        <v>1</v>
      </c>
      <c r="T92" s="18" t="b">
        <f>IF(COUNTBLANK(All[[#This Row],[Engagement]:[Exam/Def]])=0,TRUE, FALSE)</f>
        <v>0</v>
      </c>
      <c r="U92" s="18" t="b">
        <f>IF(ISNUMBER(All[[#This Row],[Test]]),TRUE,FALSE)</f>
        <v>0</v>
      </c>
      <c r="V92" s="18" t="e">
        <f>IF((INDEX(Test[Total (%)],MATCH(All[[#This Row],[Student No.]],Test[Student No.],0)))="ABS", TRUE, FALSE)</f>
        <v>#N/A</v>
      </c>
      <c r="W92" s="18" t="b">
        <f>IF(ISNUMBER(INDEX(Exam[Total (%)],MATCH(All[[#This Row],[Student No.]],Exam[Student No.],0))), TRUE, FALSE)</f>
        <v>0</v>
      </c>
      <c r="X92" s="18" t="b">
        <f>IF(ISNUMBER(INDEX(#REF!,MATCH(All[[#This Row],[Student No.]],#REF!,0))),TRUE,FALSE)</f>
        <v>0</v>
      </c>
      <c r="Y92" s="18" t="b">
        <f>IF(ISNUMBER(INDEX(#REF!,MATCH(All[[#This Row],[Student No.]],#REF!,0))),TRUE,FALSE)</f>
        <v>0</v>
      </c>
      <c r="Z92" s="18" t="b">
        <f>IF(All[[#This Row],[Wrote Def]],
IF(INDEX(#REF!, MATCH(All[[#This Row],[Student No.]],#REF!,0))&lt;&gt;All[[#This Row],[Exam/Def]], TRUE, FALSE),
  IF(All[[#This Row],[Wrote Exam]], IF(INDEX(Exam[Total (%)], MATCH(All[[#This Row],[Student No.]],Exam[Student No.],0))&lt;&gt;All[[#This Row],[Exam/Def]],TRUE,FALSE), FALSE))</f>
        <v>0</v>
      </c>
      <c r="AA92" s="18" t="b">
        <f xml:space="preserve">    IF(AND(All[[#This Row],[Exam/Def]]&lt;35,OR(All[[#This Row],[Wrote Exam]],All[[#This Row],[Wrote Def]])), TRUE,FALSE)</f>
        <v>0</v>
      </c>
      <c r="AB92" s="18" t="b">
        <f>IF(AND(All[[#This Row],[Exam &lt; 35%]],All[[#This Row],[Final]]&gt;=50),TRUE,FALSE)</f>
        <v>0</v>
      </c>
      <c r="AC92" s="18"/>
    </row>
    <row r="93" spans="1:29" ht="43.2">
      <c r="A93" s="17" t="s">
        <v>360</v>
      </c>
      <c r="B93" s="17" t="s">
        <v>534</v>
      </c>
      <c r="C93" s="100" t="e">
        <f>IF(All[[#This Row],[Student]],
  IF(ISNA(INDEX(#REF!,MATCH(All[[#This Row],[Student No.]],#REF!,0))),
    "Cannot find student!",
    IF(INDEX(#REF!,MATCH(All[[#This Row],[Student No.]],#REF!,0))="",
      "",
      INDEX(#REF!,MATCH(All[[#This Row],[Student No.]],#REF!,0)))
    ),
  "No student!")</f>
        <v>#REF!</v>
      </c>
      <c r="D93"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93" s="18" t="str">
        <f>IF(All[[#This Row],[Student]],
  IF(ISNA(INDEX(Project[Total (%)],MATCH(All[[#This Row],[Student No.]],Project[Student No.],0))),
    "Cannot find student!",
    IF(INDEX(Project[Total (%)],MATCH(All[[#This Row],[Student No.]],Project[Student No.],0))="",
      "",
      INDEX(Project[Total (%)],MATCH(All[[#This Row],[Student No.]],Project[Student No.],0)))
    ),
  "No student!")</f>
        <v/>
      </c>
      <c r="F93" s="201">
        <f>IF(All[[#This Row],[Wrote Def]], INDEX(#REF!, MATCH(All[[#This Row],[Student No.]],#REF!,0)),
  IF(All[[#This Row],[Wrote Exam]], INDEX(Exam[Total (%)], MATCH(All[[#This Row],[Student No.]], Exam[Student No.],0)),
    ""))</f>
        <v>17</v>
      </c>
      <c r="G93" s="18" t="str">
        <f>IF(AND(All[[#This Row],[Student]], All[[#This Row],[All Components]]),
    IF(NOT(All[Has Test Mark]),ROUND((All[[#This Row],[Engagement]]*$C$5+All[[#This Row],[Project]]*$E$5+All[[#This Row],[Exam/Def]]*$F$5)/($C$5+$E$5+$F$5),0),
      ROUND((All[[#This Row],[Engagement]]*$C$5+All[[#This Row],[Test]]*$D$5+All[[#This Row],[Project]]*$E$5+All[[#This Row],[Exam/Def]]*$F$5)/($C$5+$D$5+$E$5+$F$5),0)
  ),
  "")</f>
        <v/>
      </c>
      <c r="H93" s="18" t="str">
        <f>All[[#This Row],[Course Mark]]</f>
        <v/>
      </c>
      <c r="I93" s="18" t="str">
        <f>IF(All[[#This Row],[Wrote Sup]], INDEX(#REF!,MATCH(All[[#This Row],[Student No.]],#REF!,0)), "")</f>
        <v/>
      </c>
      <c r="J93" s="18" t="str">
        <f>IF(AND(All[[#This Row],[Student]],ISNUMBER(All[[#This Row],[Final]])),_xlfn.RANK.EQ(All[[#This Row],[Final]],All[Final]),"")</f>
        <v/>
      </c>
      <c r="K93" s="31"/>
      <c r="L93" s="18" t="str">
        <f>IF(All[[#This Row],[Student]], IF(All[Wrote Sup],All[Sup],All[[#This Row],[Final]]),"No student")</f>
        <v/>
      </c>
      <c r="M93" s="18" t="str">
        <f>IF(All[[#This Row],[Final]]="","",
  IF(All[[#This Row],[Wrote Sup]],
    IF(All[[#This Row],[Sup]]&lt;50,"FAL","PAS"),
  IF(All[[#This Row],[Exam/Def]]&lt;35, "FSB",
    IF(All[[#This Row],[Final]]&lt;50,"FAL",
    IF(All[[#This Row],[Final]]&gt;=50,"PAS",
  "Error!")))))</f>
        <v/>
      </c>
      <c r="N93" s="18">
        <f>IF(All[[#This Row],[Student]], _xlfn.IFNA(INDEX(captured[Course Mark],MATCH(All[[#This Row],[Student No.]],captured[ID_TEXT],0) &amp; ""), "Cannot find student!"),"No student!")</f>
        <v>33</v>
      </c>
      <c r="O93" s="189" t="str">
        <f>IF(All[[#This Row],[Student]], _xlfn.IFNA(INDEX(captured[Grade],MATCH(All[[#This Row],[Student No.]],captured[ID_TEXT],0)), "Cannot find student!") &amp; "","No student!")</f>
        <v>FSB</v>
      </c>
      <c r="P93"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93" s="18" t="str">
        <f>IF(All[[#This Row],[My Grade]]&lt;&gt;"",IF(All[[#This Row],[My Grade]]&lt;&gt;All[[#This Row],[Cap Grade]],TRUE,FALSE),"")</f>
        <v/>
      </c>
      <c r="R93" s="18" t="b">
        <f>IF(NOT(ISBLANK(All[[#This Row],[Student No.]])),OR(ISNUMBER(FIND("FSB",All[[#This Row],[My Grade]])),ISNUMBER(FIND("PAS", All[[#This Row],[My Grade]])),ISNUMBER(FIND("FAL",All[[#This Row],[My Grade]])),ISNUMBER(FIND("FAB", All[[#This Row],[My Grade]])),COUNTBLANK(All[[#This Row],[My Grade]])=1),FALSE)</f>
        <v>1</v>
      </c>
      <c r="S93" s="18" t="b">
        <f>IF(All[[#This Row],[Student No.]]&lt;&gt;"", TRUE, FALSE)</f>
        <v>1</v>
      </c>
      <c r="T93" s="18" t="b">
        <f>IF(COUNTBLANK(All[[#This Row],[Engagement]:[Exam/Def]])=0,TRUE, FALSE)</f>
        <v>0</v>
      </c>
      <c r="U93" s="18" t="b">
        <f>IF(ISNUMBER(All[[#This Row],[Test]]),TRUE,FALSE)</f>
        <v>0</v>
      </c>
      <c r="V93" s="18" t="e">
        <f>IF((INDEX(Test[Total (%)],MATCH(All[[#This Row],[Student No.]],Test[Student No.],0)))="ABS", TRUE, FALSE)</f>
        <v>#N/A</v>
      </c>
      <c r="W93" s="18" t="b">
        <f>IF(ISNUMBER(INDEX(Exam[Total (%)],MATCH(All[[#This Row],[Student No.]],Exam[Student No.],0))), TRUE, FALSE)</f>
        <v>1</v>
      </c>
      <c r="X93" s="18" t="b">
        <f>IF(ISNUMBER(INDEX(#REF!,MATCH(All[[#This Row],[Student No.]],#REF!,0))),TRUE,FALSE)</f>
        <v>0</v>
      </c>
      <c r="Y93" s="18" t="b">
        <f>IF(ISNUMBER(INDEX(#REF!,MATCH(All[[#This Row],[Student No.]],#REF!,0))),TRUE,FALSE)</f>
        <v>0</v>
      </c>
      <c r="Z93" s="18" t="b">
        <f>IF(All[[#This Row],[Wrote Def]],
IF(INDEX(#REF!, MATCH(All[[#This Row],[Student No.]],#REF!,0))&lt;&gt;All[[#This Row],[Exam/Def]], TRUE, FALSE),
  IF(All[[#This Row],[Wrote Exam]], IF(INDEX(Exam[Total (%)], MATCH(All[[#This Row],[Student No.]],Exam[Student No.],0))&lt;&gt;All[[#This Row],[Exam/Def]],TRUE,FALSE), FALSE))</f>
        <v>0</v>
      </c>
      <c r="AA93" s="18" t="b">
        <f xml:space="preserve">    IF(AND(All[[#This Row],[Exam/Def]]&lt;35,OR(All[[#This Row],[Wrote Exam]],All[[#This Row],[Wrote Def]])), TRUE,FALSE)</f>
        <v>1</v>
      </c>
      <c r="AB93" s="18" t="b">
        <f>IF(AND(All[[#This Row],[Exam &lt; 35%]],All[[#This Row],[Final]]&gt;=50),TRUE,FALSE)</f>
        <v>1</v>
      </c>
      <c r="AC93" s="18"/>
    </row>
    <row r="94" spans="1:29" ht="43.2">
      <c r="A94" s="17" t="s">
        <v>361</v>
      </c>
      <c r="B94" s="17" t="s">
        <v>535</v>
      </c>
      <c r="C94" s="100" t="e">
        <f>IF(All[[#This Row],[Student]],
  IF(ISNA(INDEX(#REF!,MATCH(All[[#This Row],[Student No.]],#REF!,0))),
    "Cannot find student!",
    IF(INDEX(#REF!,MATCH(All[[#This Row],[Student No.]],#REF!,0))="",
      "",
      INDEX(#REF!,MATCH(All[[#This Row],[Student No.]],#REF!,0)))
    ),
  "No student!")</f>
        <v>#REF!</v>
      </c>
      <c r="D94"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94" s="18" t="str">
        <f>IF(All[[#This Row],[Student]],
  IF(ISNA(INDEX(Project[Total (%)],MATCH(All[[#This Row],[Student No.]],Project[Student No.],0))),
    "Cannot find student!",
    IF(INDEX(Project[Total (%)],MATCH(All[[#This Row],[Student No.]],Project[Student No.],0))="",
      "",
      INDEX(Project[Total (%)],MATCH(All[[#This Row],[Student No.]],Project[Student No.],0)))
    ),
  "No student!")</f>
        <v/>
      </c>
      <c r="F94" s="201" t="str">
        <f>IF(All[[#This Row],[Wrote Def]], INDEX(#REF!, MATCH(All[[#This Row],[Student No.]],#REF!,0)),
  IF(All[[#This Row],[Wrote Exam]], INDEX(Exam[Total (%)], MATCH(All[[#This Row],[Student No.]], Exam[Student No.],0)),
    ""))</f>
        <v/>
      </c>
      <c r="G94" s="18" t="str">
        <f>IF(AND(All[[#This Row],[Student]], All[[#This Row],[All Components]]),
    IF(NOT(All[Has Test Mark]),ROUND((All[[#This Row],[Engagement]]*$C$5+All[[#This Row],[Project]]*$E$5+All[[#This Row],[Exam/Def]]*$F$5)/($C$5+$E$5+$F$5),0),
      ROUND((All[[#This Row],[Engagement]]*$C$5+All[[#This Row],[Test]]*$D$5+All[[#This Row],[Project]]*$E$5+All[[#This Row],[Exam/Def]]*$F$5)/($C$5+$D$5+$E$5+$F$5),0)
  ),
  "")</f>
        <v/>
      </c>
      <c r="H94" s="18" t="str">
        <f>All[[#This Row],[Course Mark]]</f>
        <v/>
      </c>
      <c r="I94" s="18" t="str">
        <f>IF(All[[#This Row],[Wrote Sup]], INDEX(#REF!,MATCH(All[[#This Row],[Student No.]],#REF!,0)), "")</f>
        <v/>
      </c>
      <c r="J94" s="18" t="str">
        <f>IF(AND(All[[#This Row],[Student]],ISNUMBER(All[[#This Row],[Final]])),_xlfn.RANK.EQ(All[[#This Row],[Final]],All[Final]),"")</f>
        <v/>
      </c>
      <c r="K94" s="31"/>
      <c r="L94" s="18" t="str">
        <f>IF(All[[#This Row],[Student]], IF(All[Wrote Sup],All[Sup],All[[#This Row],[Final]]),"No student")</f>
        <v/>
      </c>
      <c r="M94" s="18" t="str">
        <f>IF(All[[#This Row],[Final]]="","",
  IF(All[[#This Row],[Wrote Sup]],
    IF(All[[#This Row],[Sup]]&lt;50,"FAL","PAS"),
  IF(All[[#This Row],[Exam/Def]]&lt;35, "FSB",
    IF(All[[#This Row],[Final]]&lt;50,"FAL",
    IF(All[[#This Row],[Final]]&gt;=50,"PAS",
  "Error!")))))</f>
        <v/>
      </c>
      <c r="N94" s="18" t="str">
        <f>IF(All[[#This Row],[Student]], _xlfn.IFNA(INDEX(captured[Course Mark],MATCH(All[[#This Row],[Student No.]],captured[ID_TEXT],0) &amp; ""), "Cannot find student!"),"No student!")</f>
        <v>FABS</v>
      </c>
      <c r="O94" s="189" t="str">
        <f>IF(All[[#This Row],[Student]], _xlfn.IFNA(INDEX(captured[Grade],MATCH(All[[#This Row],[Student No.]],captured[ID_TEXT],0)), "Cannot find student!") &amp; "","No student!")</f>
        <v>FAB</v>
      </c>
      <c r="P94" s="18" t="b">
        <f xml:space="preserve"> IF(AND(ISNUMBER(All[[#This Row],[Cap Mark]]), ISNUMBER(All[[#This Row],[My Mark]])), ABS(All[[#This Row],[Cap Mark]] - All[[#This Row],[My Mark]]) &lt;&gt; 0,
    IF(AND(ISNUMBER(All[[#This Row],[My Mark]]),NOT(ISNUMBER(All[[#This Row],[Cap Mark]]))),TRUE,
    IF(AND(ISNUMBER(All[[#This Row],[Cap Mark]]),NOT(ISNUMBER(All[[#This Row],[My Mark]]))),TRUE,FALSE)
    ))</f>
        <v>0</v>
      </c>
      <c r="Q94" s="18" t="str">
        <f>IF(All[[#This Row],[My Grade]]&lt;&gt;"",IF(All[[#This Row],[My Grade]]&lt;&gt;All[[#This Row],[Cap Grade]],TRUE,FALSE),"")</f>
        <v/>
      </c>
      <c r="R94" s="18" t="b">
        <f>IF(NOT(ISBLANK(All[[#This Row],[Student No.]])),OR(ISNUMBER(FIND("FSB",All[[#This Row],[My Grade]])),ISNUMBER(FIND("PAS", All[[#This Row],[My Grade]])),ISNUMBER(FIND("FAL",All[[#This Row],[My Grade]])),ISNUMBER(FIND("FAB", All[[#This Row],[My Grade]])),COUNTBLANK(All[[#This Row],[My Grade]])=1),FALSE)</f>
        <v>1</v>
      </c>
      <c r="S94" s="18" t="b">
        <f>IF(All[[#This Row],[Student No.]]&lt;&gt;"", TRUE, FALSE)</f>
        <v>1</v>
      </c>
      <c r="T94" s="18" t="b">
        <f>IF(COUNTBLANK(All[[#This Row],[Engagement]:[Exam/Def]])=0,TRUE, FALSE)</f>
        <v>0</v>
      </c>
      <c r="U94" s="18" t="b">
        <f>IF(ISNUMBER(All[[#This Row],[Test]]),TRUE,FALSE)</f>
        <v>0</v>
      </c>
      <c r="V94" s="18" t="e">
        <f>IF((INDEX(Test[Total (%)],MATCH(All[[#This Row],[Student No.]],Test[Student No.],0)))="ABS", TRUE, FALSE)</f>
        <v>#N/A</v>
      </c>
      <c r="W94" s="18" t="b">
        <f>IF(ISNUMBER(INDEX(Exam[Total (%)],MATCH(All[[#This Row],[Student No.]],Exam[Student No.],0))), TRUE, FALSE)</f>
        <v>0</v>
      </c>
      <c r="X94" s="18" t="b">
        <f>IF(ISNUMBER(INDEX(#REF!,MATCH(All[[#This Row],[Student No.]],#REF!,0))),TRUE,FALSE)</f>
        <v>0</v>
      </c>
      <c r="Y94" s="18" t="b">
        <f>IF(ISNUMBER(INDEX(#REF!,MATCH(All[[#This Row],[Student No.]],#REF!,0))),TRUE,FALSE)</f>
        <v>0</v>
      </c>
      <c r="Z94" s="18" t="b">
        <f>IF(All[[#This Row],[Wrote Def]],
IF(INDEX(#REF!, MATCH(All[[#This Row],[Student No.]],#REF!,0))&lt;&gt;All[[#This Row],[Exam/Def]], TRUE, FALSE),
  IF(All[[#This Row],[Wrote Exam]], IF(INDEX(Exam[Total (%)], MATCH(All[[#This Row],[Student No.]],Exam[Student No.],0))&lt;&gt;All[[#This Row],[Exam/Def]],TRUE,FALSE), FALSE))</f>
        <v>0</v>
      </c>
      <c r="AA94" s="18" t="b">
        <f xml:space="preserve">    IF(AND(All[[#This Row],[Exam/Def]]&lt;35,OR(All[[#This Row],[Wrote Exam]],All[[#This Row],[Wrote Def]])), TRUE,FALSE)</f>
        <v>0</v>
      </c>
      <c r="AB94" s="18" t="b">
        <f>IF(AND(All[[#This Row],[Exam &lt; 35%]],All[[#This Row],[Final]]&gt;=50),TRUE,FALSE)</f>
        <v>0</v>
      </c>
      <c r="AC94" s="18"/>
    </row>
    <row r="95" spans="1:29" ht="43.2">
      <c r="A95" s="17" t="s">
        <v>362</v>
      </c>
      <c r="B95" s="17" t="s">
        <v>536</v>
      </c>
      <c r="C95" s="100" t="e">
        <f>IF(All[[#This Row],[Student]],
  IF(ISNA(INDEX(#REF!,MATCH(All[[#This Row],[Student No.]],#REF!,0))),
    "Cannot find student!",
    IF(INDEX(#REF!,MATCH(All[[#This Row],[Student No.]],#REF!,0))="",
      "",
      INDEX(#REF!,MATCH(All[[#This Row],[Student No.]],#REF!,0)))
    ),
  "No student!")</f>
        <v>#REF!</v>
      </c>
      <c r="D95"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95" s="18" t="str">
        <f>IF(All[[#This Row],[Student]],
  IF(ISNA(INDEX(Project[Total (%)],MATCH(All[[#This Row],[Student No.]],Project[Student No.],0))),
    "Cannot find student!",
    IF(INDEX(Project[Total (%)],MATCH(All[[#This Row],[Student No.]],Project[Student No.],0))="",
      "",
      INDEX(Project[Total (%)],MATCH(All[[#This Row],[Student No.]],Project[Student No.],0)))
    ),
  "No student!")</f>
        <v/>
      </c>
      <c r="F95" s="201" t="str">
        <f>IF(All[[#This Row],[Wrote Def]], INDEX(#REF!, MATCH(All[[#This Row],[Student No.]],#REF!,0)),
  IF(All[[#This Row],[Wrote Exam]], INDEX(Exam[Total (%)], MATCH(All[[#This Row],[Student No.]], Exam[Student No.],0)),
    ""))</f>
        <v/>
      </c>
      <c r="G95" s="18" t="str">
        <f>IF(AND(All[[#This Row],[Student]], All[[#This Row],[All Components]]),
    IF(NOT(All[Has Test Mark]),ROUND((All[[#This Row],[Engagement]]*$C$5+All[[#This Row],[Project]]*$E$5+All[[#This Row],[Exam/Def]]*$F$5)/($C$5+$E$5+$F$5),0),
      ROUND((All[[#This Row],[Engagement]]*$C$5+All[[#This Row],[Test]]*$D$5+All[[#This Row],[Project]]*$E$5+All[[#This Row],[Exam/Def]]*$F$5)/($C$5+$D$5+$E$5+$F$5),0)
  ),
  "")</f>
        <v/>
      </c>
      <c r="H95" s="18" t="str">
        <f>All[[#This Row],[Course Mark]]</f>
        <v/>
      </c>
      <c r="I95" s="18" t="str">
        <f>IF(All[[#This Row],[Wrote Sup]], INDEX(#REF!,MATCH(All[[#This Row],[Student No.]],#REF!,0)), "")</f>
        <v/>
      </c>
      <c r="J95" s="18" t="str">
        <f>IF(AND(All[[#This Row],[Student]],ISNUMBER(All[[#This Row],[Final]])),_xlfn.RANK.EQ(All[[#This Row],[Final]],All[Final]),"")</f>
        <v/>
      </c>
      <c r="K95" s="31"/>
      <c r="L95" s="18" t="str">
        <f>IF(All[[#This Row],[Student]], IF(All[Wrote Sup],All[Sup],All[[#This Row],[Final]]),"No student")</f>
        <v/>
      </c>
      <c r="M95" s="18" t="str">
        <f>IF(All[[#This Row],[Final]]="","",
  IF(All[[#This Row],[Wrote Sup]],
    IF(All[[#This Row],[Sup]]&lt;50,"FAL","PAS"),
  IF(All[[#This Row],[Exam/Def]]&lt;35, "FSB",
    IF(All[[#This Row],[Final]]&lt;50,"FAL",
    IF(All[[#This Row],[Final]]&gt;=50,"PAS",
  "Error!")))))</f>
        <v/>
      </c>
      <c r="N95" s="18">
        <f>IF(All[[#This Row],[Student]], _xlfn.IFNA(INDEX(captured[Course Mark],MATCH(All[[#This Row],[Student No.]],captured[ID_TEXT],0) &amp; ""), "Cannot find student!"),"No student!")</f>
        <v>13</v>
      </c>
      <c r="O95" s="189" t="str">
        <f>IF(All[[#This Row],[Student]], _xlfn.IFNA(INDEX(captured[Grade],MATCH(All[[#This Row],[Student No.]],captured[ID_TEXT],0)), "Cannot find student!") &amp; "","No student!")</f>
        <v>FSB</v>
      </c>
      <c r="P95"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95" s="18" t="str">
        <f>IF(All[[#This Row],[My Grade]]&lt;&gt;"",IF(All[[#This Row],[My Grade]]&lt;&gt;All[[#This Row],[Cap Grade]],TRUE,FALSE),"")</f>
        <v/>
      </c>
      <c r="R95" s="18" t="b">
        <f>IF(NOT(ISBLANK(All[[#This Row],[Student No.]])),OR(ISNUMBER(FIND("FSB",All[[#This Row],[My Grade]])),ISNUMBER(FIND("PAS", All[[#This Row],[My Grade]])),ISNUMBER(FIND("FAL",All[[#This Row],[My Grade]])),ISNUMBER(FIND("FAB", All[[#This Row],[My Grade]])),COUNTBLANK(All[[#This Row],[My Grade]])=1),FALSE)</f>
        <v>1</v>
      </c>
      <c r="S95" s="18" t="b">
        <f>IF(All[[#This Row],[Student No.]]&lt;&gt;"", TRUE, FALSE)</f>
        <v>1</v>
      </c>
      <c r="T95" s="18" t="b">
        <f>IF(COUNTBLANK(All[[#This Row],[Engagement]:[Exam/Def]])=0,TRUE, FALSE)</f>
        <v>0</v>
      </c>
      <c r="U95" s="18" t="b">
        <f>IF(ISNUMBER(All[[#This Row],[Test]]),TRUE,FALSE)</f>
        <v>0</v>
      </c>
      <c r="V95" s="18" t="e">
        <f>IF((INDEX(Test[Total (%)],MATCH(All[[#This Row],[Student No.]],Test[Student No.],0)))="ABS", TRUE, FALSE)</f>
        <v>#N/A</v>
      </c>
      <c r="W95" s="18" t="b">
        <f>IF(ISNUMBER(INDEX(Exam[Total (%)],MATCH(All[[#This Row],[Student No.]],Exam[Student No.],0))), TRUE, FALSE)</f>
        <v>0</v>
      </c>
      <c r="X95" s="18" t="b">
        <f>IF(ISNUMBER(INDEX(#REF!,MATCH(All[[#This Row],[Student No.]],#REF!,0))),TRUE,FALSE)</f>
        <v>0</v>
      </c>
      <c r="Y95" s="18" t="b">
        <f>IF(ISNUMBER(INDEX(#REF!,MATCH(All[[#This Row],[Student No.]],#REF!,0))),TRUE,FALSE)</f>
        <v>0</v>
      </c>
      <c r="Z95" s="18" t="b">
        <f>IF(All[[#This Row],[Wrote Def]],
IF(INDEX(#REF!, MATCH(All[[#This Row],[Student No.]],#REF!,0))&lt;&gt;All[[#This Row],[Exam/Def]], TRUE, FALSE),
  IF(All[[#This Row],[Wrote Exam]], IF(INDEX(Exam[Total (%)], MATCH(All[[#This Row],[Student No.]],Exam[Student No.],0))&lt;&gt;All[[#This Row],[Exam/Def]],TRUE,FALSE), FALSE))</f>
        <v>0</v>
      </c>
      <c r="AA95" s="18" t="b">
        <f xml:space="preserve">    IF(AND(All[[#This Row],[Exam/Def]]&lt;35,OR(All[[#This Row],[Wrote Exam]],All[[#This Row],[Wrote Def]])), TRUE,FALSE)</f>
        <v>0</v>
      </c>
      <c r="AB95" s="18" t="b">
        <f>IF(AND(All[[#This Row],[Exam &lt; 35%]],All[[#This Row],[Final]]&gt;=50),TRUE,FALSE)</f>
        <v>0</v>
      </c>
      <c r="AC95" s="18"/>
    </row>
    <row r="96" spans="1:29">
      <c r="A96" s="17" t="s">
        <v>363</v>
      </c>
      <c r="B96" s="17" t="s">
        <v>537</v>
      </c>
      <c r="C96" s="100" t="e">
        <f>IF(All[[#This Row],[Student]],
  IF(ISNA(INDEX(#REF!,MATCH(All[[#This Row],[Student No.]],#REF!,0))),
    "Cannot find student!",
    IF(INDEX(#REF!,MATCH(All[[#This Row],[Student No.]],#REF!,0))="",
      "",
      INDEX(#REF!,MATCH(All[[#This Row],[Student No.]],#REF!,0)))
    ),
  "No student!")</f>
        <v>#REF!</v>
      </c>
      <c r="D96"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96" s="18" t="str">
        <f>IF(All[[#This Row],[Student]],
  IF(ISNA(INDEX(Project[Total (%)],MATCH(All[[#This Row],[Student No.]],Project[Student No.],0))),
    "Cannot find student!",
    IF(INDEX(Project[Total (%)],MATCH(All[[#This Row],[Student No.]],Project[Student No.],0))="",
      "",
      INDEX(Project[Total (%)],MATCH(All[[#This Row],[Student No.]],Project[Student No.],0)))
    ),
  "No student!")</f>
        <v/>
      </c>
      <c r="F96" s="201" t="str">
        <f>IF(All[[#This Row],[Wrote Def]], INDEX(#REF!, MATCH(All[[#This Row],[Student No.]],#REF!,0)),
  IF(All[[#This Row],[Wrote Exam]], INDEX(Exam[Total (%)], MATCH(All[[#This Row],[Student No.]], Exam[Student No.],0)),
    ""))</f>
        <v/>
      </c>
      <c r="G96" s="18" t="str">
        <f>IF(AND(All[[#This Row],[Student]], All[[#This Row],[All Components]]),
    IF(NOT(All[Has Test Mark]),ROUND((All[[#This Row],[Engagement]]*$C$5+All[[#This Row],[Project]]*$E$5+All[[#This Row],[Exam/Def]]*$F$5)/($C$5+$E$5+$F$5),0),
      ROUND((All[[#This Row],[Engagement]]*$C$5+All[[#This Row],[Test]]*$D$5+All[[#This Row],[Project]]*$E$5+All[[#This Row],[Exam/Def]]*$F$5)/($C$5+$D$5+$E$5+$F$5),0)
  ),
  "")</f>
        <v/>
      </c>
      <c r="H96" s="18" t="str">
        <f>All[[#This Row],[Course Mark]]</f>
        <v/>
      </c>
      <c r="I96" s="18" t="str">
        <f>IF(All[[#This Row],[Wrote Sup]], INDEX(#REF!,MATCH(All[[#This Row],[Student No.]],#REF!,0)), "")</f>
        <v/>
      </c>
      <c r="J96" s="18" t="str">
        <f>IF(AND(All[[#This Row],[Student]],ISNUMBER(All[[#This Row],[Final]])),_xlfn.RANK.EQ(All[[#This Row],[Final]],All[Final]),"")</f>
        <v/>
      </c>
      <c r="K96" s="31"/>
      <c r="L96" s="18" t="str">
        <f>IF(All[[#This Row],[Student]], IF(All[Wrote Sup],All[Sup],All[[#This Row],[Final]]),"No student")</f>
        <v/>
      </c>
      <c r="M96" s="18" t="str">
        <f>IF(All[[#This Row],[Final]]="","",
  IF(All[[#This Row],[Wrote Sup]],
    IF(All[[#This Row],[Sup]]&lt;50,"FAL","PAS"),
  IF(All[[#This Row],[Exam/Def]]&lt;35, "FSB",
    IF(All[[#This Row],[Final]]&lt;50,"FAL",
    IF(All[[#This Row],[Final]]&gt;=50,"PAS",
  "Error!")))))</f>
        <v/>
      </c>
      <c r="N96" s="18">
        <f>IF(All[[#This Row],[Student]], _xlfn.IFNA(INDEX(captured[Course Mark],MATCH(All[[#This Row],[Student No.]],captured[ID_TEXT],0) &amp; ""), "Cannot find student!"),"No student!")</f>
        <v>35</v>
      </c>
      <c r="O96" s="189" t="str">
        <f>IF(All[[#This Row],[Student]], _xlfn.IFNA(INDEX(captured[Grade],MATCH(All[[#This Row],[Student No.]],captured[ID_TEXT],0)), "Cannot find student!") &amp; "","No student!")</f>
        <v>FSB</v>
      </c>
      <c r="P96"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96" s="18" t="str">
        <f>IF(All[[#This Row],[My Grade]]&lt;&gt;"",IF(All[[#This Row],[My Grade]]&lt;&gt;All[[#This Row],[Cap Grade]],TRUE,FALSE),"")</f>
        <v/>
      </c>
      <c r="R96" s="18" t="b">
        <f>IF(NOT(ISBLANK(All[[#This Row],[Student No.]])),OR(ISNUMBER(FIND("FSB",All[[#This Row],[My Grade]])),ISNUMBER(FIND("PAS", All[[#This Row],[My Grade]])),ISNUMBER(FIND("FAL",All[[#This Row],[My Grade]])),ISNUMBER(FIND("FAB", All[[#This Row],[My Grade]])),COUNTBLANK(All[[#This Row],[My Grade]])=1),FALSE)</f>
        <v>1</v>
      </c>
      <c r="S96" s="18" t="b">
        <f>IF(All[[#This Row],[Student No.]]&lt;&gt;"", TRUE, FALSE)</f>
        <v>1</v>
      </c>
      <c r="T96" s="18" t="b">
        <f>IF(COUNTBLANK(All[[#This Row],[Engagement]:[Exam/Def]])=0,TRUE, FALSE)</f>
        <v>0</v>
      </c>
      <c r="U96" s="18" t="b">
        <f>IF(ISNUMBER(All[[#This Row],[Test]]),TRUE,FALSE)</f>
        <v>0</v>
      </c>
      <c r="V96" s="18" t="b">
        <f>IF((INDEX(Test[Total (%)],MATCH(All[[#This Row],[Student No.]],Test[Student No.],0)))="ABS", TRUE, FALSE)</f>
        <v>0</v>
      </c>
      <c r="W96" s="18" t="b">
        <f>IF(ISNUMBER(INDEX(Exam[Total (%)],MATCH(All[[#This Row],[Student No.]],Exam[Student No.],0))), TRUE, FALSE)</f>
        <v>0</v>
      </c>
      <c r="X96" s="18" t="b">
        <f>IF(ISNUMBER(INDEX(#REF!,MATCH(All[[#This Row],[Student No.]],#REF!,0))),TRUE,FALSE)</f>
        <v>0</v>
      </c>
      <c r="Y96" s="18" t="b">
        <f>IF(ISNUMBER(INDEX(#REF!,MATCH(All[[#This Row],[Student No.]],#REF!,0))),TRUE,FALSE)</f>
        <v>0</v>
      </c>
      <c r="Z96" s="18" t="b">
        <f>IF(All[[#This Row],[Wrote Def]],
IF(INDEX(#REF!, MATCH(All[[#This Row],[Student No.]],#REF!,0))&lt;&gt;All[[#This Row],[Exam/Def]], TRUE, FALSE),
  IF(All[[#This Row],[Wrote Exam]], IF(INDEX(Exam[Total (%)], MATCH(All[[#This Row],[Student No.]],Exam[Student No.],0))&lt;&gt;All[[#This Row],[Exam/Def]],TRUE,FALSE), FALSE))</f>
        <v>0</v>
      </c>
      <c r="AA96" s="18" t="b">
        <f xml:space="preserve">    IF(AND(All[[#This Row],[Exam/Def]]&lt;35,OR(All[[#This Row],[Wrote Exam]],All[[#This Row],[Wrote Def]])), TRUE,FALSE)</f>
        <v>0</v>
      </c>
      <c r="AB96" s="18" t="b">
        <f>IF(AND(All[[#This Row],[Exam &lt; 35%]],All[[#This Row],[Final]]&gt;=50),TRUE,FALSE)</f>
        <v>0</v>
      </c>
      <c r="AC96" s="18"/>
    </row>
    <row r="97" spans="1:29" ht="43.2">
      <c r="A97" s="17" t="s">
        <v>364</v>
      </c>
      <c r="B97" s="17" t="s">
        <v>538</v>
      </c>
      <c r="C97" s="100" t="e">
        <f>IF(All[[#This Row],[Student]],
  IF(ISNA(INDEX(#REF!,MATCH(All[[#This Row],[Student No.]],#REF!,0))),
    "Cannot find student!",
    IF(INDEX(#REF!,MATCH(All[[#This Row],[Student No.]],#REF!,0))="",
      "",
      INDEX(#REF!,MATCH(All[[#This Row],[Student No.]],#REF!,0)))
    ),
  "No student!")</f>
        <v>#REF!</v>
      </c>
      <c r="D97"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97" s="18" t="str">
        <f>IF(All[[#This Row],[Student]],
  IF(ISNA(INDEX(Project[Total (%)],MATCH(All[[#This Row],[Student No.]],Project[Student No.],0))),
    "Cannot find student!",
    IF(INDEX(Project[Total (%)],MATCH(All[[#This Row],[Student No.]],Project[Student No.],0))="",
      "",
      INDEX(Project[Total (%)],MATCH(All[[#This Row],[Student No.]],Project[Student No.],0)))
    ),
  "No student!")</f>
        <v/>
      </c>
      <c r="F97" s="201" t="str">
        <f>IF(All[[#This Row],[Wrote Def]], INDEX(#REF!, MATCH(All[[#This Row],[Student No.]],#REF!,0)),
  IF(All[[#This Row],[Wrote Exam]], INDEX(Exam[Total (%)], MATCH(All[[#This Row],[Student No.]], Exam[Student No.],0)),
    ""))</f>
        <v/>
      </c>
      <c r="G97" s="18" t="str">
        <f>IF(AND(All[[#This Row],[Student]], All[[#This Row],[All Components]]),
    IF(NOT(All[Has Test Mark]),ROUND((All[[#This Row],[Engagement]]*$C$5+All[[#This Row],[Project]]*$E$5+All[[#This Row],[Exam/Def]]*$F$5)/($C$5+$E$5+$F$5),0),
      ROUND((All[[#This Row],[Engagement]]*$C$5+All[[#This Row],[Test]]*$D$5+All[[#This Row],[Project]]*$E$5+All[[#This Row],[Exam/Def]]*$F$5)/($C$5+$D$5+$E$5+$F$5),0)
  ),
  "")</f>
        <v/>
      </c>
      <c r="H97" s="18" t="str">
        <f>All[[#This Row],[Course Mark]]</f>
        <v/>
      </c>
      <c r="I97" s="18" t="str">
        <f>IF(All[[#This Row],[Wrote Sup]], INDEX(#REF!,MATCH(All[[#This Row],[Student No.]],#REF!,0)), "")</f>
        <v/>
      </c>
      <c r="J97" s="18" t="str">
        <f>IF(AND(All[[#This Row],[Student]],ISNUMBER(All[[#This Row],[Final]])),_xlfn.RANK.EQ(All[[#This Row],[Final]],All[Final]),"")</f>
        <v/>
      </c>
      <c r="K97" s="31"/>
      <c r="L97" s="18" t="str">
        <f>IF(All[[#This Row],[Student]], IF(All[Wrote Sup],All[Sup],All[[#This Row],[Final]]),"No student")</f>
        <v/>
      </c>
      <c r="M97" s="18" t="str">
        <f>IF(All[[#This Row],[Final]]="","",
  IF(All[[#This Row],[Wrote Sup]],
    IF(All[[#This Row],[Sup]]&lt;50,"FAL","PAS"),
  IF(All[[#This Row],[Exam/Def]]&lt;35, "FSB",
    IF(All[[#This Row],[Final]]&lt;50,"FAL",
    IF(All[[#This Row],[Final]]&gt;=50,"PAS",
  "Error!")))))</f>
        <v/>
      </c>
      <c r="N97" s="18">
        <f>IF(All[[#This Row],[Student]], _xlfn.IFNA(INDEX(captured[Course Mark],MATCH(All[[#This Row],[Student No.]],captured[ID_TEXT],0) &amp; ""), "Cannot find student!"),"No student!")</f>
        <v>9</v>
      </c>
      <c r="O97" s="189" t="str">
        <f>IF(All[[#This Row],[Student]], _xlfn.IFNA(INDEX(captured[Grade],MATCH(All[[#This Row],[Student No.]],captured[ID_TEXT],0)), "Cannot find student!") &amp; "","No student!")</f>
        <v>FAB</v>
      </c>
      <c r="P97"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97" s="18" t="str">
        <f>IF(All[[#This Row],[My Grade]]&lt;&gt;"",IF(All[[#This Row],[My Grade]]&lt;&gt;All[[#This Row],[Cap Grade]],TRUE,FALSE),"")</f>
        <v/>
      </c>
      <c r="R97" s="18" t="b">
        <f>IF(NOT(ISBLANK(All[[#This Row],[Student No.]])),OR(ISNUMBER(FIND("FSB",All[[#This Row],[My Grade]])),ISNUMBER(FIND("PAS", All[[#This Row],[My Grade]])),ISNUMBER(FIND("FAL",All[[#This Row],[My Grade]])),ISNUMBER(FIND("FAB", All[[#This Row],[My Grade]])),COUNTBLANK(All[[#This Row],[My Grade]])=1),FALSE)</f>
        <v>1</v>
      </c>
      <c r="S97" s="18" t="b">
        <f>IF(All[[#This Row],[Student No.]]&lt;&gt;"", TRUE, FALSE)</f>
        <v>1</v>
      </c>
      <c r="T97" s="18" t="b">
        <f>IF(COUNTBLANK(All[[#This Row],[Engagement]:[Exam/Def]])=0,TRUE, FALSE)</f>
        <v>0</v>
      </c>
      <c r="U97" s="18" t="b">
        <f>IF(ISNUMBER(All[[#This Row],[Test]]),TRUE,FALSE)</f>
        <v>0</v>
      </c>
      <c r="V97" s="18" t="e">
        <f>IF((INDEX(Test[Total (%)],MATCH(All[[#This Row],[Student No.]],Test[Student No.],0)))="ABS", TRUE, FALSE)</f>
        <v>#N/A</v>
      </c>
      <c r="W97" s="18" t="b">
        <f>IF(ISNUMBER(INDEX(Exam[Total (%)],MATCH(All[[#This Row],[Student No.]],Exam[Student No.],0))), TRUE, FALSE)</f>
        <v>0</v>
      </c>
      <c r="X97" s="18" t="b">
        <f>IF(ISNUMBER(INDEX(#REF!,MATCH(All[[#This Row],[Student No.]],#REF!,0))),TRUE,FALSE)</f>
        <v>0</v>
      </c>
      <c r="Y97" s="18" t="b">
        <f>IF(ISNUMBER(INDEX(#REF!,MATCH(All[[#This Row],[Student No.]],#REF!,0))),TRUE,FALSE)</f>
        <v>0</v>
      </c>
      <c r="Z97" s="18" t="b">
        <f>IF(All[[#This Row],[Wrote Def]],
IF(INDEX(#REF!, MATCH(All[[#This Row],[Student No.]],#REF!,0))&lt;&gt;All[[#This Row],[Exam/Def]], TRUE, FALSE),
  IF(All[[#This Row],[Wrote Exam]], IF(INDEX(Exam[Total (%)], MATCH(All[[#This Row],[Student No.]],Exam[Student No.],0))&lt;&gt;All[[#This Row],[Exam/Def]],TRUE,FALSE), FALSE))</f>
        <v>0</v>
      </c>
      <c r="AA97" s="18" t="b">
        <f xml:space="preserve">    IF(AND(All[[#This Row],[Exam/Def]]&lt;35,OR(All[[#This Row],[Wrote Exam]],All[[#This Row],[Wrote Def]])), TRUE,FALSE)</f>
        <v>0</v>
      </c>
      <c r="AB97" s="18" t="b">
        <f>IF(AND(All[[#This Row],[Exam &lt; 35%]],All[[#This Row],[Final]]&gt;=50),TRUE,FALSE)</f>
        <v>0</v>
      </c>
      <c r="AC97" s="18"/>
    </row>
    <row r="98" spans="1:29">
      <c r="A98" s="17" t="s">
        <v>365</v>
      </c>
      <c r="B98" s="17" t="s">
        <v>539</v>
      </c>
      <c r="C98" s="100" t="e">
        <f>IF(All[[#This Row],[Student]],
  IF(ISNA(INDEX(#REF!,MATCH(All[[#This Row],[Student No.]],#REF!,0))),
    "Cannot find student!",
    IF(INDEX(#REF!,MATCH(All[[#This Row],[Student No.]],#REF!,0))="",
      "",
      INDEX(#REF!,MATCH(All[[#This Row],[Student No.]],#REF!,0)))
    ),
  "No student!")</f>
        <v>#REF!</v>
      </c>
      <c r="D98"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98" s="18" t="str">
        <f>IF(All[[#This Row],[Student]],
  IF(ISNA(INDEX(Project[Total (%)],MATCH(All[[#This Row],[Student No.]],Project[Student No.],0))),
    "Cannot find student!",
    IF(INDEX(Project[Total (%)],MATCH(All[[#This Row],[Student No.]],Project[Student No.],0))="",
      "",
      INDEX(Project[Total (%)],MATCH(All[[#This Row],[Student No.]],Project[Student No.],0)))
    ),
  "No student!")</f>
        <v/>
      </c>
      <c r="F98" s="201">
        <f>IF(All[[#This Row],[Wrote Def]], INDEX(#REF!, MATCH(All[[#This Row],[Student No.]],#REF!,0)),
  IF(All[[#This Row],[Wrote Exam]], INDEX(Exam[Total (%)], MATCH(All[[#This Row],[Student No.]], Exam[Student No.],0)),
    ""))</f>
        <v>24</v>
      </c>
      <c r="G98" s="18" t="str">
        <f>IF(AND(All[[#This Row],[Student]], All[[#This Row],[All Components]]),
    IF(NOT(All[Has Test Mark]),ROUND((All[[#This Row],[Engagement]]*$C$5+All[[#This Row],[Project]]*$E$5+All[[#This Row],[Exam/Def]]*$F$5)/($C$5+$E$5+$F$5),0),
      ROUND((All[[#This Row],[Engagement]]*$C$5+All[[#This Row],[Test]]*$D$5+All[[#This Row],[Project]]*$E$5+All[[#This Row],[Exam/Def]]*$F$5)/($C$5+$D$5+$E$5+$F$5),0)
  ),
  "")</f>
        <v/>
      </c>
      <c r="H98" s="18" t="str">
        <f>All[[#This Row],[Course Mark]]</f>
        <v/>
      </c>
      <c r="I98" s="18" t="str">
        <f>IF(All[[#This Row],[Wrote Sup]], INDEX(#REF!,MATCH(All[[#This Row],[Student No.]],#REF!,0)), "")</f>
        <v/>
      </c>
      <c r="J98" s="18" t="str">
        <f>IF(AND(All[[#This Row],[Student]],ISNUMBER(All[[#This Row],[Final]])),_xlfn.RANK.EQ(All[[#This Row],[Final]],All[Final]),"")</f>
        <v/>
      </c>
      <c r="K98" s="31"/>
      <c r="L98" s="18" t="str">
        <f>IF(All[[#This Row],[Student]], IF(All[Wrote Sup],All[Sup],All[[#This Row],[Final]]),"No student")</f>
        <v/>
      </c>
      <c r="M98" s="18" t="str">
        <f>IF(All[[#This Row],[Final]]="","",
  IF(All[[#This Row],[Wrote Sup]],
    IF(All[[#This Row],[Sup]]&lt;50,"FAL","PAS"),
  IF(All[[#This Row],[Exam/Def]]&lt;35, "FSB",
    IF(All[[#This Row],[Final]]&lt;50,"FAL",
    IF(All[[#This Row],[Final]]&gt;=50,"PAS",
  "Error!")))))</f>
        <v/>
      </c>
      <c r="N98" s="18">
        <f>IF(All[[#This Row],[Student]], _xlfn.IFNA(INDEX(captured[Course Mark],MATCH(All[[#This Row],[Student No.]],captured[ID_TEXT],0) &amp; ""), "Cannot find student!"),"No student!")</f>
        <v>26</v>
      </c>
      <c r="O98" s="189" t="str">
        <f>IF(All[[#This Row],[Student]], _xlfn.IFNA(INDEX(captured[Grade],MATCH(All[[#This Row],[Student No.]],captured[ID_TEXT],0)), "Cannot find student!") &amp; "","No student!")</f>
        <v>FSB</v>
      </c>
      <c r="P98"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98" s="18" t="str">
        <f>IF(All[[#This Row],[My Grade]]&lt;&gt;"",IF(All[[#This Row],[My Grade]]&lt;&gt;All[[#This Row],[Cap Grade]],TRUE,FALSE),"")</f>
        <v/>
      </c>
      <c r="R98" s="18" t="b">
        <f>IF(NOT(ISBLANK(All[[#This Row],[Student No.]])),OR(ISNUMBER(FIND("FSB",All[[#This Row],[My Grade]])),ISNUMBER(FIND("PAS", All[[#This Row],[My Grade]])),ISNUMBER(FIND("FAL",All[[#This Row],[My Grade]])),ISNUMBER(FIND("FAB", All[[#This Row],[My Grade]])),COUNTBLANK(All[[#This Row],[My Grade]])=1),FALSE)</f>
        <v>1</v>
      </c>
      <c r="S98" s="18" t="b">
        <f>IF(All[[#This Row],[Student No.]]&lt;&gt;"", TRUE, FALSE)</f>
        <v>1</v>
      </c>
      <c r="T98" s="18" t="b">
        <f>IF(COUNTBLANK(All[[#This Row],[Engagement]:[Exam/Def]])=0,TRUE, FALSE)</f>
        <v>0</v>
      </c>
      <c r="U98" s="18" t="b">
        <f>IF(ISNUMBER(All[[#This Row],[Test]]),TRUE,FALSE)</f>
        <v>0</v>
      </c>
      <c r="V98" s="18" t="b">
        <f>IF((INDEX(Test[Total (%)],MATCH(All[[#This Row],[Student No.]],Test[Student No.],0)))="ABS", TRUE, FALSE)</f>
        <v>0</v>
      </c>
      <c r="W98" s="18" t="b">
        <f>IF(ISNUMBER(INDEX(Exam[Total (%)],MATCH(All[[#This Row],[Student No.]],Exam[Student No.],0))), TRUE, FALSE)</f>
        <v>1</v>
      </c>
      <c r="X98" s="18" t="b">
        <f>IF(ISNUMBER(INDEX(#REF!,MATCH(All[[#This Row],[Student No.]],#REF!,0))),TRUE,FALSE)</f>
        <v>0</v>
      </c>
      <c r="Y98" s="18" t="b">
        <f>IF(ISNUMBER(INDEX(#REF!,MATCH(All[[#This Row],[Student No.]],#REF!,0))),TRUE,FALSE)</f>
        <v>0</v>
      </c>
      <c r="Z98" s="18" t="b">
        <f>IF(All[[#This Row],[Wrote Def]],
IF(INDEX(#REF!, MATCH(All[[#This Row],[Student No.]],#REF!,0))&lt;&gt;All[[#This Row],[Exam/Def]], TRUE, FALSE),
  IF(All[[#This Row],[Wrote Exam]], IF(INDEX(Exam[Total (%)], MATCH(All[[#This Row],[Student No.]],Exam[Student No.],0))&lt;&gt;All[[#This Row],[Exam/Def]],TRUE,FALSE), FALSE))</f>
        <v>0</v>
      </c>
      <c r="AA98" s="18" t="b">
        <f xml:space="preserve">    IF(AND(All[[#This Row],[Exam/Def]]&lt;35,OR(All[[#This Row],[Wrote Exam]],All[[#This Row],[Wrote Def]])), TRUE,FALSE)</f>
        <v>1</v>
      </c>
      <c r="AB98" s="18" t="b">
        <f>IF(AND(All[[#This Row],[Exam &lt; 35%]],All[[#This Row],[Final]]&gt;=50),TRUE,FALSE)</f>
        <v>1</v>
      </c>
      <c r="AC98" s="18"/>
    </row>
    <row r="99" spans="1:29">
      <c r="A99" s="17" t="s">
        <v>366</v>
      </c>
      <c r="B99" s="17" t="s">
        <v>540</v>
      </c>
      <c r="C99" s="100" t="e">
        <f>IF(All[[#This Row],[Student]],
  IF(ISNA(INDEX(#REF!,MATCH(All[[#This Row],[Student No.]],#REF!,0))),
    "Cannot find student!",
    IF(INDEX(#REF!,MATCH(All[[#This Row],[Student No.]],#REF!,0))="",
      "",
      INDEX(#REF!,MATCH(All[[#This Row],[Student No.]],#REF!,0)))
    ),
  "No student!")</f>
        <v>#REF!</v>
      </c>
      <c r="D99"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99" s="18" t="str">
        <f>IF(All[[#This Row],[Student]],
  IF(ISNA(INDEX(Project[Total (%)],MATCH(All[[#This Row],[Student No.]],Project[Student No.],0))),
    "Cannot find student!",
    IF(INDEX(Project[Total (%)],MATCH(All[[#This Row],[Student No.]],Project[Student No.],0))="",
      "",
      INDEX(Project[Total (%)],MATCH(All[[#This Row],[Student No.]],Project[Student No.],0)))
    ),
  "No student!")</f>
        <v/>
      </c>
      <c r="F99" s="201">
        <f>IF(All[[#This Row],[Wrote Def]], INDEX(#REF!, MATCH(All[[#This Row],[Student No.]],#REF!,0)),
  IF(All[[#This Row],[Wrote Exam]], INDEX(Exam[Total (%)], MATCH(All[[#This Row],[Student No.]], Exam[Student No.],0)),
    ""))</f>
        <v>25</v>
      </c>
      <c r="G99" s="18" t="str">
        <f>IF(AND(All[[#This Row],[Student]], All[[#This Row],[All Components]]),
    IF(NOT(All[Has Test Mark]),ROUND((All[[#This Row],[Engagement]]*$C$5+All[[#This Row],[Project]]*$E$5+All[[#This Row],[Exam/Def]]*$F$5)/($C$5+$E$5+$F$5),0),
      ROUND((All[[#This Row],[Engagement]]*$C$5+All[[#This Row],[Test]]*$D$5+All[[#This Row],[Project]]*$E$5+All[[#This Row],[Exam/Def]]*$F$5)/($C$5+$D$5+$E$5+$F$5),0)
  ),
  "")</f>
        <v/>
      </c>
      <c r="H99" s="18" t="str">
        <f>All[[#This Row],[Course Mark]]</f>
        <v/>
      </c>
      <c r="I99" s="18" t="str">
        <f>IF(All[[#This Row],[Wrote Sup]], INDEX(#REF!,MATCH(All[[#This Row],[Student No.]],#REF!,0)), "")</f>
        <v/>
      </c>
      <c r="J99" s="18" t="str">
        <f>IF(AND(All[[#This Row],[Student]],ISNUMBER(All[[#This Row],[Final]])),_xlfn.RANK.EQ(All[[#This Row],[Final]],All[Final]),"")</f>
        <v/>
      </c>
      <c r="K99" s="31"/>
      <c r="L99" s="18" t="str">
        <f>IF(All[[#This Row],[Student]], IF(All[Wrote Sup],All[Sup],All[[#This Row],[Final]]),"No student")</f>
        <v/>
      </c>
      <c r="M99" s="18" t="str">
        <f>IF(All[[#This Row],[Final]]="","",
  IF(All[[#This Row],[Wrote Sup]],
    IF(All[[#This Row],[Sup]]&lt;50,"FAL","PAS"),
  IF(All[[#This Row],[Exam/Def]]&lt;35, "FSB",
    IF(All[[#This Row],[Final]]&lt;50,"FAL",
    IF(All[[#This Row],[Final]]&gt;=50,"PAS",
  "Error!")))))</f>
        <v/>
      </c>
      <c r="N99" s="18">
        <f>IF(All[[#This Row],[Student]], _xlfn.IFNA(INDEX(captured[Course Mark],MATCH(All[[#This Row],[Student No.]],captured[ID_TEXT],0) &amp; ""), "Cannot find student!"),"No student!")</f>
        <v>39</v>
      </c>
      <c r="O99" s="189" t="str">
        <f>IF(All[[#This Row],[Student]], _xlfn.IFNA(INDEX(captured[Grade],MATCH(All[[#This Row],[Student No.]],captured[ID_TEXT],0)), "Cannot find student!") &amp; "","No student!")</f>
        <v>FSB</v>
      </c>
      <c r="P99"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99" s="18" t="str">
        <f>IF(All[[#This Row],[My Grade]]&lt;&gt;"",IF(All[[#This Row],[My Grade]]&lt;&gt;All[[#This Row],[Cap Grade]],TRUE,FALSE),"")</f>
        <v/>
      </c>
      <c r="R99" s="18" t="b">
        <f>IF(NOT(ISBLANK(All[[#This Row],[Student No.]])),OR(ISNUMBER(FIND("FSB",All[[#This Row],[My Grade]])),ISNUMBER(FIND("PAS", All[[#This Row],[My Grade]])),ISNUMBER(FIND("FAL",All[[#This Row],[My Grade]])),ISNUMBER(FIND("FAB", All[[#This Row],[My Grade]])),COUNTBLANK(All[[#This Row],[My Grade]])=1),FALSE)</f>
        <v>1</v>
      </c>
      <c r="S99" s="18" t="b">
        <f>IF(All[[#This Row],[Student No.]]&lt;&gt;"", TRUE, FALSE)</f>
        <v>1</v>
      </c>
      <c r="T99" s="18" t="b">
        <f>IF(COUNTBLANK(All[[#This Row],[Engagement]:[Exam/Def]])=0,TRUE, FALSE)</f>
        <v>0</v>
      </c>
      <c r="U99" s="18" t="b">
        <f>IF(ISNUMBER(All[[#This Row],[Test]]),TRUE,FALSE)</f>
        <v>0</v>
      </c>
      <c r="V99" s="18" t="b">
        <f>IF((INDEX(Test[Total (%)],MATCH(All[[#This Row],[Student No.]],Test[Student No.],0)))="ABS", TRUE, FALSE)</f>
        <v>0</v>
      </c>
      <c r="W99" s="18" t="b">
        <f>IF(ISNUMBER(INDEX(Exam[Total (%)],MATCH(All[[#This Row],[Student No.]],Exam[Student No.],0))), TRUE, FALSE)</f>
        <v>1</v>
      </c>
      <c r="X99" s="18" t="b">
        <f>IF(ISNUMBER(INDEX(#REF!,MATCH(All[[#This Row],[Student No.]],#REF!,0))),TRUE,FALSE)</f>
        <v>0</v>
      </c>
      <c r="Y99" s="18" t="b">
        <f>IF(ISNUMBER(INDEX(#REF!,MATCH(All[[#This Row],[Student No.]],#REF!,0))),TRUE,FALSE)</f>
        <v>0</v>
      </c>
      <c r="Z99" s="18" t="b">
        <f>IF(All[[#This Row],[Wrote Def]],
IF(INDEX(#REF!, MATCH(All[[#This Row],[Student No.]],#REF!,0))&lt;&gt;All[[#This Row],[Exam/Def]], TRUE, FALSE),
  IF(All[[#This Row],[Wrote Exam]], IF(INDEX(Exam[Total (%)], MATCH(All[[#This Row],[Student No.]],Exam[Student No.],0))&lt;&gt;All[[#This Row],[Exam/Def]],TRUE,FALSE), FALSE))</f>
        <v>0</v>
      </c>
      <c r="AA99" s="18" t="b">
        <f xml:space="preserve">    IF(AND(All[[#This Row],[Exam/Def]]&lt;35,OR(All[[#This Row],[Wrote Exam]],All[[#This Row],[Wrote Def]])), TRUE,FALSE)</f>
        <v>1</v>
      </c>
      <c r="AB99" s="18" t="b">
        <f>IF(AND(All[[#This Row],[Exam &lt; 35%]],All[[#This Row],[Final]]&gt;=50),TRUE,FALSE)</f>
        <v>1</v>
      </c>
      <c r="AC99" s="18"/>
    </row>
    <row r="100" spans="1:29">
      <c r="A100" s="17" t="s">
        <v>367</v>
      </c>
      <c r="B100" s="17" t="s">
        <v>541</v>
      </c>
      <c r="C100" s="100" t="e">
        <f>IF(All[[#This Row],[Student]],
  IF(ISNA(INDEX(#REF!,MATCH(All[[#This Row],[Student No.]],#REF!,0))),
    "Cannot find student!",
    IF(INDEX(#REF!,MATCH(All[[#This Row],[Student No.]],#REF!,0))="",
      "",
      INDEX(#REF!,MATCH(All[[#This Row],[Student No.]],#REF!,0)))
    ),
  "No student!")</f>
        <v>#REF!</v>
      </c>
      <c r="D100"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00" s="18" t="str">
        <f>IF(All[[#This Row],[Student]],
  IF(ISNA(INDEX(Project[Total (%)],MATCH(All[[#This Row],[Student No.]],Project[Student No.],0))),
    "Cannot find student!",
    IF(INDEX(Project[Total (%)],MATCH(All[[#This Row],[Student No.]],Project[Student No.],0))="",
      "",
      INDEX(Project[Total (%)],MATCH(All[[#This Row],[Student No.]],Project[Student No.],0)))
    ),
  "No student!")</f>
        <v/>
      </c>
      <c r="F100" s="201">
        <f>IF(All[[#This Row],[Wrote Def]], INDEX(#REF!, MATCH(All[[#This Row],[Student No.]],#REF!,0)),
  IF(All[[#This Row],[Wrote Exam]], INDEX(Exam[Total (%)], MATCH(All[[#This Row],[Student No.]], Exam[Student No.],0)),
    ""))</f>
        <v>23</v>
      </c>
      <c r="G100" s="18" t="str">
        <f>IF(AND(All[[#This Row],[Student]], All[[#This Row],[All Components]]),
    IF(NOT(All[Has Test Mark]),ROUND((All[[#This Row],[Engagement]]*$C$5+All[[#This Row],[Project]]*$E$5+All[[#This Row],[Exam/Def]]*$F$5)/($C$5+$E$5+$F$5),0),
      ROUND((All[[#This Row],[Engagement]]*$C$5+All[[#This Row],[Test]]*$D$5+All[[#This Row],[Project]]*$E$5+All[[#This Row],[Exam/Def]]*$F$5)/($C$5+$D$5+$E$5+$F$5),0)
  ),
  "")</f>
        <v/>
      </c>
      <c r="H100" s="18" t="str">
        <f>All[[#This Row],[Course Mark]]</f>
        <v/>
      </c>
      <c r="I100" s="18" t="str">
        <f>IF(All[[#This Row],[Wrote Sup]], INDEX(#REF!,MATCH(All[[#This Row],[Student No.]],#REF!,0)), "")</f>
        <v/>
      </c>
      <c r="J100" s="18" t="str">
        <f>IF(AND(All[[#This Row],[Student]],ISNUMBER(All[[#This Row],[Final]])),_xlfn.RANK.EQ(All[[#This Row],[Final]],All[Final]),"")</f>
        <v/>
      </c>
      <c r="K100" s="31"/>
      <c r="L100" s="18" t="str">
        <f>IF(All[[#This Row],[Student]], IF(All[Wrote Sup],All[Sup],All[[#This Row],[Final]]),"No student")</f>
        <v/>
      </c>
      <c r="M100" s="18" t="str">
        <f>IF(All[[#This Row],[Final]]="","",
  IF(All[[#This Row],[Wrote Sup]],
    IF(All[[#This Row],[Sup]]&lt;50,"FAL","PAS"),
  IF(All[[#This Row],[Exam/Def]]&lt;35, "FSB",
    IF(All[[#This Row],[Final]]&lt;50,"FAL",
    IF(All[[#This Row],[Final]]&gt;=50,"PAS",
  "Error!")))))</f>
        <v/>
      </c>
      <c r="N100" s="18">
        <f>IF(All[[#This Row],[Student]], _xlfn.IFNA(INDEX(captured[Course Mark],MATCH(All[[#This Row],[Student No.]],captured[ID_TEXT],0) &amp; ""), "Cannot find student!"),"No student!")</f>
        <v>37</v>
      </c>
      <c r="O100" s="189" t="str">
        <f>IF(All[[#This Row],[Student]], _xlfn.IFNA(INDEX(captured[Grade],MATCH(All[[#This Row],[Student No.]],captured[ID_TEXT],0)), "Cannot find student!") &amp; "","No student!")</f>
        <v>FAL</v>
      </c>
      <c r="P100"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00" s="18" t="str">
        <f>IF(All[[#This Row],[My Grade]]&lt;&gt;"",IF(All[[#This Row],[My Grade]]&lt;&gt;All[[#This Row],[Cap Grade]],TRUE,FALSE),"")</f>
        <v/>
      </c>
      <c r="R100" s="18" t="b">
        <f>IF(NOT(ISBLANK(All[[#This Row],[Student No.]])),OR(ISNUMBER(FIND("FSB",All[[#This Row],[My Grade]])),ISNUMBER(FIND("PAS", All[[#This Row],[My Grade]])),ISNUMBER(FIND("FAL",All[[#This Row],[My Grade]])),ISNUMBER(FIND("FAB", All[[#This Row],[My Grade]])),COUNTBLANK(All[[#This Row],[My Grade]])=1),FALSE)</f>
        <v>1</v>
      </c>
      <c r="S100" s="18" t="b">
        <f>IF(All[[#This Row],[Student No.]]&lt;&gt;"", TRUE, FALSE)</f>
        <v>1</v>
      </c>
      <c r="T100" s="18" t="b">
        <f>IF(COUNTBLANK(All[[#This Row],[Engagement]:[Exam/Def]])=0,TRUE, FALSE)</f>
        <v>0</v>
      </c>
      <c r="U100" s="18" t="b">
        <f>IF(ISNUMBER(All[[#This Row],[Test]]),TRUE,FALSE)</f>
        <v>0</v>
      </c>
      <c r="V100" s="18" t="b">
        <f>IF((INDEX(Test[Total (%)],MATCH(All[[#This Row],[Student No.]],Test[Student No.],0)))="ABS", TRUE, FALSE)</f>
        <v>0</v>
      </c>
      <c r="W100" s="18" t="b">
        <f>IF(ISNUMBER(INDEX(Exam[Total (%)],MATCH(All[[#This Row],[Student No.]],Exam[Student No.],0))), TRUE, FALSE)</f>
        <v>1</v>
      </c>
      <c r="X100" s="18" t="b">
        <f>IF(ISNUMBER(INDEX(#REF!,MATCH(All[[#This Row],[Student No.]],#REF!,0))),TRUE,FALSE)</f>
        <v>0</v>
      </c>
      <c r="Y100" s="18" t="b">
        <f>IF(ISNUMBER(INDEX(#REF!,MATCH(All[[#This Row],[Student No.]],#REF!,0))),TRUE,FALSE)</f>
        <v>0</v>
      </c>
      <c r="Z100" s="18" t="b">
        <f>IF(All[[#This Row],[Wrote Def]],
IF(INDEX(#REF!, MATCH(All[[#This Row],[Student No.]],#REF!,0))&lt;&gt;All[[#This Row],[Exam/Def]], TRUE, FALSE),
  IF(All[[#This Row],[Wrote Exam]], IF(INDEX(Exam[Total (%)], MATCH(All[[#This Row],[Student No.]],Exam[Student No.],0))&lt;&gt;All[[#This Row],[Exam/Def]],TRUE,FALSE), FALSE))</f>
        <v>0</v>
      </c>
      <c r="AA100" s="18" t="b">
        <f xml:space="preserve">    IF(AND(All[[#This Row],[Exam/Def]]&lt;35,OR(All[[#This Row],[Wrote Exam]],All[[#This Row],[Wrote Def]])), TRUE,FALSE)</f>
        <v>1</v>
      </c>
      <c r="AB100" s="18" t="b">
        <f>IF(AND(All[[#This Row],[Exam &lt; 35%]],All[[#This Row],[Final]]&gt;=50),TRUE,FALSE)</f>
        <v>1</v>
      </c>
      <c r="AC100" s="18"/>
    </row>
    <row r="101" spans="1:29">
      <c r="A101" s="17" t="s">
        <v>368</v>
      </c>
      <c r="B101" s="17" t="s">
        <v>542</v>
      </c>
      <c r="C101" s="100" t="e">
        <f>IF(All[[#This Row],[Student]],
  IF(ISNA(INDEX(#REF!,MATCH(All[[#This Row],[Student No.]],#REF!,0))),
    "Cannot find student!",
    IF(INDEX(#REF!,MATCH(All[[#This Row],[Student No.]],#REF!,0))="",
      "",
      INDEX(#REF!,MATCH(All[[#This Row],[Student No.]],#REF!,0)))
    ),
  "No student!")</f>
        <v>#REF!</v>
      </c>
      <c r="D101"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01" s="18" t="str">
        <f>IF(All[[#This Row],[Student]],
  IF(ISNA(INDEX(Project[Total (%)],MATCH(All[[#This Row],[Student No.]],Project[Student No.],0))),
    "Cannot find student!",
    IF(INDEX(Project[Total (%)],MATCH(All[[#This Row],[Student No.]],Project[Student No.],0))="",
      "",
      INDEX(Project[Total (%)],MATCH(All[[#This Row],[Student No.]],Project[Student No.],0)))
    ),
  "No student!")</f>
        <v/>
      </c>
      <c r="F101" s="201">
        <f>IF(All[[#This Row],[Wrote Def]], INDEX(#REF!, MATCH(All[[#This Row],[Student No.]],#REF!,0)),
  IF(All[[#This Row],[Wrote Exam]], INDEX(Exam[Total (%)], MATCH(All[[#This Row],[Student No.]], Exam[Student No.],0)),
    ""))</f>
        <v>31</v>
      </c>
      <c r="G101" s="18" t="str">
        <f>IF(AND(All[[#This Row],[Student]], All[[#This Row],[All Components]]),
    IF(NOT(All[Has Test Mark]),ROUND((All[[#This Row],[Engagement]]*$C$5+All[[#This Row],[Project]]*$E$5+All[[#This Row],[Exam/Def]]*$F$5)/($C$5+$E$5+$F$5),0),
      ROUND((All[[#This Row],[Engagement]]*$C$5+All[[#This Row],[Test]]*$D$5+All[[#This Row],[Project]]*$E$5+All[[#This Row],[Exam/Def]]*$F$5)/($C$5+$D$5+$E$5+$F$5),0)
  ),
  "")</f>
        <v/>
      </c>
      <c r="H101" s="18" t="str">
        <f>All[[#This Row],[Course Mark]]</f>
        <v/>
      </c>
      <c r="I101" s="18" t="str">
        <f>IF(All[[#This Row],[Wrote Sup]], INDEX(#REF!,MATCH(All[[#This Row],[Student No.]],#REF!,0)), "")</f>
        <v/>
      </c>
      <c r="J101" s="18" t="str">
        <f>IF(AND(All[[#This Row],[Student]],ISNUMBER(All[[#This Row],[Final]])),_xlfn.RANK.EQ(All[[#This Row],[Final]],All[Final]),"")</f>
        <v/>
      </c>
      <c r="K101" s="31"/>
      <c r="L101" s="18" t="str">
        <f>IF(All[[#This Row],[Student]], IF(All[Wrote Sup],All[Sup],All[[#This Row],[Final]]),"No student")</f>
        <v/>
      </c>
      <c r="M101" s="18" t="str">
        <f>IF(All[[#This Row],[Final]]="","",
  IF(All[[#This Row],[Wrote Sup]],
    IF(All[[#This Row],[Sup]]&lt;50,"FAL","PAS"),
  IF(All[[#This Row],[Exam/Def]]&lt;35, "FSB",
    IF(All[[#This Row],[Final]]&lt;50,"FAL",
    IF(All[[#This Row],[Final]]&gt;=50,"PAS",
  "Error!")))))</f>
        <v/>
      </c>
      <c r="N101" s="18">
        <f>IF(All[[#This Row],[Student]], _xlfn.IFNA(INDEX(captured[Course Mark],MATCH(All[[#This Row],[Student No.]],captured[ID_TEXT],0) &amp; ""), "Cannot find student!"),"No student!")</f>
        <v>41</v>
      </c>
      <c r="O101" s="189" t="str">
        <f>IF(All[[#This Row],[Student]], _xlfn.IFNA(INDEX(captured[Grade],MATCH(All[[#This Row],[Student No.]],captured[ID_TEXT],0)), "Cannot find student!") &amp; "","No student!")</f>
        <v>FSB</v>
      </c>
      <c r="P101"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01" s="18" t="str">
        <f>IF(All[[#This Row],[My Grade]]&lt;&gt;"",IF(All[[#This Row],[My Grade]]&lt;&gt;All[[#This Row],[Cap Grade]],TRUE,FALSE),"")</f>
        <v/>
      </c>
      <c r="R101" s="18" t="b">
        <f>IF(NOT(ISBLANK(All[[#This Row],[Student No.]])),OR(ISNUMBER(FIND("FSB",All[[#This Row],[My Grade]])),ISNUMBER(FIND("PAS", All[[#This Row],[My Grade]])),ISNUMBER(FIND("FAL",All[[#This Row],[My Grade]])),ISNUMBER(FIND("FAB", All[[#This Row],[My Grade]])),COUNTBLANK(All[[#This Row],[My Grade]])=1),FALSE)</f>
        <v>1</v>
      </c>
      <c r="S101" s="18" t="b">
        <f>IF(All[[#This Row],[Student No.]]&lt;&gt;"", TRUE, FALSE)</f>
        <v>1</v>
      </c>
      <c r="T101" s="18" t="b">
        <f>IF(COUNTBLANK(All[[#This Row],[Engagement]:[Exam/Def]])=0,TRUE, FALSE)</f>
        <v>0</v>
      </c>
      <c r="U101" s="18" t="b">
        <f>IF(ISNUMBER(All[[#This Row],[Test]]),TRUE,FALSE)</f>
        <v>0</v>
      </c>
      <c r="V101" s="18" t="b">
        <f>IF((INDEX(Test[Total (%)],MATCH(All[[#This Row],[Student No.]],Test[Student No.],0)))="ABS", TRUE, FALSE)</f>
        <v>0</v>
      </c>
      <c r="W101" s="18" t="b">
        <f>IF(ISNUMBER(INDEX(Exam[Total (%)],MATCH(All[[#This Row],[Student No.]],Exam[Student No.],0))), TRUE, FALSE)</f>
        <v>1</v>
      </c>
      <c r="X101" s="18" t="b">
        <f>IF(ISNUMBER(INDEX(#REF!,MATCH(All[[#This Row],[Student No.]],#REF!,0))),TRUE,FALSE)</f>
        <v>0</v>
      </c>
      <c r="Y101" s="18" t="b">
        <f>IF(ISNUMBER(INDEX(#REF!,MATCH(All[[#This Row],[Student No.]],#REF!,0))),TRUE,FALSE)</f>
        <v>0</v>
      </c>
      <c r="Z101" s="18" t="b">
        <f>IF(All[[#This Row],[Wrote Def]],
IF(INDEX(#REF!, MATCH(All[[#This Row],[Student No.]],#REF!,0))&lt;&gt;All[[#This Row],[Exam/Def]], TRUE, FALSE),
  IF(All[[#This Row],[Wrote Exam]], IF(INDEX(Exam[Total (%)], MATCH(All[[#This Row],[Student No.]],Exam[Student No.],0))&lt;&gt;All[[#This Row],[Exam/Def]],TRUE,FALSE), FALSE))</f>
        <v>0</v>
      </c>
      <c r="AA101" s="18" t="b">
        <f xml:space="preserve">    IF(AND(All[[#This Row],[Exam/Def]]&lt;35,OR(All[[#This Row],[Wrote Exam]],All[[#This Row],[Wrote Def]])), TRUE,FALSE)</f>
        <v>1</v>
      </c>
      <c r="AB101" s="18" t="b">
        <f>IF(AND(All[[#This Row],[Exam &lt; 35%]],All[[#This Row],[Final]]&gt;=50),TRUE,FALSE)</f>
        <v>1</v>
      </c>
      <c r="AC101" s="18"/>
    </row>
    <row r="102" spans="1:29" ht="43.2">
      <c r="A102" s="17" t="s">
        <v>369</v>
      </c>
      <c r="B102" s="17" t="s">
        <v>543</v>
      </c>
      <c r="C102" s="100" t="e">
        <f>IF(All[[#This Row],[Student]],
  IF(ISNA(INDEX(#REF!,MATCH(All[[#This Row],[Student No.]],#REF!,0))),
    "Cannot find student!",
    IF(INDEX(#REF!,MATCH(All[[#This Row],[Student No.]],#REF!,0))="",
      "",
      INDEX(#REF!,MATCH(All[[#This Row],[Student No.]],#REF!,0)))
    ),
  "No student!")</f>
        <v>#REF!</v>
      </c>
      <c r="D102"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02" s="18" t="str">
        <f>IF(All[[#This Row],[Student]],
  IF(ISNA(INDEX(Project[Total (%)],MATCH(All[[#This Row],[Student No.]],Project[Student No.],0))),
    "Cannot find student!",
    IF(INDEX(Project[Total (%)],MATCH(All[[#This Row],[Student No.]],Project[Student No.],0))="",
      "",
      INDEX(Project[Total (%)],MATCH(All[[#This Row],[Student No.]],Project[Student No.],0)))
    ),
  "No student!")</f>
        <v/>
      </c>
      <c r="F102" s="201" t="str">
        <f>IF(All[[#This Row],[Wrote Def]], INDEX(#REF!, MATCH(All[[#This Row],[Student No.]],#REF!,0)),
  IF(All[[#This Row],[Wrote Exam]], INDEX(Exam[Total (%)], MATCH(All[[#This Row],[Student No.]], Exam[Student No.],0)),
    ""))</f>
        <v/>
      </c>
      <c r="G102" s="18" t="str">
        <f>IF(AND(All[[#This Row],[Student]], All[[#This Row],[All Components]]),
    IF(NOT(All[Has Test Mark]),ROUND((All[[#This Row],[Engagement]]*$C$5+All[[#This Row],[Project]]*$E$5+All[[#This Row],[Exam/Def]]*$F$5)/($C$5+$E$5+$F$5),0),
      ROUND((All[[#This Row],[Engagement]]*$C$5+All[[#This Row],[Test]]*$D$5+All[[#This Row],[Project]]*$E$5+All[[#This Row],[Exam/Def]]*$F$5)/($C$5+$D$5+$E$5+$F$5),0)
  ),
  "")</f>
        <v/>
      </c>
      <c r="H102" s="18" t="str">
        <f>All[[#This Row],[Course Mark]]</f>
        <v/>
      </c>
      <c r="I102" s="18" t="str">
        <f>IF(All[[#This Row],[Wrote Sup]], INDEX(#REF!,MATCH(All[[#This Row],[Student No.]],#REF!,0)), "")</f>
        <v/>
      </c>
      <c r="J102" s="18" t="str">
        <f>IF(AND(All[[#This Row],[Student]],ISNUMBER(All[[#This Row],[Final]])),_xlfn.RANK.EQ(All[[#This Row],[Final]],All[Final]),"")</f>
        <v/>
      </c>
      <c r="K102" s="31"/>
      <c r="L102" s="18" t="str">
        <f>IF(All[[#This Row],[Student]], IF(All[Wrote Sup],All[Sup],All[[#This Row],[Final]]),"No student")</f>
        <v/>
      </c>
      <c r="M102" s="18" t="str">
        <f>IF(All[[#This Row],[Final]]="","",
  IF(All[[#This Row],[Wrote Sup]],
    IF(All[[#This Row],[Sup]]&lt;50,"FAL","PAS"),
  IF(All[[#This Row],[Exam/Def]]&lt;35, "FSB",
    IF(All[[#This Row],[Final]]&lt;50,"FAL",
    IF(All[[#This Row],[Final]]&gt;=50,"PAS",
  "Error!")))))</f>
        <v/>
      </c>
      <c r="N102" s="18">
        <f>IF(All[[#This Row],[Student]], _xlfn.IFNA(INDEX(captured[Course Mark],MATCH(All[[#This Row],[Student No.]],captured[ID_TEXT],0) &amp; ""), "Cannot find student!"),"No student!")</f>
        <v>51</v>
      </c>
      <c r="O102" s="189" t="str">
        <f>IF(All[[#This Row],[Student]], _xlfn.IFNA(INDEX(captured[Grade],MATCH(All[[#This Row],[Student No.]],captured[ID_TEXT],0)), "Cannot find student!") &amp; "","No student!")</f>
        <v>PAS</v>
      </c>
      <c r="P102"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02" s="18" t="str">
        <f>IF(All[[#This Row],[My Grade]]&lt;&gt;"",IF(All[[#This Row],[My Grade]]&lt;&gt;All[[#This Row],[Cap Grade]],TRUE,FALSE),"")</f>
        <v/>
      </c>
      <c r="R102" s="18" t="b">
        <f>IF(NOT(ISBLANK(All[[#This Row],[Student No.]])),OR(ISNUMBER(FIND("FSB",All[[#This Row],[My Grade]])),ISNUMBER(FIND("PAS", All[[#This Row],[My Grade]])),ISNUMBER(FIND("FAL",All[[#This Row],[My Grade]])),ISNUMBER(FIND("FAB", All[[#This Row],[My Grade]])),COUNTBLANK(All[[#This Row],[My Grade]])=1),FALSE)</f>
        <v>1</v>
      </c>
      <c r="S102" s="18" t="b">
        <f>IF(All[[#This Row],[Student No.]]&lt;&gt;"", TRUE, FALSE)</f>
        <v>1</v>
      </c>
      <c r="T102" s="18" t="b">
        <f>IF(COUNTBLANK(All[[#This Row],[Engagement]:[Exam/Def]])=0,TRUE, FALSE)</f>
        <v>0</v>
      </c>
      <c r="U102" s="18" t="b">
        <f>IF(ISNUMBER(All[[#This Row],[Test]]),TRUE,FALSE)</f>
        <v>0</v>
      </c>
      <c r="V102" s="18" t="e">
        <f>IF((INDEX(Test[Total (%)],MATCH(All[[#This Row],[Student No.]],Test[Student No.],0)))="ABS", TRUE, FALSE)</f>
        <v>#N/A</v>
      </c>
      <c r="W102" s="18" t="b">
        <f>IF(ISNUMBER(INDEX(Exam[Total (%)],MATCH(All[[#This Row],[Student No.]],Exam[Student No.],0))), TRUE, FALSE)</f>
        <v>0</v>
      </c>
      <c r="X102" s="18" t="b">
        <f>IF(ISNUMBER(INDEX(#REF!,MATCH(All[[#This Row],[Student No.]],#REF!,0))),TRUE,FALSE)</f>
        <v>0</v>
      </c>
      <c r="Y102" s="18" t="b">
        <f>IF(ISNUMBER(INDEX(#REF!,MATCH(All[[#This Row],[Student No.]],#REF!,0))),TRUE,FALSE)</f>
        <v>0</v>
      </c>
      <c r="Z102" s="18" t="b">
        <f>IF(All[[#This Row],[Wrote Def]],
IF(INDEX(#REF!, MATCH(All[[#This Row],[Student No.]],#REF!,0))&lt;&gt;All[[#This Row],[Exam/Def]], TRUE, FALSE),
  IF(All[[#This Row],[Wrote Exam]], IF(INDEX(Exam[Total (%)], MATCH(All[[#This Row],[Student No.]],Exam[Student No.],0))&lt;&gt;All[[#This Row],[Exam/Def]],TRUE,FALSE), FALSE))</f>
        <v>0</v>
      </c>
      <c r="AA102" s="18" t="b">
        <f xml:space="preserve">    IF(AND(All[[#This Row],[Exam/Def]]&lt;35,OR(All[[#This Row],[Wrote Exam]],All[[#This Row],[Wrote Def]])), TRUE,FALSE)</f>
        <v>0</v>
      </c>
      <c r="AB102" s="18" t="b">
        <f>IF(AND(All[[#This Row],[Exam &lt; 35%]],All[[#This Row],[Final]]&gt;=50),TRUE,FALSE)</f>
        <v>0</v>
      </c>
      <c r="AC102" s="18"/>
    </row>
    <row r="103" spans="1:29">
      <c r="A103" s="17" t="s">
        <v>370</v>
      </c>
      <c r="B103" s="17" t="s">
        <v>544</v>
      </c>
      <c r="C103" s="100" t="e">
        <f>IF(All[[#This Row],[Student]],
  IF(ISNA(INDEX(#REF!,MATCH(All[[#This Row],[Student No.]],#REF!,0))),
    "Cannot find student!",
    IF(INDEX(#REF!,MATCH(All[[#This Row],[Student No.]],#REF!,0))="",
      "",
      INDEX(#REF!,MATCH(All[[#This Row],[Student No.]],#REF!,0)))
    ),
  "No student!")</f>
        <v>#REF!</v>
      </c>
      <c r="D103"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03" s="18" t="str">
        <f>IF(All[[#This Row],[Student]],
  IF(ISNA(INDEX(Project[Total (%)],MATCH(All[[#This Row],[Student No.]],Project[Student No.],0))),
    "Cannot find student!",
    IF(INDEX(Project[Total (%)],MATCH(All[[#This Row],[Student No.]],Project[Student No.],0))="",
      "",
      INDEX(Project[Total (%)],MATCH(All[[#This Row],[Student No.]],Project[Student No.],0)))
    ),
  "No student!")</f>
        <v/>
      </c>
      <c r="F103" s="201">
        <f>IF(All[[#This Row],[Wrote Def]], INDEX(#REF!, MATCH(All[[#This Row],[Student No.]],#REF!,0)),
  IF(All[[#This Row],[Wrote Exam]], INDEX(Exam[Total (%)], MATCH(All[[#This Row],[Student No.]], Exam[Student No.],0)),
    ""))</f>
        <v>21</v>
      </c>
      <c r="G103" s="18" t="str">
        <f>IF(AND(All[[#This Row],[Student]], All[[#This Row],[All Components]]),
    IF(NOT(All[Has Test Mark]),ROUND((All[[#This Row],[Engagement]]*$C$5+All[[#This Row],[Project]]*$E$5+All[[#This Row],[Exam/Def]]*$F$5)/($C$5+$E$5+$F$5),0),
      ROUND((All[[#This Row],[Engagement]]*$C$5+All[[#This Row],[Test]]*$D$5+All[[#This Row],[Project]]*$E$5+All[[#This Row],[Exam/Def]]*$F$5)/($C$5+$D$5+$E$5+$F$5),0)
  ),
  "")</f>
        <v/>
      </c>
      <c r="H103" s="18" t="str">
        <f>All[[#This Row],[Course Mark]]</f>
        <v/>
      </c>
      <c r="I103" s="18" t="str">
        <f>IF(All[[#This Row],[Wrote Sup]], INDEX(#REF!,MATCH(All[[#This Row],[Student No.]],#REF!,0)), "")</f>
        <v/>
      </c>
      <c r="J103" s="18" t="str">
        <f>IF(AND(All[[#This Row],[Student]],ISNUMBER(All[[#This Row],[Final]])),_xlfn.RANK.EQ(All[[#This Row],[Final]],All[Final]),"")</f>
        <v/>
      </c>
      <c r="K103" s="31"/>
      <c r="L103" s="18" t="str">
        <f>IF(All[[#This Row],[Student]], IF(All[Wrote Sup],All[Sup],All[[#This Row],[Final]]),"No student")</f>
        <v/>
      </c>
      <c r="M103" s="18" t="str">
        <f>IF(All[[#This Row],[Final]]="","",
  IF(All[[#This Row],[Wrote Sup]],
    IF(All[[#This Row],[Sup]]&lt;50,"FAL","PAS"),
  IF(All[[#This Row],[Exam/Def]]&lt;35, "FSB",
    IF(All[[#This Row],[Final]]&lt;50,"FAL",
    IF(All[[#This Row],[Final]]&gt;=50,"PAS",
  "Error!")))))</f>
        <v/>
      </c>
      <c r="N103" s="18">
        <f>IF(All[[#This Row],[Student]], _xlfn.IFNA(INDEX(captured[Course Mark],MATCH(All[[#This Row],[Student No.]],captured[ID_TEXT],0) &amp; ""), "Cannot find student!"),"No student!")</f>
        <v>36</v>
      </c>
      <c r="O103" s="189" t="str">
        <f>IF(All[[#This Row],[Student]], _xlfn.IFNA(INDEX(captured[Grade],MATCH(All[[#This Row],[Student No.]],captured[ID_TEXT],0)), "Cannot find student!") &amp; "","No student!")</f>
        <v/>
      </c>
      <c r="P103"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03" s="18" t="str">
        <f>IF(All[[#This Row],[My Grade]]&lt;&gt;"",IF(All[[#This Row],[My Grade]]&lt;&gt;All[[#This Row],[Cap Grade]],TRUE,FALSE),"")</f>
        <v/>
      </c>
      <c r="R103" s="18" t="b">
        <f>IF(NOT(ISBLANK(All[[#This Row],[Student No.]])),OR(ISNUMBER(FIND("FSB",All[[#This Row],[My Grade]])),ISNUMBER(FIND("PAS", All[[#This Row],[My Grade]])),ISNUMBER(FIND("FAL",All[[#This Row],[My Grade]])),ISNUMBER(FIND("FAB", All[[#This Row],[My Grade]])),COUNTBLANK(All[[#This Row],[My Grade]])=1),FALSE)</f>
        <v>1</v>
      </c>
      <c r="S103" s="18" t="b">
        <f>IF(All[[#This Row],[Student No.]]&lt;&gt;"", TRUE, FALSE)</f>
        <v>1</v>
      </c>
      <c r="T103" s="18" t="b">
        <f>IF(COUNTBLANK(All[[#This Row],[Engagement]:[Exam/Def]])=0,TRUE, FALSE)</f>
        <v>0</v>
      </c>
      <c r="U103" s="18" t="b">
        <f>IF(ISNUMBER(All[[#This Row],[Test]]),TRUE,FALSE)</f>
        <v>0</v>
      </c>
      <c r="V103" s="18" t="b">
        <f>IF((INDEX(Test[Total (%)],MATCH(All[[#This Row],[Student No.]],Test[Student No.],0)))="ABS", TRUE, FALSE)</f>
        <v>0</v>
      </c>
      <c r="W103" s="18" t="b">
        <f>IF(ISNUMBER(INDEX(Exam[Total (%)],MATCH(All[[#This Row],[Student No.]],Exam[Student No.],0))), TRUE, FALSE)</f>
        <v>1</v>
      </c>
      <c r="X103" s="18" t="b">
        <f>IF(ISNUMBER(INDEX(#REF!,MATCH(All[[#This Row],[Student No.]],#REF!,0))),TRUE,FALSE)</f>
        <v>0</v>
      </c>
      <c r="Y103" s="18" t="b">
        <f>IF(ISNUMBER(INDEX(#REF!,MATCH(All[[#This Row],[Student No.]],#REF!,0))),TRUE,FALSE)</f>
        <v>0</v>
      </c>
      <c r="Z103" s="18" t="b">
        <f>IF(All[[#This Row],[Wrote Def]],
IF(INDEX(#REF!, MATCH(All[[#This Row],[Student No.]],#REF!,0))&lt;&gt;All[[#This Row],[Exam/Def]], TRUE, FALSE),
  IF(All[[#This Row],[Wrote Exam]], IF(INDEX(Exam[Total (%)], MATCH(All[[#This Row],[Student No.]],Exam[Student No.],0))&lt;&gt;All[[#This Row],[Exam/Def]],TRUE,FALSE), FALSE))</f>
        <v>0</v>
      </c>
      <c r="AA103" s="18" t="b">
        <f xml:space="preserve">    IF(AND(All[[#This Row],[Exam/Def]]&lt;35,OR(All[[#This Row],[Wrote Exam]],All[[#This Row],[Wrote Def]])), TRUE,FALSE)</f>
        <v>1</v>
      </c>
      <c r="AB103" s="18" t="b">
        <f>IF(AND(All[[#This Row],[Exam &lt; 35%]],All[[#This Row],[Final]]&gt;=50),TRUE,FALSE)</f>
        <v>1</v>
      </c>
      <c r="AC103" s="18"/>
    </row>
    <row r="104" spans="1:29">
      <c r="A104" s="17" t="s">
        <v>371</v>
      </c>
      <c r="B104" s="17" t="s">
        <v>545</v>
      </c>
      <c r="C104" s="100" t="e">
        <f>IF(All[[#This Row],[Student]],
  IF(ISNA(INDEX(#REF!,MATCH(All[[#This Row],[Student No.]],#REF!,0))),
    "Cannot find student!",
    IF(INDEX(#REF!,MATCH(All[[#This Row],[Student No.]],#REF!,0))="",
      "",
      INDEX(#REF!,MATCH(All[[#This Row],[Student No.]],#REF!,0)))
    ),
  "No student!")</f>
        <v>#REF!</v>
      </c>
      <c r="D104"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04" s="18" t="str">
        <f>IF(All[[#This Row],[Student]],
  IF(ISNA(INDEX(Project[Total (%)],MATCH(All[[#This Row],[Student No.]],Project[Student No.],0))),
    "Cannot find student!",
    IF(INDEX(Project[Total (%)],MATCH(All[[#This Row],[Student No.]],Project[Student No.],0))="",
      "",
      INDEX(Project[Total (%)],MATCH(All[[#This Row],[Student No.]],Project[Student No.],0)))
    ),
  "No student!")</f>
        <v/>
      </c>
      <c r="F104" s="201" t="str">
        <f>IF(All[[#This Row],[Wrote Def]], INDEX(#REF!, MATCH(All[[#This Row],[Student No.]],#REF!,0)),
  IF(All[[#This Row],[Wrote Exam]], INDEX(Exam[Total (%)], MATCH(All[[#This Row],[Student No.]], Exam[Student No.],0)),
    ""))</f>
        <v/>
      </c>
      <c r="G104" s="18" t="str">
        <f>IF(AND(All[[#This Row],[Student]], All[[#This Row],[All Components]]),
    IF(NOT(All[Has Test Mark]),ROUND((All[[#This Row],[Engagement]]*$C$5+All[[#This Row],[Project]]*$E$5+All[[#This Row],[Exam/Def]]*$F$5)/($C$5+$E$5+$F$5),0),
      ROUND((All[[#This Row],[Engagement]]*$C$5+All[[#This Row],[Test]]*$D$5+All[[#This Row],[Project]]*$E$5+All[[#This Row],[Exam/Def]]*$F$5)/($C$5+$D$5+$E$5+$F$5),0)
  ),
  "")</f>
        <v/>
      </c>
      <c r="H104" s="18" t="str">
        <f>All[[#This Row],[Course Mark]]</f>
        <v/>
      </c>
      <c r="I104" s="18" t="str">
        <f>IF(All[[#This Row],[Wrote Sup]], INDEX(#REF!,MATCH(All[[#This Row],[Student No.]],#REF!,0)), "")</f>
        <v/>
      </c>
      <c r="J104" s="18" t="str">
        <f>IF(AND(All[[#This Row],[Student]],ISNUMBER(All[[#This Row],[Final]])),_xlfn.RANK.EQ(All[[#This Row],[Final]],All[Final]),"")</f>
        <v/>
      </c>
      <c r="K104" s="31"/>
      <c r="L104" s="18" t="str">
        <f>IF(All[[#This Row],[Student]], IF(All[Wrote Sup],All[Sup],All[[#This Row],[Final]]),"No student")</f>
        <v/>
      </c>
      <c r="M104" s="18" t="str">
        <f>IF(All[[#This Row],[Final]]="","",
  IF(All[[#This Row],[Wrote Sup]],
    IF(All[[#This Row],[Sup]]&lt;50,"FAL","PAS"),
  IF(All[[#This Row],[Exam/Def]]&lt;35, "FSB",
    IF(All[[#This Row],[Final]]&lt;50,"FAL",
    IF(All[[#This Row],[Final]]&gt;=50,"PAS",
  "Error!")))))</f>
        <v/>
      </c>
      <c r="N104" s="18">
        <f>IF(All[[#This Row],[Student]], _xlfn.IFNA(INDEX(captured[Course Mark],MATCH(All[[#This Row],[Student No.]],captured[ID_TEXT],0) &amp; ""), "Cannot find student!"),"No student!")</f>
        <v>24</v>
      </c>
      <c r="O104" s="189" t="str">
        <f>IF(All[[#This Row],[Student]], _xlfn.IFNA(INDEX(captured[Grade],MATCH(All[[#This Row],[Student No.]],captured[ID_TEXT],0)), "Cannot find student!") &amp; "","No student!")</f>
        <v>FSB</v>
      </c>
      <c r="P104"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04" s="18" t="str">
        <f>IF(All[[#This Row],[My Grade]]&lt;&gt;"",IF(All[[#This Row],[My Grade]]&lt;&gt;All[[#This Row],[Cap Grade]],TRUE,FALSE),"")</f>
        <v/>
      </c>
      <c r="R104" s="18" t="b">
        <f>IF(NOT(ISBLANK(All[[#This Row],[Student No.]])),OR(ISNUMBER(FIND("FSB",All[[#This Row],[My Grade]])),ISNUMBER(FIND("PAS", All[[#This Row],[My Grade]])),ISNUMBER(FIND("FAL",All[[#This Row],[My Grade]])),ISNUMBER(FIND("FAB", All[[#This Row],[My Grade]])),COUNTBLANK(All[[#This Row],[My Grade]])=1),FALSE)</f>
        <v>1</v>
      </c>
      <c r="S104" s="18" t="b">
        <f>IF(All[[#This Row],[Student No.]]&lt;&gt;"", TRUE, FALSE)</f>
        <v>1</v>
      </c>
      <c r="T104" s="18" t="b">
        <f>IF(COUNTBLANK(All[[#This Row],[Engagement]:[Exam/Def]])=0,TRUE, FALSE)</f>
        <v>0</v>
      </c>
      <c r="U104" s="18" t="b">
        <f>IF(ISNUMBER(All[[#This Row],[Test]]),TRUE,FALSE)</f>
        <v>0</v>
      </c>
      <c r="V104" s="18" t="b">
        <f>IF((INDEX(Test[Total (%)],MATCH(All[[#This Row],[Student No.]],Test[Student No.],0)))="ABS", TRUE, FALSE)</f>
        <v>0</v>
      </c>
      <c r="W104" s="18" t="b">
        <f>IF(ISNUMBER(INDEX(Exam[Total (%)],MATCH(All[[#This Row],[Student No.]],Exam[Student No.],0))), TRUE, FALSE)</f>
        <v>0</v>
      </c>
      <c r="X104" s="18" t="b">
        <f>IF(ISNUMBER(INDEX(#REF!,MATCH(All[[#This Row],[Student No.]],#REF!,0))),TRUE,FALSE)</f>
        <v>0</v>
      </c>
      <c r="Y104" s="18" t="b">
        <f>IF(ISNUMBER(INDEX(#REF!,MATCH(All[[#This Row],[Student No.]],#REF!,0))),TRUE,FALSE)</f>
        <v>0</v>
      </c>
      <c r="Z104" s="18" t="b">
        <f>IF(All[[#This Row],[Wrote Def]],
IF(INDEX(#REF!, MATCH(All[[#This Row],[Student No.]],#REF!,0))&lt;&gt;All[[#This Row],[Exam/Def]], TRUE, FALSE),
  IF(All[[#This Row],[Wrote Exam]], IF(INDEX(Exam[Total (%)], MATCH(All[[#This Row],[Student No.]],Exam[Student No.],0))&lt;&gt;All[[#This Row],[Exam/Def]],TRUE,FALSE), FALSE))</f>
        <v>0</v>
      </c>
      <c r="AA104" s="18" t="b">
        <f xml:space="preserve">    IF(AND(All[[#This Row],[Exam/Def]]&lt;35,OR(All[[#This Row],[Wrote Exam]],All[[#This Row],[Wrote Def]])), TRUE,FALSE)</f>
        <v>0</v>
      </c>
      <c r="AB104" s="18" t="b">
        <f>IF(AND(All[[#This Row],[Exam &lt; 35%]],All[[#This Row],[Final]]&gt;=50),TRUE,FALSE)</f>
        <v>0</v>
      </c>
      <c r="AC104" s="18"/>
    </row>
    <row r="105" spans="1:29" ht="43.2">
      <c r="A105" s="17" t="s">
        <v>372</v>
      </c>
      <c r="B105" s="17" t="s">
        <v>546</v>
      </c>
      <c r="C105" s="100" t="e">
        <f>IF(All[[#This Row],[Student]],
  IF(ISNA(INDEX(#REF!,MATCH(All[[#This Row],[Student No.]],#REF!,0))),
    "Cannot find student!",
    IF(INDEX(#REF!,MATCH(All[[#This Row],[Student No.]],#REF!,0))="",
      "",
      INDEX(#REF!,MATCH(All[[#This Row],[Student No.]],#REF!,0)))
    ),
  "No student!")</f>
        <v>#REF!</v>
      </c>
      <c r="D105"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05" s="18" t="str">
        <f>IF(All[[#This Row],[Student]],
  IF(ISNA(INDEX(Project[Total (%)],MATCH(All[[#This Row],[Student No.]],Project[Student No.],0))),
    "Cannot find student!",
    IF(INDEX(Project[Total (%)],MATCH(All[[#This Row],[Student No.]],Project[Student No.],0))="",
      "",
      INDEX(Project[Total (%)],MATCH(All[[#This Row],[Student No.]],Project[Student No.],0)))
    ),
  "No student!")</f>
        <v/>
      </c>
      <c r="F105" s="201">
        <f>IF(All[[#This Row],[Wrote Def]], INDEX(#REF!, MATCH(All[[#This Row],[Student No.]],#REF!,0)),
  IF(All[[#This Row],[Wrote Exam]], INDEX(Exam[Total (%)], MATCH(All[[#This Row],[Student No.]], Exam[Student No.],0)),
    ""))</f>
        <v>35</v>
      </c>
      <c r="G105" s="18" t="str">
        <f>IF(AND(All[[#This Row],[Student]], All[[#This Row],[All Components]]),
    IF(NOT(All[Has Test Mark]),ROUND((All[[#This Row],[Engagement]]*$C$5+All[[#This Row],[Project]]*$E$5+All[[#This Row],[Exam/Def]]*$F$5)/($C$5+$E$5+$F$5),0),
      ROUND((All[[#This Row],[Engagement]]*$C$5+All[[#This Row],[Test]]*$D$5+All[[#This Row],[Project]]*$E$5+All[[#This Row],[Exam/Def]]*$F$5)/($C$5+$D$5+$E$5+$F$5),0)
  ),
  "")</f>
        <v/>
      </c>
      <c r="H105" s="18" t="str">
        <f>All[[#This Row],[Course Mark]]</f>
        <v/>
      </c>
      <c r="I105" s="18" t="str">
        <f>IF(All[[#This Row],[Wrote Sup]], INDEX(#REF!,MATCH(All[[#This Row],[Student No.]],#REF!,0)), "")</f>
        <v/>
      </c>
      <c r="J105" s="18" t="str">
        <f>IF(AND(All[[#This Row],[Student]],ISNUMBER(All[[#This Row],[Final]])),_xlfn.RANK.EQ(All[[#This Row],[Final]],All[Final]),"")</f>
        <v/>
      </c>
      <c r="K105" s="31"/>
      <c r="L105" s="18" t="str">
        <f>IF(All[[#This Row],[Student]], IF(All[Wrote Sup],All[Sup],All[[#This Row],[Final]]),"No student")</f>
        <v/>
      </c>
      <c r="M105" s="18" t="str">
        <f>IF(All[[#This Row],[Final]]="","",
  IF(All[[#This Row],[Wrote Sup]],
    IF(All[[#This Row],[Sup]]&lt;50,"FAL","PAS"),
  IF(All[[#This Row],[Exam/Def]]&lt;35, "FSB",
    IF(All[[#This Row],[Final]]&lt;50,"FAL",
    IF(All[[#This Row],[Final]]&gt;=50,"PAS",
  "Error!")))))</f>
        <v/>
      </c>
      <c r="N105" s="18">
        <f>IF(All[[#This Row],[Student]], _xlfn.IFNA(INDEX(captured[Course Mark],MATCH(All[[#This Row],[Student No.]],captured[ID_TEXT],0) &amp; ""), "Cannot find student!"),"No student!")</f>
        <v>56</v>
      </c>
      <c r="O105" s="189" t="str">
        <f>IF(All[[#This Row],[Student]], _xlfn.IFNA(INDEX(captured[Grade],MATCH(All[[#This Row],[Student No.]],captured[ID_TEXT],0)), "Cannot find student!") &amp; "","No student!")</f>
        <v>PAS</v>
      </c>
      <c r="P105"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05" s="18" t="str">
        <f>IF(All[[#This Row],[My Grade]]&lt;&gt;"",IF(All[[#This Row],[My Grade]]&lt;&gt;All[[#This Row],[Cap Grade]],TRUE,FALSE),"")</f>
        <v/>
      </c>
      <c r="R105" s="18" t="b">
        <f>IF(NOT(ISBLANK(All[[#This Row],[Student No.]])),OR(ISNUMBER(FIND("FSB",All[[#This Row],[My Grade]])),ISNUMBER(FIND("PAS", All[[#This Row],[My Grade]])),ISNUMBER(FIND("FAL",All[[#This Row],[My Grade]])),ISNUMBER(FIND("FAB", All[[#This Row],[My Grade]])),COUNTBLANK(All[[#This Row],[My Grade]])=1),FALSE)</f>
        <v>1</v>
      </c>
      <c r="S105" s="18" t="b">
        <f>IF(All[[#This Row],[Student No.]]&lt;&gt;"", TRUE, FALSE)</f>
        <v>1</v>
      </c>
      <c r="T105" s="18" t="b">
        <f>IF(COUNTBLANK(All[[#This Row],[Engagement]:[Exam/Def]])=0,TRUE, FALSE)</f>
        <v>0</v>
      </c>
      <c r="U105" s="18" t="b">
        <f>IF(ISNUMBER(All[[#This Row],[Test]]),TRUE,FALSE)</f>
        <v>0</v>
      </c>
      <c r="V105" s="18" t="e">
        <f>IF((INDEX(Test[Total (%)],MATCH(All[[#This Row],[Student No.]],Test[Student No.],0)))="ABS", TRUE, FALSE)</f>
        <v>#N/A</v>
      </c>
      <c r="W105" s="18" t="b">
        <f>IF(ISNUMBER(INDEX(Exam[Total (%)],MATCH(All[[#This Row],[Student No.]],Exam[Student No.],0))), TRUE, FALSE)</f>
        <v>1</v>
      </c>
      <c r="X105" s="18" t="b">
        <f>IF(ISNUMBER(INDEX(#REF!,MATCH(All[[#This Row],[Student No.]],#REF!,0))),TRUE,FALSE)</f>
        <v>0</v>
      </c>
      <c r="Y105" s="18" t="b">
        <f>IF(ISNUMBER(INDEX(#REF!,MATCH(All[[#This Row],[Student No.]],#REF!,0))),TRUE,FALSE)</f>
        <v>0</v>
      </c>
      <c r="Z105" s="18" t="b">
        <f>IF(All[[#This Row],[Wrote Def]],
IF(INDEX(#REF!, MATCH(All[[#This Row],[Student No.]],#REF!,0))&lt;&gt;All[[#This Row],[Exam/Def]], TRUE, FALSE),
  IF(All[[#This Row],[Wrote Exam]], IF(INDEX(Exam[Total (%)], MATCH(All[[#This Row],[Student No.]],Exam[Student No.],0))&lt;&gt;All[[#This Row],[Exam/Def]],TRUE,FALSE), FALSE))</f>
        <v>0</v>
      </c>
      <c r="AA105" s="18" t="b">
        <f xml:space="preserve">    IF(AND(All[[#This Row],[Exam/Def]]&lt;35,OR(All[[#This Row],[Wrote Exam]],All[[#This Row],[Wrote Def]])), TRUE,FALSE)</f>
        <v>0</v>
      </c>
      <c r="AB105" s="18" t="b">
        <f>IF(AND(All[[#This Row],[Exam &lt; 35%]],All[[#This Row],[Final]]&gt;=50),TRUE,FALSE)</f>
        <v>0</v>
      </c>
      <c r="AC105" s="18"/>
    </row>
    <row r="106" spans="1:29" ht="43.2">
      <c r="A106" s="17" t="s">
        <v>373</v>
      </c>
      <c r="B106" s="17" t="s">
        <v>547</v>
      </c>
      <c r="C106" s="100" t="e">
        <f>IF(All[[#This Row],[Student]],
  IF(ISNA(INDEX(#REF!,MATCH(All[[#This Row],[Student No.]],#REF!,0))),
    "Cannot find student!",
    IF(INDEX(#REF!,MATCH(All[[#This Row],[Student No.]],#REF!,0))="",
      "",
      INDEX(#REF!,MATCH(All[[#This Row],[Student No.]],#REF!,0)))
    ),
  "No student!")</f>
        <v>#REF!</v>
      </c>
      <c r="D106"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06" s="18" t="str">
        <f>IF(All[[#This Row],[Student]],
  IF(ISNA(INDEX(Project[Total (%)],MATCH(All[[#This Row],[Student No.]],Project[Student No.],0))),
    "Cannot find student!",
    IF(INDEX(Project[Total (%)],MATCH(All[[#This Row],[Student No.]],Project[Student No.],0))="",
      "",
      INDEX(Project[Total (%)],MATCH(All[[#This Row],[Student No.]],Project[Student No.],0)))
    ),
  "No student!")</f>
        <v/>
      </c>
      <c r="F106" s="201">
        <f>IF(All[[#This Row],[Wrote Def]], INDEX(#REF!, MATCH(All[[#This Row],[Student No.]],#REF!,0)),
  IF(All[[#This Row],[Wrote Exam]], INDEX(Exam[Total (%)], MATCH(All[[#This Row],[Student No.]], Exam[Student No.],0)),
    ""))</f>
        <v>79</v>
      </c>
      <c r="G106" s="18" t="str">
        <f>IF(AND(All[[#This Row],[Student]], All[[#This Row],[All Components]]),
    IF(NOT(All[Has Test Mark]),ROUND((All[[#This Row],[Engagement]]*$C$5+All[[#This Row],[Project]]*$E$5+All[[#This Row],[Exam/Def]]*$F$5)/($C$5+$E$5+$F$5),0),
      ROUND((All[[#This Row],[Engagement]]*$C$5+All[[#This Row],[Test]]*$D$5+All[[#This Row],[Project]]*$E$5+All[[#This Row],[Exam/Def]]*$F$5)/($C$5+$D$5+$E$5+$F$5),0)
  ),
  "")</f>
        <v/>
      </c>
      <c r="H106" s="18" t="str">
        <f>All[[#This Row],[Course Mark]]</f>
        <v/>
      </c>
      <c r="I106" s="18" t="str">
        <f>IF(All[[#This Row],[Wrote Sup]], INDEX(#REF!,MATCH(All[[#This Row],[Student No.]],#REF!,0)), "")</f>
        <v/>
      </c>
      <c r="J106" s="18" t="str">
        <f>IF(AND(All[[#This Row],[Student]],ISNUMBER(All[[#This Row],[Final]])),_xlfn.RANK.EQ(All[[#This Row],[Final]],All[Final]),"")</f>
        <v/>
      </c>
      <c r="K106" s="31"/>
      <c r="L106" s="18" t="str">
        <f>IF(All[[#This Row],[Student]], IF(All[Wrote Sup],All[Sup],All[[#This Row],[Final]]),"No student")</f>
        <v/>
      </c>
      <c r="M106" s="18" t="str">
        <f>IF(All[[#This Row],[Final]]="","",
  IF(All[[#This Row],[Wrote Sup]],
    IF(All[[#This Row],[Sup]]&lt;50,"FAL","PAS"),
  IF(All[[#This Row],[Exam/Def]]&lt;35, "FSB",
    IF(All[[#This Row],[Final]]&lt;50,"FAL",
    IF(All[[#This Row],[Final]]&gt;=50,"PAS",
  "Error!")))))</f>
        <v/>
      </c>
      <c r="N106" s="18">
        <f>IF(All[[#This Row],[Student]], _xlfn.IFNA(INDEX(captured[Course Mark],MATCH(All[[#This Row],[Student No.]],captured[ID_TEXT],0) &amp; ""), "Cannot find student!"),"No student!")</f>
        <v>79</v>
      </c>
      <c r="O106" s="189" t="str">
        <f>IF(All[[#This Row],[Student]], _xlfn.IFNA(INDEX(captured[Grade],MATCH(All[[#This Row],[Student No.]],captured[ID_TEXT],0)), "Cannot find student!") &amp; "","No student!")</f>
        <v>PAS</v>
      </c>
      <c r="P106"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06" s="18" t="str">
        <f>IF(All[[#This Row],[My Grade]]&lt;&gt;"",IF(All[[#This Row],[My Grade]]&lt;&gt;All[[#This Row],[Cap Grade]],TRUE,FALSE),"")</f>
        <v/>
      </c>
      <c r="R106" s="18" t="b">
        <f>IF(NOT(ISBLANK(All[[#This Row],[Student No.]])),OR(ISNUMBER(FIND("FSB",All[[#This Row],[My Grade]])),ISNUMBER(FIND("PAS", All[[#This Row],[My Grade]])),ISNUMBER(FIND("FAL",All[[#This Row],[My Grade]])),ISNUMBER(FIND("FAB", All[[#This Row],[My Grade]])),COUNTBLANK(All[[#This Row],[My Grade]])=1),FALSE)</f>
        <v>1</v>
      </c>
      <c r="S106" s="18" t="b">
        <f>IF(All[[#This Row],[Student No.]]&lt;&gt;"", TRUE, FALSE)</f>
        <v>1</v>
      </c>
      <c r="T106" s="18" t="b">
        <f>IF(COUNTBLANK(All[[#This Row],[Engagement]:[Exam/Def]])=0,TRUE, FALSE)</f>
        <v>0</v>
      </c>
      <c r="U106" s="18" t="b">
        <f>IF(ISNUMBER(All[[#This Row],[Test]]),TRUE,FALSE)</f>
        <v>0</v>
      </c>
      <c r="V106" s="18" t="e">
        <f>IF((INDEX(Test[Total (%)],MATCH(All[[#This Row],[Student No.]],Test[Student No.],0)))="ABS", TRUE, FALSE)</f>
        <v>#N/A</v>
      </c>
      <c r="W106" s="18" t="b">
        <f>IF(ISNUMBER(INDEX(Exam[Total (%)],MATCH(All[[#This Row],[Student No.]],Exam[Student No.],0))), TRUE, FALSE)</f>
        <v>1</v>
      </c>
      <c r="X106" s="18" t="b">
        <f>IF(ISNUMBER(INDEX(#REF!,MATCH(All[[#This Row],[Student No.]],#REF!,0))),TRUE,FALSE)</f>
        <v>0</v>
      </c>
      <c r="Y106" s="18" t="b">
        <f>IF(ISNUMBER(INDEX(#REF!,MATCH(All[[#This Row],[Student No.]],#REF!,0))),TRUE,FALSE)</f>
        <v>0</v>
      </c>
      <c r="Z106" s="18" t="b">
        <f>IF(All[[#This Row],[Wrote Def]],
IF(INDEX(#REF!, MATCH(All[[#This Row],[Student No.]],#REF!,0))&lt;&gt;All[[#This Row],[Exam/Def]], TRUE, FALSE),
  IF(All[[#This Row],[Wrote Exam]], IF(INDEX(Exam[Total (%)], MATCH(All[[#This Row],[Student No.]],Exam[Student No.],0))&lt;&gt;All[[#This Row],[Exam/Def]],TRUE,FALSE), FALSE))</f>
        <v>0</v>
      </c>
      <c r="AA106" s="18" t="b">
        <f xml:space="preserve">    IF(AND(All[[#This Row],[Exam/Def]]&lt;35,OR(All[[#This Row],[Wrote Exam]],All[[#This Row],[Wrote Def]])), TRUE,FALSE)</f>
        <v>0</v>
      </c>
      <c r="AB106" s="18" t="b">
        <f>IF(AND(All[[#This Row],[Exam &lt; 35%]],All[[#This Row],[Final]]&gt;=50),TRUE,FALSE)</f>
        <v>0</v>
      </c>
      <c r="AC106" s="18"/>
    </row>
    <row r="107" spans="1:29" ht="43.2">
      <c r="A107" s="17" t="s">
        <v>374</v>
      </c>
      <c r="B107" s="17" t="s">
        <v>548</v>
      </c>
      <c r="C107" s="100" t="e">
        <f>IF(All[[#This Row],[Student]],
  IF(ISNA(INDEX(#REF!,MATCH(All[[#This Row],[Student No.]],#REF!,0))),
    "Cannot find student!",
    IF(INDEX(#REF!,MATCH(All[[#This Row],[Student No.]],#REF!,0))="",
      "",
      INDEX(#REF!,MATCH(All[[#This Row],[Student No.]],#REF!,0)))
    ),
  "No student!")</f>
        <v>#REF!</v>
      </c>
      <c r="D107"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07" s="18" t="str">
        <f>IF(All[[#This Row],[Student]],
  IF(ISNA(INDEX(Project[Total (%)],MATCH(All[[#This Row],[Student No.]],Project[Student No.],0))),
    "Cannot find student!",
    IF(INDEX(Project[Total (%)],MATCH(All[[#This Row],[Student No.]],Project[Student No.],0))="",
      "",
      INDEX(Project[Total (%)],MATCH(All[[#This Row],[Student No.]],Project[Student No.],0)))
    ),
  "No student!")</f>
        <v/>
      </c>
      <c r="F107" s="201">
        <f>IF(All[[#This Row],[Wrote Def]], INDEX(#REF!, MATCH(All[[#This Row],[Student No.]],#REF!,0)),
  IF(All[[#This Row],[Wrote Exam]], INDEX(Exam[Total (%)], MATCH(All[[#This Row],[Student No.]], Exam[Student No.],0)),
    ""))</f>
        <v>39</v>
      </c>
      <c r="G107" s="18" t="str">
        <f>IF(AND(All[[#This Row],[Student]], All[[#This Row],[All Components]]),
    IF(NOT(All[Has Test Mark]),ROUND((All[[#This Row],[Engagement]]*$C$5+All[[#This Row],[Project]]*$E$5+All[[#This Row],[Exam/Def]]*$F$5)/($C$5+$E$5+$F$5),0),
      ROUND((All[[#This Row],[Engagement]]*$C$5+All[[#This Row],[Test]]*$D$5+All[[#This Row],[Project]]*$E$5+All[[#This Row],[Exam/Def]]*$F$5)/($C$5+$D$5+$E$5+$F$5),0)
  ),
  "")</f>
        <v/>
      </c>
      <c r="H107" s="18" t="str">
        <f>All[[#This Row],[Course Mark]]</f>
        <v/>
      </c>
      <c r="I107" s="18" t="str">
        <f>IF(All[[#This Row],[Wrote Sup]], INDEX(#REF!,MATCH(All[[#This Row],[Student No.]],#REF!,0)), "")</f>
        <v/>
      </c>
      <c r="J107" s="18" t="str">
        <f>IF(AND(All[[#This Row],[Student]],ISNUMBER(All[[#This Row],[Final]])),_xlfn.RANK.EQ(All[[#This Row],[Final]],All[Final]),"")</f>
        <v/>
      </c>
      <c r="K107" s="31"/>
      <c r="L107" s="18" t="str">
        <f>IF(All[[#This Row],[Student]], IF(All[Wrote Sup],All[Sup],All[[#This Row],[Final]]),"No student")</f>
        <v/>
      </c>
      <c r="M107" s="18" t="str">
        <f>IF(All[[#This Row],[Final]]="","",
  IF(All[[#This Row],[Wrote Sup]],
    IF(All[[#This Row],[Sup]]&lt;50,"FAL","PAS"),
  IF(All[[#This Row],[Exam/Def]]&lt;35, "FSB",
    IF(All[[#This Row],[Final]]&lt;50,"FAL",
    IF(All[[#This Row],[Final]]&gt;=50,"PAS",
  "Error!")))))</f>
        <v/>
      </c>
      <c r="N107" s="18">
        <f>IF(All[[#This Row],[Student]], _xlfn.IFNA(INDEX(captured[Course Mark],MATCH(All[[#This Row],[Student No.]],captured[ID_TEXT],0) &amp; ""), "Cannot find student!"),"No student!")</f>
        <v>52</v>
      </c>
      <c r="O107" s="189" t="str">
        <f>IF(All[[#This Row],[Student]], _xlfn.IFNA(INDEX(captured[Grade],MATCH(All[[#This Row],[Student No.]],captured[ID_TEXT],0)), "Cannot find student!") &amp; "","No student!")</f>
        <v>PAS</v>
      </c>
      <c r="P107"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07" s="18" t="str">
        <f>IF(All[[#This Row],[My Grade]]&lt;&gt;"",IF(All[[#This Row],[My Grade]]&lt;&gt;All[[#This Row],[Cap Grade]],TRUE,FALSE),"")</f>
        <v/>
      </c>
      <c r="R107" s="18" t="b">
        <f>IF(NOT(ISBLANK(All[[#This Row],[Student No.]])),OR(ISNUMBER(FIND("FSB",All[[#This Row],[My Grade]])),ISNUMBER(FIND("PAS", All[[#This Row],[My Grade]])),ISNUMBER(FIND("FAL",All[[#This Row],[My Grade]])),ISNUMBER(FIND("FAB", All[[#This Row],[My Grade]])),COUNTBLANK(All[[#This Row],[My Grade]])=1),FALSE)</f>
        <v>1</v>
      </c>
      <c r="S107" s="18" t="b">
        <f>IF(All[[#This Row],[Student No.]]&lt;&gt;"", TRUE, FALSE)</f>
        <v>1</v>
      </c>
      <c r="T107" s="18" t="b">
        <f>IF(COUNTBLANK(All[[#This Row],[Engagement]:[Exam/Def]])=0,TRUE, FALSE)</f>
        <v>0</v>
      </c>
      <c r="U107" s="18" t="b">
        <f>IF(ISNUMBER(All[[#This Row],[Test]]),TRUE,FALSE)</f>
        <v>0</v>
      </c>
      <c r="V107" s="18" t="e">
        <f>IF((INDEX(Test[Total (%)],MATCH(All[[#This Row],[Student No.]],Test[Student No.],0)))="ABS", TRUE, FALSE)</f>
        <v>#N/A</v>
      </c>
      <c r="W107" s="18" t="b">
        <f>IF(ISNUMBER(INDEX(Exam[Total (%)],MATCH(All[[#This Row],[Student No.]],Exam[Student No.],0))), TRUE, FALSE)</f>
        <v>1</v>
      </c>
      <c r="X107" s="18" t="b">
        <f>IF(ISNUMBER(INDEX(#REF!,MATCH(All[[#This Row],[Student No.]],#REF!,0))),TRUE,FALSE)</f>
        <v>0</v>
      </c>
      <c r="Y107" s="18" t="b">
        <f>IF(ISNUMBER(INDEX(#REF!,MATCH(All[[#This Row],[Student No.]],#REF!,0))),TRUE,FALSE)</f>
        <v>0</v>
      </c>
      <c r="Z107" s="18" t="b">
        <f>IF(All[[#This Row],[Wrote Def]],
IF(INDEX(#REF!, MATCH(All[[#This Row],[Student No.]],#REF!,0))&lt;&gt;All[[#This Row],[Exam/Def]], TRUE, FALSE),
  IF(All[[#This Row],[Wrote Exam]], IF(INDEX(Exam[Total (%)], MATCH(All[[#This Row],[Student No.]],Exam[Student No.],0))&lt;&gt;All[[#This Row],[Exam/Def]],TRUE,FALSE), FALSE))</f>
        <v>0</v>
      </c>
      <c r="AA107" s="18" t="b">
        <f xml:space="preserve">    IF(AND(All[[#This Row],[Exam/Def]]&lt;35,OR(All[[#This Row],[Wrote Exam]],All[[#This Row],[Wrote Def]])), TRUE,FALSE)</f>
        <v>0</v>
      </c>
      <c r="AB107" s="18" t="b">
        <f>IF(AND(All[[#This Row],[Exam &lt; 35%]],All[[#This Row],[Final]]&gt;=50),TRUE,FALSE)</f>
        <v>0</v>
      </c>
      <c r="AC107" s="18"/>
    </row>
    <row r="108" spans="1:29">
      <c r="A108" s="17" t="s">
        <v>375</v>
      </c>
      <c r="B108" s="17" t="s">
        <v>549</v>
      </c>
      <c r="C108" s="100" t="e">
        <f>IF(All[[#This Row],[Student]],
  IF(ISNA(INDEX(#REF!,MATCH(All[[#This Row],[Student No.]],#REF!,0))),
    "Cannot find student!",
    IF(INDEX(#REF!,MATCH(All[[#This Row],[Student No.]],#REF!,0))="",
      "",
      INDEX(#REF!,MATCH(All[[#This Row],[Student No.]],#REF!,0)))
    ),
  "No student!")</f>
        <v>#REF!</v>
      </c>
      <c r="D108"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08" s="18" t="str">
        <f>IF(All[[#This Row],[Student]],
  IF(ISNA(INDEX(Project[Total (%)],MATCH(All[[#This Row],[Student No.]],Project[Student No.],0))),
    "Cannot find student!",
    IF(INDEX(Project[Total (%)],MATCH(All[[#This Row],[Student No.]],Project[Student No.],0))="",
      "",
      INDEX(Project[Total (%)],MATCH(All[[#This Row],[Student No.]],Project[Student No.],0)))
    ),
  "No student!")</f>
        <v/>
      </c>
      <c r="F108" s="201">
        <f>IF(All[[#This Row],[Wrote Def]], INDEX(#REF!, MATCH(All[[#This Row],[Student No.]],#REF!,0)),
  IF(All[[#This Row],[Wrote Exam]], INDEX(Exam[Total (%)], MATCH(All[[#This Row],[Student No.]], Exam[Student No.],0)),
    ""))</f>
        <v>41</v>
      </c>
      <c r="G108" s="18" t="str">
        <f>IF(AND(All[[#This Row],[Student]], All[[#This Row],[All Components]]),
    IF(NOT(All[Has Test Mark]),ROUND((All[[#This Row],[Engagement]]*$C$5+All[[#This Row],[Project]]*$E$5+All[[#This Row],[Exam/Def]]*$F$5)/($C$5+$E$5+$F$5),0),
      ROUND((All[[#This Row],[Engagement]]*$C$5+All[[#This Row],[Test]]*$D$5+All[[#This Row],[Project]]*$E$5+All[[#This Row],[Exam/Def]]*$F$5)/($C$5+$D$5+$E$5+$F$5),0)
  ),
  "")</f>
        <v/>
      </c>
      <c r="H108" s="18" t="str">
        <f>All[[#This Row],[Course Mark]]</f>
        <v/>
      </c>
      <c r="I108" s="18" t="str">
        <f>IF(All[[#This Row],[Wrote Sup]], INDEX(#REF!,MATCH(All[[#This Row],[Student No.]],#REF!,0)), "")</f>
        <v/>
      </c>
      <c r="J108" s="18" t="str">
        <f>IF(AND(All[[#This Row],[Student]],ISNUMBER(All[[#This Row],[Final]])),_xlfn.RANK.EQ(All[[#This Row],[Final]],All[Final]),"")</f>
        <v/>
      </c>
      <c r="K108" s="31"/>
      <c r="L108" s="18" t="str">
        <f>IF(All[[#This Row],[Student]], IF(All[Wrote Sup],All[Sup],All[[#This Row],[Final]]),"No student")</f>
        <v/>
      </c>
      <c r="M108" s="18" t="str">
        <f>IF(All[[#This Row],[Final]]="","",
  IF(All[[#This Row],[Wrote Sup]],
    IF(All[[#This Row],[Sup]]&lt;50,"FAL","PAS"),
  IF(All[[#This Row],[Exam/Def]]&lt;35, "FSB",
    IF(All[[#This Row],[Final]]&lt;50,"FAL",
    IF(All[[#This Row],[Final]]&gt;=50,"PAS",
  "Error!")))))</f>
        <v/>
      </c>
      <c r="N108" s="18">
        <f>IF(All[[#This Row],[Student]], _xlfn.IFNA(INDEX(captured[Course Mark],MATCH(All[[#This Row],[Student No.]],captured[ID_TEXT],0) &amp; ""), "Cannot find student!"),"No student!")</f>
        <v>42</v>
      </c>
      <c r="O108" s="189" t="str">
        <f>IF(All[[#This Row],[Student]], _xlfn.IFNA(INDEX(captured[Grade],MATCH(All[[#This Row],[Student No.]],captured[ID_TEXT],0)), "Cannot find student!") &amp; "","No student!")</f>
        <v/>
      </c>
      <c r="P108"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08" s="18" t="str">
        <f>IF(All[[#This Row],[My Grade]]&lt;&gt;"",IF(All[[#This Row],[My Grade]]&lt;&gt;All[[#This Row],[Cap Grade]],TRUE,FALSE),"")</f>
        <v/>
      </c>
      <c r="R108" s="18" t="b">
        <f>IF(NOT(ISBLANK(All[[#This Row],[Student No.]])),OR(ISNUMBER(FIND("FSB",All[[#This Row],[My Grade]])),ISNUMBER(FIND("PAS", All[[#This Row],[My Grade]])),ISNUMBER(FIND("FAL",All[[#This Row],[My Grade]])),ISNUMBER(FIND("FAB", All[[#This Row],[My Grade]])),COUNTBLANK(All[[#This Row],[My Grade]])=1),FALSE)</f>
        <v>1</v>
      </c>
      <c r="S108" s="18" t="b">
        <f>IF(All[[#This Row],[Student No.]]&lt;&gt;"", TRUE, FALSE)</f>
        <v>1</v>
      </c>
      <c r="T108" s="18" t="b">
        <f>IF(COUNTBLANK(All[[#This Row],[Engagement]:[Exam/Def]])=0,TRUE, FALSE)</f>
        <v>0</v>
      </c>
      <c r="U108" s="18" t="b">
        <f>IF(ISNUMBER(All[[#This Row],[Test]]),TRUE,FALSE)</f>
        <v>0</v>
      </c>
      <c r="V108" s="18" t="b">
        <f>IF((INDEX(Test[Total (%)],MATCH(All[[#This Row],[Student No.]],Test[Student No.],0)))="ABS", TRUE, FALSE)</f>
        <v>0</v>
      </c>
      <c r="W108" s="18" t="b">
        <f>IF(ISNUMBER(INDEX(Exam[Total (%)],MATCH(All[[#This Row],[Student No.]],Exam[Student No.],0))), TRUE, FALSE)</f>
        <v>1</v>
      </c>
      <c r="X108" s="18" t="b">
        <f>IF(ISNUMBER(INDEX(#REF!,MATCH(All[[#This Row],[Student No.]],#REF!,0))),TRUE,FALSE)</f>
        <v>0</v>
      </c>
      <c r="Y108" s="18" t="b">
        <f>IF(ISNUMBER(INDEX(#REF!,MATCH(All[[#This Row],[Student No.]],#REF!,0))),TRUE,FALSE)</f>
        <v>0</v>
      </c>
      <c r="Z108" s="18" t="b">
        <f>IF(All[[#This Row],[Wrote Def]],
IF(INDEX(#REF!, MATCH(All[[#This Row],[Student No.]],#REF!,0))&lt;&gt;All[[#This Row],[Exam/Def]], TRUE, FALSE),
  IF(All[[#This Row],[Wrote Exam]], IF(INDEX(Exam[Total (%)], MATCH(All[[#This Row],[Student No.]],Exam[Student No.],0))&lt;&gt;All[[#This Row],[Exam/Def]],TRUE,FALSE), FALSE))</f>
        <v>0</v>
      </c>
      <c r="AA108" s="18" t="b">
        <f xml:space="preserve">    IF(AND(All[[#This Row],[Exam/Def]]&lt;35,OR(All[[#This Row],[Wrote Exam]],All[[#This Row],[Wrote Def]])), TRUE,FALSE)</f>
        <v>0</v>
      </c>
      <c r="AB108" s="18" t="b">
        <f>IF(AND(All[[#This Row],[Exam &lt; 35%]],All[[#This Row],[Final]]&gt;=50),TRUE,FALSE)</f>
        <v>0</v>
      </c>
      <c r="AC108" s="18"/>
    </row>
    <row r="109" spans="1:29">
      <c r="A109" s="17" t="s">
        <v>376</v>
      </c>
      <c r="B109" s="17" t="s">
        <v>550</v>
      </c>
      <c r="C109" s="100" t="e">
        <f>IF(All[[#This Row],[Student]],
  IF(ISNA(INDEX(#REF!,MATCH(All[[#This Row],[Student No.]],#REF!,0))),
    "Cannot find student!",
    IF(INDEX(#REF!,MATCH(All[[#This Row],[Student No.]],#REF!,0))="",
      "",
      INDEX(#REF!,MATCH(All[[#This Row],[Student No.]],#REF!,0)))
    ),
  "No student!")</f>
        <v>#REF!</v>
      </c>
      <c r="D109"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09" s="18" t="str">
        <f>IF(All[[#This Row],[Student]],
  IF(ISNA(INDEX(Project[Total (%)],MATCH(All[[#This Row],[Student No.]],Project[Student No.],0))),
    "Cannot find student!",
    IF(INDEX(Project[Total (%)],MATCH(All[[#This Row],[Student No.]],Project[Student No.],0))="",
      "",
      INDEX(Project[Total (%)],MATCH(All[[#This Row],[Student No.]],Project[Student No.],0)))
    ),
  "No student!")</f>
        <v/>
      </c>
      <c r="F109" s="201" t="str">
        <f>IF(All[[#This Row],[Wrote Def]], INDEX(#REF!, MATCH(All[[#This Row],[Student No.]],#REF!,0)),
  IF(All[[#This Row],[Wrote Exam]], INDEX(Exam[Total (%)], MATCH(All[[#This Row],[Student No.]], Exam[Student No.],0)),
    ""))</f>
        <v/>
      </c>
      <c r="G109" s="18" t="str">
        <f>IF(AND(All[[#This Row],[Student]], All[[#This Row],[All Components]]),
    IF(NOT(All[Has Test Mark]),ROUND((All[[#This Row],[Engagement]]*$C$5+All[[#This Row],[Project]]*$E$5+All[[#This Row],[Exam/Def]]*$F$5)/($C$5+$E$5+$F$5),0),
      ROUND((All[[#This Row],[Engagement]]*$C$5+All[[#This Row],[Test]]*$D$5+All[[#This Row],[Project]]*$E$5+All[[#This Row],[Exam/Def]]*$F$5)/($C$5+$D$5+$E$5+$F$5),0)
  ),
  "")</f>
        <v/>
      </c>
      <c r="H109" s="18" t="str">
        <f>All[[#This Row],[Course Mark]]</f>
        <v/>
      </c>
      <c r="I109" s="18" t="str">
        <f>IF(All[[#This Row],[Wrote Sup]], INDEX(#REF!,MATCH(All[[#This Row],[Student No.]],#REF!,0)), "")</f>
        <v/>
      </c>
      <c r="J109" s="18" t="str">
        <f>IF(AND(All[[#This Row],[Student]],ISNUMBER(All[[#This Row],[Final]])),_xlfn.RANK.EQ(All[[#This Row],[Final]],All[Final]),"")</f>
        <v/>
      </c>
      <c r="K109" s="31"/>
      <c r="L109" s="18" t="str">
        <f>IF(All[[#This Row],[Student]], IF(All[Wrote Sup],All[Sup],All[[#This Row],[Final]]),"No student")</f>
        <v/>
      </c>
      <c r="M109" s="18" t="str">
        <f>IF(All[[#This Row],[Final]]="","",
  IF(All[[#This Row],[Wrote Sup]],
    IF(All[[#This Row],[Sup]]&lt;50,"FAL","PAS"),
  IF(All[[#This Row],[Exam/Def]]&lt;35, "FSB",
    IF(All[[#This Row],[Final]]&lt;50,"FAL",
    IF(All[[#This Row],[Final]]&gt;=50,"PAS",
  "Error!")))))</f>
        <v/>
      </c>
      <c r="N109" s="18" t="str">
        <f>IF(All[[#This Row],[Student]], _xlfn.IFNA(INDEX(captured[Course Mark],MATCH(All[[#This Row],[Student No.]],captured[ID_TEXT],0) &amp; ""), "Cannot find student!"),"No student!")</f>
        <v>FABS</v>
      </c>
      <c r="O109" s="189" t="str">
        <f>IF(All[[#This Row],[Student]], _xlfn.IFNA(INDEX(captured[Grade],MATCH(All[[#This Row],[Student No.]],captured[ID_TEXT],0)), "Cannot find student!") &amp; "","No student!")</f>
        <v>FAB</v>
      </c>
      <c r="P109" s="18" t="b">
        <f xml:space="preserve"> IF(AND(ISNUMBER(All[[#This Row],[Cap Mark]]), ISNUMBER(All[[#This Row],[My Mark]])), ABS(All[[#This Row],[Cap Mark]] - All[[#This Row],[My Mark]]) &lt;&gt; 0,
    IF(AND(ISNUMBER(All[[#This Row],[My Mark]]),NOT(ISNUMBER(All[[#This Row],[Cap Mark]]))),TRUE,
    IF(AND(ISNUMBER(All[[#This Row],[Cap Mark]]),NOT(ISNUMBER(All[[#This Row],[My Mark]]))),TRUE,FALSE)
    ))</f>
        <v>0</v>
      </c>
      <c r="Q109" s="18" t="str">
        <f>IF(All[[#This Row],[My Grade]]&lt;&gt;"",IF(All[[#This Row],[My Grade]]&lt;&gt;All[[#This Row],[Cap Grade]],TRUE,FALSE),"")</f>
        <v/>
      </c>
      <c r="R109" s="18" t="b">
        <f>IF(NOT(ISBLANK(All[[#This Row],[Student No.]])),OR(ISNUMBER(FIND("FSB",All[[#This Row],[My Grade]])),ISNUMBER(FIND("PAS", All[[#This Row],[My Grade]])),ISNUMBER(FIND("FAL",All[[#This Row],[My Grade]])),ISNUMBER(FIND("FAB", All[[#This Row],[My Grade]])),COUNTBLANK(All[[#This Row],[My Grade]])=1),FALSE)</f>
        <v>1</v>
      </c>
      <c r="S109" s="18" t="b">
        <f>IF(All[[#This Row],[Student No.]]&lt;&gt;"", TRUE, FALSE)</f>
        <v>1</v>
      </c>
      <c r="T109" s="18" t="b">
        <f>IF(COUNTBLANK(All[[#This Row],[Engagement]:[Exam/Def]])=0,TRUE, FALSE)</f>
        <v>0</v>
      </c>
      <c r="U109" s="18" t="b">
        <f>IF(ISNUMBER(All[[#This Row],[Test]]),TRUE,FALSE)</f>
        <v>0</v>
      </c>
      <c r="V109" s="18" t="b">
        <f>IF((INDEX(Test[Total (%)],MATCH(All[[#This Row],[Student No.]],Test[Student No.],0)))="ABS", TRUE, FALSE)</f>
        <v>0</v>
      </c>
      <c r="W109" s="18" t="b">
        <f>IF(ISNUMBER(INDEX(Exam[Total (%)],MATCH(All[[#This Row],[Student No.]],Exam[Student No.],0))), TRUE, FALSE)</f>
        <v>0</v>
      </c>
      <c r="X109" s="18" t="b">
        <f>IF(ISNUMBER(INDEX(#REF!,MATCH(All[[#This Row],[Student No.]],#REF!,0))),TRUE,FALSE)</f>
        <v>0</v>
      </c>
      <c r="Y109" s="18" t="b">
        <f>IF(ISNUMBER(INDEX(#REF!,MATCH(All[[#This Row],[Student No.]],#REF!,0))),TRUE,FALSE)</f>
        <v>0</v>
      </c>
      <c r="Z109" s="18" t="b">
        <f>IF(All[[#This Row],[Wrote Def]],
IF(INDEX(#REF!, MATCH(All[[#This Row],[Student No.]],#REF!,0))&lt;&gt;All[[#This Row],[Exam/Def]], TRUE, FALSE),
  IF(All[[#This Row],[Wrote Exam]], IF(INDEX(Exam[Total (%)], MATCH(All[[#This Row],[Student No.]],Exam[Student No.],0))&lt;&gt;All[[#This Row],[Exam/Def]],TRUE,FALSE), FALSE))</f>
        <v>0</v>
      </c>
      <c r="AA109" s="18" t="b">
        <f xml:space="preserve">    IF(AND(All[[#This Row],[Exam/Def]]&lt;35,OR(All[[#This Row],[Wrote Exam]],All[[#This Row],[Wrote Def]])), TRUE,FALSE)</f>
        <v>0</v>
      </c>
      <c r="AB109" s="18" t="b">
        <f>IF(AND(All[[#This Row],[Exam &lt; 35%]],All[[#This Row],[Final]]&gt;=50),TRUE,FALSE)</f>
        <v>0</v>
      </c>
      <c r="AC109" s="18"/>
    </row>
    <row r="110" spans="1:29">
      <c r="A110" s="17" t="s">
        <v>377</v>
      </c>
      <c r="B110" s="17" t="s">
        <v>551</v>
      </c>
      <c r="C110" s="100" t="e">
        <f>IF(All[[#This Row],[Student]],
  IF(ISNA(INDEX(#REF!,MATCH(All[[#This Row],[Student No.]],#REF!,0))),
    "Cannot find student!",
    IF(INDEX(#REF!,MATCH(All[[#This Row],[Student No.]],#REF!,0))="",
      "",
      INDEX(#REF!,MATCH(All[[#This Row],[Student No.]],#REF!,0)))
    ),
  "No student!")</f>
        <v>#REF!</v>
      </c>
      <c r="D110"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10" s="18" t="str">
        <f>IF(All[[#This Row],[Student]],
  IF(ISNA(INDEX(Project[Total (%)],MATCH(All[[#This Row],[Student No.]],Project[Student No.],0))),
    "Cannot find student!",
    IF(INDEX(Project[Total (%)],MATCH(All[[#This Row],[Student No.]],Project[Student No.],0))="",
      "",
      INDEX(Project[Total (%)],MATCH(All[[#This Row],[Student No.]],Project[Student No.],0)))
    ),
  "No student!")</f>
        <v/>
      </c>
      <c r="F110" s="201">
        <f>IF(All[[#This Row],[Wrote Def]], INDEX(#REF!, MATCH(All[[#This Row],[Student No.]],#REF!,0)),
  IF(All[[#This Row],[Wrote Exam]], INDEX(Exam[Total (%)], MATCH(All[[#This Row],[Student No.]], Exam[Student No.],0)),
    ""))</f>
        <v>22</v>
      </c>
      <c r="G110" s="18" t="str">
        <f>IF(AND(All[[#This Row],[Student]], All[[#This Row],[All Components]]),
    IF(NOT(All[Has Test Mark]),ROUND((All[[#This Row],[Engagement]]*$C$5+All[[#This Row],[Project]]*$E$5+All[[#This Row],[Exam/Def]]*$F$5)/($C$5+$E$5+$F$5),0),
      ROUND((All[[#This Row],[Engagement]]*$C$5+All[[#This Row],[Test]]*$D$5+All[[#This Row],[Project]]*$E$5+All[[#This Row],[Exam/Def]]*$F$5)/($C$5+$D$5+$E$5+$F$5),0)
  ),
  "")</f>
        <v/>
      </c>
      <c r="H110" s="18" t="str">
        <f>All[[#This Row],[Course Mark]]</f>
        <v/>
      </c>
      <c r="I110" s="18" t="str">
        <f>IF(All[[#This Row],[Wrote Sup]], INDEX(#REF!,MATCH(All[[#This Row],[Student No.]],#REF!,0)), "")</f>
        <v/>
      </c>
      <c r="J110" s="18" t="str">
        <f>IF(AND(All[[#This Row],[Student]],ISNUMBER(All[[#This Row],[Final]])),_xlfn.RANK.EQ(All[[#This Row],[Final]],All[Final]),"")</f>
        <v/>
      </c>
      <c r="K110" s="31"/>
      <c r="L110" s="18" t="str">
        <f>IF(All[[#This Row],[Student]], IF(All[Wrote Sup],All[Sup],All[[#This Row],[Final]]),"No student")</f>
        <v/>
      </c>
      <c r="M110" s="18" t="str">
        <f>IF(All[[#This Row],[Final]]="","",
  IF(All[[#This Row],[Wrote Sup]],
    IF(All[[#This Row],[Sup]]&lt;50,"FAL","PAS"),
  IF(All[[#This Row],[Exam/Def]]&lt;35, "FSB",
    IF(All[[#This Row],[Final]]&lt;50,"FAL",
    IF(All[[#This Row],[Final]]&gt;=50,"PAS",
  "Error!")))))</f>
        <v/>
      </c>
      <c r="N110" s="18">
        <f>IF(All[[#This Row],[Student]], _xlfn.IFNA(INDEX(captured[Course Mark],MATCH(All[[#This Row],[Student No.]],captured[ID_TEXT],0) &amp; ""), "Cannot find student!"),"No student!")</f>
        <v>20</v>
      </c>
      <c r="O110" s="189" t="str">
        <f>IF(All[[#This Row],[Student]], _xlfn.IFNA(INDEX(captured[Grade],MATCH(All[[#This Row],[Student No.]],captured[ID_TEXT],0)), "Cannot find student!") &amp; "","No student!")</f>
        <v>FAB</v>
      </c>
      <c r="P110"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10" s="18" t="str">
        <f>IF(All[[#This Row],[My Grade]]&lt;&gt;"",IF(All[[#This Row],[My Grade]]&lt;&gt;All[[#This Row],[Cap Grade]],TRUE,FALSE),"")</f>
        <v/>
      </c>
      <c r="R110" s="18" t="b">
        <f>IF(NOT(ISBLANK(All[[#This Row],[Student No.]])),OR(ISNUMBER(FIND("FSB",All[[#This Row],[My Grade]])),ISNUMBER(FIND("PAS", All[[#This Row],[My Grade]])),ISNUMBER(FIND("FAL",All[[#This Row],[My Grade]])),ISNUMBER(FIND("FAB", All[[#This Row],[My Grade]])),COUNTBLANK(All[[#This Row],[My Grade]])=1),FALSE)</f>
        <v>1</v>
      </c>
      <c r="S110" s="18" t="b">
        <f>IF(All[[#This Row],[Student No.]]&lt;&gt;"", TRUE, FALSE)</f>
        <v>1</v>
      </c>
      <c r="T110" s="18" t="b">
        <f>IF(COUNTBLANK(All[[#This Row],[Engagement]:[Exam/Def]])=0,TRUE, FALSE)</f>
        <v>0</v>
      </c>
      <c r="U110" s="18" t="b">
        <f>IF(ISNUMBER(All[[#This Row],[Test]]),TRUE,FALSE)</f>
        <v>0</v>
      </c>
      <c r="V110" s="18" t="b">
        <f>IF((INDEX(Test[Total (%)],MATCH(All[[#This Row],[Student No.]],Test[Student No.],0)))="ABS", TRUE, FALSE)</f>
        <v>0</v>
      </c>
      <c r="W110" s="18" t="b">
        <f>IF(ISNUMBER(INDEX(Exam[Total (%)],MATCH(All[[#This Row],[Student No.]],Exam[Student No.],0))), TRUE, FALSE)</f>
        <v>1</v>
      </c>
      <c r="X110" s="18" t="b">
        <f>IF(ISNUMBER(INDEX(#REF!,MATCH(All[[#This Row],[Student No.]],#REF!,0))),TRUE,FALSE)</f>
        <v>0</v>
      </c>
      <c r="Y110" s="18" t="b">
        <f>IF(ISNUMBER(INDEX(#REF!,MATCH(All[[#This Row],[Student No.]],#REF!,0))),TRUE,FALSE)</f>
        <v>0</v>
      </c>
      <c r="Z110" s="18" t="b">
        <f>IF(All[[#This Row],[Wrote Def]],
IF(INDEX(#REF!, MATCH(All[[#This Row],[Student No.]],#REF!,0))&lt;&gt;All[[#This Row],[Exam/Def]], TRUE, FALSE),
  IF(All[[#This Row],[Wrote Exam]], IF(INDEX(Exam[Total (%)], MATCH(All[[#This Row],[Student No.]],Exam[Student No.],0))&lt;&gt;All[[#This Row],[Exam/Def]],TRUE,FALSE), FALSE))</f>
        <v>0</v>
      </c>
      <c r="AA110" s="18" t="b">
        <f xml:space="preserve">    IF(AND(All[[#This Row],[Exam/Def]]&lt;35,OR(All[[#This Row],[Wrote Exam]],All[[#This Row],[Wrote Def]])), TRUE,FALSE)</f>
        <v>1</v>
      </c>
      <c r="AB110" s="18" t="b">
        <f>IF(AND(All[[#This Row],[Exam &lt; 35%]],All[[#This Row],[Final]]&gt;=50),TRUE,FALSE)</f>
        <v>1</v>
      </c>
      <c r="AC110" s="18"/>
    </row>
    <row r="111" spans="1:29">
      <c r="A111" s="17" t="s">
        <v>378</v>
      </c>
      <c r="B111" s="17" t="s">
        <v>552</v>
      </c>
      <c r="C111" s="100" t="e">
        <f>IF(All[[#This Row],[Student]],
  IF(ISNA(INDEX(#REF!,MATCH(All[[#This Row],[Student No.]],#REF!,0))),
    "Cannot find student!",
    IF(INDEX(#REF!,MATCH(All[[#This Row],[Student No.]],#REF!,0))="",
      "",
      INDEX(#REF!,MATCH(All[[#This Row],[Student No.]],#REF!,0)))
    ),
  "No student!")</f>
        <v>#REF!</v>
      </c>
      <c r="D111"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11" s="18" t="str">
        <f>IF(All[[#This Row],[Student]],
  IF(ISNA(INDEX(Project[Total (%)],MATCH(All[[#This Row],[Student No.]],Project[Student No.],0))),
    "Cannot find student!",
    IF(INDEX(Project[Total (%)],MATCH(All[[#This Row],[Student No.]],Project[Student No.],0))="",
      "",
      INDEX(Project[Total (%)],MATCH(All[[#This Row],[Student No.]],Project[Student No.],0)))
    ),
  "No student!")</f>
        <v/>
      </c>
      <c r="F111" s="201">
        <f>IF(All[[#This Row],[Wrote Def]], INDEX(#REF!, MATCH(All[[#This Row],[Student No.]],#REF!,0)),
  IF(All[[#This Row],[Wrote Exam]], INDEX(Exam[Total (%)], MATCH(All[[#This Row],[Student No.]], Exam[Student No.],0)),
    ""))</f>
        <v>31</v>
      </c>
      <c r="G111" s="18" t="str">
        <f>IF(AND(All[[#This Row],[Student]], All[[#This Row],[All Components]]),
    IF(NOT(All[Has Test Mark]),ROUND((All[[#This Row],[Engagement]]*$C$5+All[[#This Row],[Project]]*$E$5+All[[#This Row],[Exam/Def]]*$F$5)/($C$5+$E$5+$F$5),0),
      ROUND((All[[#This Row],[Engagement]]*$C$5+All[[#This Row],[Test]]*$D$5+All[[#This Row],[Project]]*$E$5+All[[#This Row],[Exam/Def]]*$F$5)/($C$5+$D$5+$E$5+$F$5),0)
  ),
  "")</f>
        <v/>
      </c>
      <c r="H111" s="18" t="str">
        <f>All[[#This Row],[Course Mark]]</f>
        <v/>
      </c>
      <c r="I111" s="18" t="str">
        <f>IF(All[[#This Row],[Wrote Sup]], INDEX(#REF!,MATCH(All[[#This Row],[Student No.]],#REF!,0)), "")</f>
        <v/>
      </c>
      <c r="J111" s="18" t="str">
        <f>IF(AND(All[[#This Row],[Student]],ISNUMBER(All[[#This Row],[Final]])),_xlfn.RANK.EQ(All[[#This Row],[Final]],All[Final]),"")</f>
        <v/>
      </c>
      <c r="K111" s="31"/>
      <c r="L111" s="18" t="str">
        <f>IF(All[[#This Row],[Student]], IF(All[Wrote Sup],All[Sup],All[[#This Row],[Final]]),"No student")</f>
        <v/>
      </c>
      <c r="M111" s="18" t="str">
        <f>IF(All[[#This Row],[Final]]="","",
  IF(All[[#This Row],[Wrote Sup]],
    IF(All[[#This Row],[Sup]]&lt;50,"FAL","PAS"),
  IF(All[[#This Row],[Exam/Def]]&lt;35, "FSB",
    IF(All[[#This Row],[Final]]&lt;50,"FAL",
    IF(All[[#This Row],[Final]]&gt;=50,"PAS",
  "Error!")))))</f>
        <v/>
      </c>
      <c r="N111" s="18">
        <f>IF(All[[#This Row],[Student]], _xlfn.IFNA(INDEX(captured[Course Mark],MATCH(All[[#This Row],[Student No.]],captured[ID_TEXT],0) &amp; ""), "Cannot find student!"),"No student!")</f>
        <v>50</v>
      </c>
      <c r="O111" s="189" t="str">
        <f>IF(All[[#This Row],[Student]], _xlfn.IFNA(INDEX(captured[Grade],MATCH(All[[#This Row],[Student No.]],captured[ID_TEXT],0)), "Cannot find student!") &amp; "","No student!")</f>
        <v>FSB</v>
      </c>
      <c r="P111"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11" s="18" t="str">
        <f>IF(All[[#This Row],[My Grade]]&lt;&gt;"",IF(All[[#This Row],[My Grade]]&lt;&gt;All[[#This Row],[Cap Grade]],TRUE,FALSE),"")</f>
        <v/>
      </c>
      <c r="R111" s="18" t="b">
        <f>IF(NOT(ISBLANK(All[[#This Row],[Student No.]])),OR(ISNUMBER(FIND("FSB",All[[#This Row],[My Grade]])),ISNUMBER(FIND("PAS", All[[#This Row],[My Grade]])),ISNUMBER(FIND("FAL",All[[#This Row],[My Grade]])),ISNUMBER(FIND("FAB", All[[#This Row],[My Grade]])),COUNTBLANK(All[[#This Row],[My Grade]])=1),FALSE)</f>
        <v>1</v>
      </c>
      <c r="S111" s="18" t="b">
        <f>IF(All[[#This Row],[Student No.]]&lt;&gt;"", TRUE, FALSE)</f>
        <v>1</v>
      </c>
      <c r="T111" s="18" t="b">
        <f>IF(COUNTBLANK(All[[#This Row],[Engagement]:[Exam/Def]])=0,TRUE, FALSE)</f>
        <v>0</v>
      </c>
      <c r="U111" s="18" t="b">
        <f>IF(ISNUMBER(All[[#This Row],[Test]]),TRUE,FALSE)</f>
        <v>0</v>
      </c>
      <c r="V111" s="18" t="b">
        <f>IF((INDEX(Test[Total (%)],MATCH(All[[#This Row],[Student No.]],Test[Student No.],0)))="ABS", TRUE, FALSE)</f>
        <v>0</v>
      </c>
      <c r="W111" s="18" t="b">
        <f>IF(ISNUMBER(INDEX(Exam[Total (%)],MATCH(All[[#This Row],[Student No.]],Exam[Student No.],0))), TRUE, FALSE)</f>
        <v>1</v>
      </c>
      <c r="X111" s="18" t="b">
        <f>IF(ISNUMBER(INDEX(#REF!,MATCH(All[[#This Row],[Student No.]],#REF!,0))),TRUE,FALSE)</f>
        <v>0</v>
      </c>
      <c r="Y111" s="18" t="b">
        <f>IF(ISNUMBER(INDEX(#REF!,MATCH(All[[#This Row],[Student No.]],#REF!,0))),TRUE,FALSE)</f>
        <v>0</v>
      </c>
      <c r="Z111" s="18" t="b">
        <f>IF(All[[#This Row],[Wrote Def]],
IF(INDEX(#REF!, MATCH(All[[#This Row],[Student No.]],#REF!,0))&lt;&gt;All[[#This Row],[Exam/Def]], TRUE, FALSE),
  IF(All[[#This Row],[Wrote Exam]], IF(INDEX(Exam[Total (%)], MATCH(All[[#This Row],[Student No.]],Exam[Student No.],0))&lt;&gt;All[[#This Row],[Exam/Def]],TRUE,FALSE), FALSE))</f>
        <v>0</v>
      </c>
      <c r="AA111" s="18" t="b">
        <f xml:space="preserve">    IF(AND(All[[#This Row],[Exam/Def]]&lt;35,OR(All[[#This Row],[Wrote Exam]],All[[#This Row],[Wrote Def]])), TRUE,FALSE)</f>
        <v>1</v>
      </c>
      <c r="AB111" s="18" t="b">
        <f>IF(AND(All[[#This Row],[Exam &lt; 35%]],All[[#This Row],[Final]]&gt;=50),TRUE,FALSE)</f>
        <v>1</v>
      </c>
      <c r="AC111" s="18"/>
    </row>
    <row r="112" spans="1:29" ht="43.2">
      <c r="A112" s="17" t="s">
        <v>379</v>
      </c>
      <c r="B112" s="17" t="s">
        <v>553</v>
      </c>
      <c r="C112" s="100" t="e">
        <f>IF(All[[#This Row],[Student]],
  IF(ISNA(INDEX(#REF!,MATCH(All[[#This Row],[Student No.]],#REF!,0))),
    "Cannot find student!",
    IF(INDEX(#REF!,MATCH(All[[#This Row],[Student No.]],#REF!,0))="",
      "",
      INDEX(#REF!,MATCH(All[[#This Row],[Student No.]],#REF!,0)))
    ),
  "No student!")</f>
        <v>#REF!</v>
      </c>
      <c r="D112"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12" s="18" t="str">
        <f>IF(All[[#This Row],[Student]],
  IF(ISNA(INDEX(Project[Total (%)],MATCH(All[[#This Row],[Student No.]],Project[Student No.],0))),
    "Cannot find student!",
    IF(INDEX(Project[Total (%)],MATCH(All[[#This Row],[Student No.]],Project[Student No.],0))="",
      "",
      INDEX(Project[Total (%)],MATCH(All[[#This Row],[Student No.]],Project[Student No.],0)))
    ),
  "No student!")</f>
        <v/>
      </c>
      <c r="F112" s="201">
        <f>IF(All[[#This Row],[Wrote Def]], INDEX(#REF!, MATCH(All[[#This Row],[Student No.]],#REF!,0)),
  IF(All[[#This Row],[Wrote Exam]], INDEX(Exam[Total (%)], MATCH(All[[#This Row],[Student No.]], Exam[Student No.],0)),
    ""))</f>
        <v>64</v>
      </c>
      <c r="G112" s="18" t="str">
        <f>IF(AND(All[[#This Row],[Student]], All[[#This Row],[All Components]]),
    IF(NOT(All[Has Test Mark]),ROUND((All[[#This Row],[Engagement]]*$C$5+All[[#This Row],[Project]]*$E$5+All[[#This Row],[Exam/Def]]*$F$5)/($C$5+$E$5+$F$5),0),
      ROUND((All[[#This Row],[Engagement]]*$C$5+All[[#This Row],[Test]]*$D$5+All[[#This Row],[Project]]*$E$5+All[[#This Row],[Exam/Def]]*$F$5)/($C$5+$D$5+$E$5+$F$5),0)
  ),
  "")</f>
        <v/>
      </c>
      <c r="H112" s="18" t="str">
        <f>All[[#This Row],[Course Mark]]</f>
        <v/>
      </c>
      <c r="I112" s="18" t="str">
        <f>IF(All[[#This Row],[Wrote Sup]], INDEX(#REF!,MATCH(All[[#This Row],[Student No.]],#REF!,0)), "")</f>
        <v/>
      </c>
      <c r="J112" s="18" t="str">
        <f>IF(AND(All[[#This Row],[Student]],ISNUMBER(All[[#This Row],[Final]])),_xlfn.RANK.EQ(All[[#This Row],[Final]],All[Final]),"")</f>
        <v/>
      </c>
      <c r="K112" s="31"/>
      <c r="L112" s="18" t="str">
        <f>IF(All[[#This Row],[Student]], IF(All[Wrote Sup],All[Sup],All[[#This Row],[Final]]),"No student")</f>
        <v/>
      </c>
      <c r="M112" s="18" t="str">
        <f>IF(All[[#This Row],[Final]]="","",
  IF(All[[#This Row],[Wrote Sup]],
    IF(All[[#This Row],[Sup]]&lt;50,"FAL","PAS"),
  IF(All[[#This Row],[Exam/Def]]&lt;35, "FSB",
    IF(All[[#This Row],[Final]]&lt;50,"FAL",
    IF(All[[#This Row],[Final]]&gt;=50,"PAS",
  "Error!")))))</f>
        <v/>
      </c>
      <c r="N112" s="18">
        <f>IF(All[[#This Row],[Student]], _xlfn.IFNA(INDEX(captured[Course Mark],MATCH(All[[#This Row],[Student No.]],captured[ID_TEXT],0) &amp; ""), "Cannot find student!"),"No student!")</f>
        <v>63</v>
      </c>
      <c r="O112" s="189" t="str">
        <f>IF(All[[#This Row],[Student]], _xlfn.IFNA(INDEX(captured[Grade],MATCH(All[[#This Row],[Student No.]],captured[ID_TEXT],0)), "Cannot find student!") &amp; "","No student!")</f>
        <v>PAS</v>
      </c>
      <c r="P112"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12" s="18" t="str">
        <f>IF(All[[#This Row],[My Grade]]&lt;&gt;"",IF(All[[#This Row],[My Grade]]&lt;&gt;All[[#This Row],[Cap Grade]],TRUE,FALSE),"")</f>
        <v/>
      </c>
      <c r="R112" s="18" t="b">
        <f>IF(NOT(ISBLANK(All[[#This Row],[Student No.]])),OR(ISNUMBER(FIND("FSB",All[[#This Row],[My Grade]])),ISNUMBER(FIND("PAS", All[[#This Row],[My Grade]])),ISNUMBER(FIND("FAL",All[[#This Row],[My Grade]])),ISNUMBER(FIND("FAB", All[[#This Row],[My Grade]])),COUNTBLANK(All[[#This Row],[My Grade]])=1),FALSE)</f>
        <v>1</v>
      </c>
      <c r="S112" s="18" t="b">
        <f>IF(All[[#This Row],[Student No.]]&lt;&gt;"", TRUE, FALSE)</f>
        <v>1</v>
      </c>
      <c r="T112" s="18" t="b">
        <f>IF(COUNTBLANK(All[[#This Row],[Engagement]:[Exam/Def]])=0,TRUE, FALSE)</f>
        <v>0</v>
      </c>
      <c r="U112" s="18" t="b">
        <f>IF(ISNUMBER(All[[#This Row],[Test]]),TRUE,FALSE)</f>
        <v>0</v>
      </c>
      <c r="V112" s="18" t="e">
        <f>IF((INDEX(Test[Total (%)],MATCH(All[[#This Row],[Student No.]],Test[Student No.],0)))="ABS", TRUE, FALSE)</f>
        <v>#N/A</v>
      </c>
      <c r="W112" s="18" t="b">
        <f>IF(ISNUMBER(INDEX(Exam[Total (%)],MATCH(All[[#This Row],[Student No.]],Exam[Student No.],0))), TRUE, FALSE)</f>
        <v>1</v>
      </c>
      <c r="X112" s="18" t="b">
        <f>IF(ISNUMBER(INDEX(#REF!,MATCH(All[[#This Row],[Student No.]],#REF!,0))),TRUE,FALSE)</f>
        <v>0</v>
      </c>
      <c r="Y112" s="18" t="b">
        <f>IF(ISNUMBER(INDEX(#REF!,MATCH(All[[#This Row],[Student No.]],#REF!,0))),TRUE,FALSE)</f>
        <v>0</v>
      </c>
      <c r="Z112" s="18" t="b">
        <f>IF(All[[#This Row],[Wrote Def]],
IF(INDEX(#REF!, MATCH(All[[#This Row],[Student No.]],#REF!,0))&lt;&gt;All[[#This Row],[Exam/Def]], TRUE, FALSE),
  IF(All[[#This Row],[Wrote Exam]], IF(INDEX(Exam[Total (%)], MATCH(All[[#This Row],[Student No.]],Exam[Student No.],0))&lt;&gt;All[[#This Row],[Exam/Def]],TRUE,FALSE), FALSE))</f>
        <v>0</v>
      </c>
      <c r="AA112" s="18" t="b">
        <f xml:space="preserve">    IF(AND(All[[#This Row],[Exam/Def]]&lt;35,OR(All[[#This Row],[Wrote Exam]],All[[#This Row],[Wrote Def]])), TRUE,FALSE)</f>
        <v>0</v>
      </c>
      <c r="AB112" s="18" t="b">
        <f>IF(AND(All[[#This Row],[Exam &lt; 35%]],All[[#This Row],[Final]]&gt;=50),TRUE,FALSE)</f>
        <v>0</v>
      </c>
      <c r="AC112" s="18"/>
    </row>
    <row r="113" spans="1:29" ht="43.2">
      <c r="A113" s="17" t="s">
        <v>380</v>
      </c>
      <c r="B113" s="17" t="s">
        <v>554</v>
      </c>
      <c r="C113" s="100" t="e">
        <f>IF(All[[#This Row],[Student]],
  IF(ISNA(INDEX(#REF!,MATCH(All[[#This Row],[Student No.]],#REF!,0))),
    "Cannot find student!",
    IF(INDEX(#REF!,MATCH(All[[#This Row],[Student No.]],#REF!,0))="",
      "",
      INDEX(#REF!,MATCH(All[[#This Row],[Student No.]],#REF!,0)))
    ),
  "No student!")</f>
        <v>#REF!</v>
      </c>
      <c r="D113"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13" s="18" t="str">
        <f>IF(All[[#This Row],[Student]],
  IF(ISNA(INDEX(Project[Total (%)],MATCH(All[[#This Row],[Student No.]],Project[Student No.],0))),
    "Cannot find student!",
    IF(INDEX(Project[Total (%)],MATCH(All[[#This Row],[Student No.]],Project[Student No.],0))="",
      "",
      INDEX(Project[Total (%)],MATCH(All[[#This Row],[Student No.]],Project[Student No.],0)))
    ),
  "No student!")</f>
        <v/>
      </c>
      <c r="F113" s="201">
        <f>IF(All[[#This Row],[Wrote Def]], INDEX(#REF!, MATCH(All[[#This Row],[Student No.]],#REF!,0)),
  IF(All[[#This Row],[Wrote Exam]], INDEX(Exam[Total (%)], MATCH(All[[#This Row],[Student No.]], Exam[Student No.],0)),
    ""))</f>
        <v>17</v>
      </c>
      <c r="G113" s="18" t="str">
        <f>IF(AND(All[[#This Row],[Student]], All[[#This Row],[All Components]]),
    IF(NOT(All[Has Test Mark]),ROUND((All[[#This Row],[Engagement]]*$C$5+All[[#This Row],[Project]]*$E$5+All[[#This Row],[Exam/Def]]*$F$5)/($C$5+$E$5+$F$5),0),
      ROUND((All[[#This Row],[Engagement]]*$C$5+All[[#This Row],[Test]]*$D$5+All[[#This Row],[Project]]*$E$5+All[[#This Row],[Exam/Def]]*$F$5)/($C$5+$D$5+$E$5+$F$5),0)
  ),
  "")</f>
        <v/>
      </c>
      <c r="H113" s="18" t="str">
        <f>All[[#This Row],[Course Mark]]</f>
        <v/>
      </c>
      <c r="I113" s="18" t="str">
        <f>IF(All[[#This Row],[Wrote Sup]], INDEX(#REF!,MATCH(All[[#This Row],[Student No.]],#REF!,0)), "")</f>
        <v/>
      </c>
      <c r="J113" s="18" t="str">
        <f>IF(AND(All[[#This Row],[Student]],ISNUMBER(All[[#This Row],[Final]])),_xlfn.RANK.EQ(All[[#This Row],[Final]],All[Final]),"")</f>
        <v/>
      </c>
      <c r="K113" s="31"/>
      <c r="L113" s="18" t="str">
        <f>IF(All[[#This Row],[Student]], IF(All[Wrote Sup],All[Sup],All[[#This Row],[Final]]),"No student")</f>
        <v/>
      </c>
      <c r="M113" s="18" t="str">
        <f>IF(All[[#This Row],[Final]]="","",
  IF(All[[#This Row],[Wrote Sup]],
    IF(All[[#This Row],[Sup]]&lt;50,"FAL","PAS"),
  IF(All[[#This Row],[Exam/Def]]&lt;35, "FSB",
    IF(All[[#This Row],[Final]]&lt;50,"FAL",
    IF(All[[#This Row],[Final]]&gt;=50,"PAS",
  "Error!")))))</f>
        <v/>
      </c>
      <c r="N113" s="18">
        <f>IF(All[[#This Row],[Student]], _xlfn.IFNA(INDEX(captured[Course Mark],MATCH(All[[#This Row],[Student No.]],captured[ID_TEXT],0) &amp; ""), "Cannot find student!"),"No student!")</f>
        <v>28</v>
      </c>
      <c r="O113" s="189" t="str">
        <f>IF(All[[#This Row],[Student]], _xlfn.IFNA(INDEX(captured[Grade],MATCH(All[[#This Row],[Student No.]],captured[ID_TEXT],0)), "Cannot find student!") &amp; "","No student!")</f>
        <v>FSB</v>
      </c>
      <c r="P113"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13" s="18" t="str">
        <f>IF(All[[#This Row],[My Grade]]&lt;&gt;"",IF(All[[#This Row],[My Grade]]&lt;&gt;All[[#This Row],[Cap Grade]],TRUE,FALSE),"")</f>
        <v/>
      </c>
      <c r="R113" s="18" t="b">
        <f>IF(NOT(ISBLANK(All[[#This Row],[Student No.]])),OR(ISNUMBER(FIND("FSB",All[[#This Row],[My Grade]])),ISNUMBER(FIND("PAS", All[[#This Row],[My Grade]])),ISNUMBER(FIND("FAL",All[[#This Row],[My Grade]])),ISNUMBER(FIND("FAB", All[[#This Row],[My Grade]])),COUNTBLANK(All[[#This Row],[My Grade]])=1),FALSE)</f>
        <v>1</v>
      </c>
      <c r="S113" s="18" t="b">
        <f>IF(All[[#This Row],[Student No.]]&lt;&gt;"", TRUE, FALSE)</f>
        <v>1</v>
      </c>
      <c r="T113" s="18" t="b">
        <f>IF(COUNTBLANK(All[[#This Row],[Engagement]:[Exam/Def]])=0,TRUE, FALSE)</f>
        <v>0</v>
      </c>
      <c r="U113" s="18" t="b">
        <f>IF(ISNUMBER(All[[#This Row],[Test]]),TRUE,FALSE)</f>
        <v>0</v>
      </c>
      <c r="V113" s="18" t="e">
        <f>IF((INDEX(Test[Total (%)],MATCH(All[[#This Row],[Student No.]],Test[Student No.],0)))="ABS", TRUE, FALSE)</f>
        <v>#N/A</v>
      </c>
      <c r="W113" s="18" t="b">
        <f>IF(ISNUMBER(INDEX(Exam[Total (%)],MATCH(All[[#This Row],[Student No.]],Exam[Student No.],0))), TRUE, FALSE)</f>
        <v>1</v>
      </c>
      <c r="X113" s="18" t="b">
        <f>IF(ISNUMBER(INDEX(#REF!,MATCH(All[[#This Row],[Student No.]],#REF!,0))),TRUE,FALSE)</f>
        <v>0</v>
      </c>
      <c r="Y113" s="18" t="b">
        <f>IF(ISNUMBER(INDEX(#REF!,MATCH(All[[#This Row],[Student No.]],#REF!,0))),TRUE,FALSE)</f>
        <v>0</v>
      </c>
      <c r="Z113" s="18" t="b">
        <f>IF(All[[#This Row],[Wrote Def]],
IF(INDEX(#REF!, MATCH(All[[#This Row],[Student No.]],#REF!,0))&lt;&gt;All[[#This Row],[Exam/Def]], TRUE, FALSE),
  IF(All[[#This Row],[Wrote Exam]], IF(INDEX(Exam[Total (%)], MATCH(All[[#This Row],[Student No.]],Exam[Student No.],0))&lt;&gt;All[[#This Row],[Exam/Def]],TRUE,FALSE), FALSE))</f>
        <v>0</v>
      </c>
      <c r="AA113" s="18" t="b">
        <f xml:space="preserve">    IF(AND(All[[#This Row],[Exam/Def]]&lt;35,OR(All[[#This Row],[Wrote Exam]],All[[#This Row],[Wrote Def]])), TRUE,FALSE)</f>
        <v>1</v>
      </c>
      <c r="AB113" s="18" t="b">
        <f>IF(AND(All[[#This Row],[Exam &lt; 35%]],All[[#This Row],[Final]]&gt;=50),TRUE,FALSE)</f>
        <v>1</v>
      </c>
      <c r="AC113" s="18"/>
    </row>
    <row r="114" spans="1:29">
      <c r="A114" s="17" t="s">
        <v>381</v>
      </c>
      <c r="B114" s="17" t="s">
        <v>555</v>
      </c>
      <c r="C114" s="100" t="e">
        <f>IF(All[[#This Row],[Student]],
  IF(ISNA(INDEX(#REF!,MATCH(All[[#This Row],[Student No.]],#REF!,0))),
    "Cannot find student!",
    IF(INDEX(#REF!,MATCH(All[[#This Row],[Student No.]],#REF!,0))="",
      "",
      INDEX(#REF!,MATCH(All[[#This Row],[Student No.]],#REF!,0)))
    ),
  "No student!")</f>
        <v>#REF!</v>
      </c>
      <c r="D114"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14" s="18" t="str">
        <f>IF(All[[#This Row],[Student]],
  IF(ISNA(INDEX(Project[Total (%)],MATCH(All[[#This Row],[Student No.]],Project[Student No.],0))),
    "Cannot find student!",
    IF(INDEX(Project[Total (%)],MATCH(All[[#This Row],[Student No.]],Project[Student No.],0))="",
      "",
      INDEX(Project[Total (%)],MATCH(All[[#This Row],[Student No.]],Project[Student No.],0)))
    ),
  "No student!")</f>
        <v/>
      </c>
      <c r="F114" s="201" t="str">
        <f>IF(All[[#This Row],[Wrote Def]], INDEX(#REF!, MATCH(All[[#This Row],[Student No.]],#REF!,0)),
  IF(All[[#This Row],[Wrote Exam]], INDEX(Exam[Total (%)], MATCH(All[[#This Row],[Student No.]], Exam[Student No.],0)),
    ""))</f>
        <v/>
      </c>
      <c r="G114" s="18" t="str">
        <f>IF(AND(All[[#This Row],[Student]], All[[#This Row],[All Components]]),
    IF(NOT(All[Has Test Mark]),ROUND((All[[#This Row],[Engagement]]*$C$5+All[[#This Row],[Project]]*$E$5+All[[#This Row],[Exam/Def]]*$F$5)/($C$5+$E$5+$F$5),0),
      ROUND((All[[#This Row],[Engagement]]*$C$5+All[[#This Row],[Test]]*$D$5+All[[#This Row],[Project]]*$E$5+All[[#This Row],[Exam/Def]]*$F$5)/($C$5+$D$5+$E$5+$F$5),0)
  ),
  "")</f>
        <v/>
      </c>
      <c r="H114" s="18" t="str">
        <f>All[[#This Row],[Course Mark]]</f>
        <v/>
      </c>
      <c r="I114" s="18" t="str">
        <f>IF(All[[#This Row],[Wrote Sup]], INDEX(#REF!,MATCH(All[[#This Row],[Student No.]],#REF!,0)), "")</f>
        <v/>
      </c>
      <c r="J114" s="18" t="str">
        <f>IF(AND(All[[#This Row],[Student]],ISNUMBER(All[[#This Row],[Final]])),_xlfn.RANK.EQ(All[[#This Row],[Final]],All[Final]),"")</f>
        <v/>
      </c>
      <c r="K114" s="31"/>
      <c r="L114" s="18" t="str">
        <f>IF(All[[#This Row],[Student]], IF(All[Wrote Sup],All[Sup],All[[#This Row],[Final]]),"No student")</f>
        <v/>
      </c>
      <c r="M114" s="18" t="str">
        <f>IF(All[[#This Row],[Final]]="","",
  IF(All[[#This Row],[Wrote Sup]],
    IF(All[[#This Row],[Sup]]&lt;50,"FAL","PAS"),
  IF(All[[#This Row],[Exam/Def]]&lt;35, "FSB",
    IF(All[[#This Row],[Final]]&lt;50,"FAL",
    IF(All[[#This Row],[Final]]&gt;=50,"PAS",
  "Error!")))))</f>
        <v/>
      </c>
      <c r="N114" s="18">
        <f>IF(All[[#This Row],[Student]], _xlfn.IFNA(INDEX(captured[Course Mark],MATCH(All[[#This Row],[Student No.]],captured[ID_TEXT],0) &amp; ""), "Cannot find student!"),"No student!")</f>
        <v>23</v>
      </c>
      <c r="O114" s="189" t="str">
        <f>IF(All[[#This Row],[Student]], _xlfn.IFNA(INDEX(captured[Grade],MATCH(All[[#This Row],[Student No.]],captured[ID_TEXT],0)), "Cannot find student!") &amp; "","No student!")</f>
        <v>FSB</v>
      </c>
      <c r="P114"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14" s="18" t="str">
        <f>IF(All[[#This Row],[My Grade]]&lt;&gt;"",IF(All[[#This Row],[My Grade]]&lt;&gt;All[[#This Row],[Cap Grade]],TRUE,FALSE),"")</f>
        <v/>
      </c>
      <c r="R114" s="18" t="b">
        <f>IF(NOT(ISBLANK(All[[#This Row],[Student No.]])),OR(ISNUMBER(FIND("FSB",All[[#This Row],[My Grade]])),ISNUMBER(FIND("PAS", All[[#This Row],[My Grade]])),ISNUMBER(FIND("FAL",All[[#This Row],[My Grade]])),ISNUMBER(FIND("FAB", All[[#This Row],[My Grade]])),COUNTBLANK(All[[#This Row],[My Grade]])=1),FALSE)</f>
        <v>1</v>
      </c>
      <c r="S114" s="18" t="b">
        <f>IF(All[[#This Row],[Student No.]]&lt;&gt;"", TRUE, FALSE)</f>
        <v>1</v>
      </c>
      <c r="T114" s="18" t="b">
        <f>IF(COUNTBLANK(All[[#This Row],[Engagement]:[Exam/Def]])=0,TRUE, FALSE)</f>
        <v>0</v>
      </c>
      <c r="U114" s="18" t="b">
        <f>IF(ISNUMBER(All[[#This Row],[Test]]),TRUE,FALSE)</f>
        <v>0</v>
      </c>
      <c r="V114" s="18" t="b">
        <f>IF((INDEX(Test[Total (%)],MATCH(All[[#This Row],[Student No.]],Test[Student No.],0)))="ABS", TRUE, FALSE)</f>
        <v>0</v>
      </c>
      <c r="W114" s="18" t="b">
        <f>IF(ISNUMBER(INDEX(Exam[Total (%)],MATCH(All[[#This Row],[Student No.]],Exam[Student No.],0))), TRUE, FALSE)</f>
        <v>0</v>
      </c>
      <c r="X114" s="18" t="b">
        <f>IF(ISNUMBER(INDEX(#REF!,MATCH(All[[#This Row],[Student No.]],#REF!,0))),TRUE,FALSE)</f>
        <v>0</v>
      </c>
      <c r="Y114" s="18" t="b">
        <f>IF(ISNUMBER(INDEX(#REF!,MATCH(All[[#This Row],[Student No.]],#REF!,0))),TRUE,FALSE)</f>
        <v>0</v>
      </c>
      <c r="Z114" s="18" t="b">
        <f>IF(All[[#This Row],[Wrote Def]],
IF(INDEX(#REF!, MATCH(All[[#This Row],[Student No.]],#REF!,0))&lt;&gt;All[[#This Row],[Exam/Def]], TRUE, FALSE),
  IF(All[[#This Row],[Wrote Exam]], IF(INDEX(Exam[Total (%)], MATCH(All[[#This Row],[Student No.]],Exam[Student No.],0))&lt;&gt;All[[#This Row],[Exam/Def]],TRUE,FALSE), FALSE))</f>
        <v>0</v>
      </c>
      <c r="AA114" s="18" t="b">
        <f xml:space="preserve">    IF(AND(All[[#This Row],[Exam/Def]]&lt;35,OR(All[[#This Row],[Wrote Exam]],All[[#This Row],[Wrote Def]])), TRUE,FALSE)</f>
        <v>0</v>
      </c>
      <c r="AB114" s="18" t="b">
        <f>IF(AND(All[[#This Row],[Exam &lt; 35%]],All[[#This Row],[Final]]&gt;=50),TRUE,FALSE)</f>
        <v>0</v>
      </c>
      <c r="AC114" s="18"/>
    </row>
    <row r="115" spans="1:29" ht="43.2">
      <c r="A115" s="17" t="s">
        <v>382</v>
      </c>
      <c r="B115" s="17" t="s">
        <v>556</v>
      </c>
      <c r="C115" s="100" t="e">
        <f>IF(All[[#This Row],[Student]],
  IF(ISNA(INDEX(#REF!,MATCH(All[[#This Row],[Student No.]],#REF!,0))),
    "Cannot find student!",
    IF(INDEX(#REF!,MATCH(All[[#This Row],[Student No.]],#REF!,0))="",
      "",
      INDEX(#REF!,MATCH(All[[#This Row],[Student No.]],#REF!,0)))
    ),
  "No student!")</f>
        <v>#REF!</v>
      </c>
      <c r="D115"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15" s="18" t="str">
        <f>IF(All[[#This Row],[Student]],
  IF(ISNA(INDEX(Project[Total (%)],MATCH(All[[#This Row],[Student No.]],Project[Student No.],0))),
    "Cannot find student!",
    IF(INDEX(Project[Total (%)],MATCH(All[[#This Row],[Student No.]],Project[Student No.],0))="",
      "",
      INDEX(Project[Total (%)],MATCH(All[[#This Row],[Student No.]],Project[Student No.],0)))
    ),
  "No student!")</f>
        <v/>
      </c>
      <c r="F115" s="201" t="str">
        <f>IF(All[[#This Row],[Wrote Def]], INDEX(#REF!, MATCH(All[[#This Row],[Student No.]],#REF!,0)),
  IF(All[[#This Row],[Wrote Exam]], INDEX(Exam[Total (%)], MATCH(All[[#This Row],[Student No.]], Exam[Student No.],0)),
    ""))</f>
        <v/>
      </c>
      <c r="G115" s="18" t="str">
        <f>IF(AND(All[[#This Row],[Student]], All[[#This Row],[All Components]]),
    IF(NOT(All[Has Test Mark]),ROUND((All[[#This Row],[Engagement]]*$C$5+All[[#This Row],[Project]]*$E$5+All[[#This Row],[Exam/Def]]*$F$5)/($C$5+$E$5+$F$5),0),
      ROUND((All[[#This Row],[Engagement]]*$C$5+All[[#This Row],[Test]]*$D$5+All[[#This Row],[Project]]*$E$5+All[[#This Row],[Exam/Def]]*$F$5)/($C$5+$D$5+$E$5+$F$5),0)
  ),
  "")</f>
        <v/>
      </c>
      <c r="H115" s="18" t="str">
        <f>All[[#This Row],[Course Mark]]</f>
        <v/>
      </c>
      <c r="I115" s="18" t="str">
        <f>IF(All[[#This Row],[Wrote Sup]], INDEX(#REF!,MATCH(All[[#This Row],[Student No.]],#REF!,0)), "")</f>
        <v/>
      </c>
      <c r="J115" s="18" t="str">
        <f>IF(AND(All[[#This Row],[Student]],ISNUMBER(All[[#This Row],[Final]])),_xlfn.RANK.EQ(All[[#This Row],[Final]],All[Final]),"")</f>
        <v/>
      </c>
      <c r="K115" s="31"/>
      <c r="L115" s="18" t="str">
        <f>IF(All[[#This Row],[Student]], IF(All[Wrote Sup],All[Sup],All[[#This Row],[Final]]),"No student")</f>
        <v/>
      </c>
      <c r="M115" s="18" t="str">
        <f>IF(All[[#This Row],[Final]]="","",
  IF(All[[#This Row],[Wrote Sup]],
    IF(All[[#This Row],[Sup]]&lt;50,"FAL","PAS"),
  IF(All[[#This Row],[Exam/Def]]&lt;35, "FSB",
    IF(All[[#This Row],[Final]]&lt;50,"FAL",
    IF(All[[#This Row],[Final]]&gt;=50,"PAS",
  "Error!")))))</f>
        <v/>
      </c>
      <c r="N115" s="18" t="str">
        <f>IF(All[[#This Row],[Student]], _xlfn.IFNA(INDEX(captured[Course Mark],MATCH(All[[#This Row],[Student No.]],captured[ID_TEXT],0) &amp; ""), "Cannot find student!"),"No student!")</f>
        <v>FABS</v>
      </c>
      <c r="O115" s="189" t="str">
        <f>IF(All[[#This Row],[Student]], _xlfn.IFNA(INDEX(captured[Grade],MATCH(All[[#This Row],[Student No.]],captured[ID_TEXT],0)), "Cannot find student!") &amp; "","No student!")</f>
        <v>FAB</v>
      </c>
      <c r="P115" s="18" t="b">
        <f xml:space="preserve"> IF(AND(ISNUMBER(All[[#This Row],[Cap Mark]]), ISNUMBER(All[[#This Row],[My Mark]])), ABS(All[[#This Row],[Cap Mark]] - All[[#This Row],[My Mark]]) &lt;&gt; 0,
    IF(AND(ISNUMBER(All[[#This Row],[My Mark]]),NOT(ISNUMBER(All[[#This Row],[Cap Mark]]))),TRUE,
    IF(AND(ISNUMBER(All[[#This Row],[Cap Mark]]),NOT(ISNUMBER(All[[#This Row],[My Mark]]))),TRUE,FALSE)
    ))</f>
        <v>0</v>
      </c>
      <c r="Q115" s="18" t="str">
        <f>IF(All[[#This Row],[My Grade]]&lt;&gt;"",IF(All[[#This Row],[My Grade]]&lt;&gt;All[[#This Row],[Cap Grade]],TRUE,FALSE),"")</f>
        <v/>
      </c>
      <c r="R115" s="18" t="b">
        <f>IF(NOT(ISBLANK(All[[#This Row],[Student No.]])),OR(ISNUMBER(FIND("FSB",All[[#This Row],[My Grade]])),ISNUMBER(FIND("PAS", All[[#This Row],[My Grade]])),ISNUMBER(FIND("FAL",All[[#This Row],[My Grade]])),ISNUMBER(FIND("FAB", All[[#This Row],[My Grade]])),COUNTBLANK(All[[#This Row],[My Grade]])=1),FALSE)</f>
        <v>1</v>
      </c>
      <c r="S115" s="18" t="b">
        <f>IF(All[[#This Row],[Student No.]]&lt;&gt;"", TRUE, FALSE)</f>
        <v>1</v>
      </c>
      <c r="T115" s="18" t="b">
        <f>IF(COUNTBLANK(All[[#This Row],[Engagement]:[Exam/Def]])=0,TRUE, FALSE)</f>
        <v>0</v>
      </c>
      <c r="U115" s="18" t="b">
        <f>IF(ISNUMBER(All[[#This Row],[Test]]),TRUE,FALSE)</f>
        <v>0</v>
      </c>
      <c r="V115" s="18" t="e">
        <f>IF((INDEX(Test[Total (%)],MATCH(All[[#This Row],[Student No.]],Test[Student No.],0)))="ABS", TRUE, FALSE)</f>
        <v>#N/A</v>
      </c>
      <c r="W115" s="18" t="b">
        <f>IF(ISNUMBER(INDEX(Exam[Total (%)],MATCH(All[[#This Row],[Student No.]],Exam[Student No.],0))), TRUE, FALSE)</f>
        <v>0</v>
      </c>
      <c r="X115" s="18" t="b">
        <f>IF(ISNUMBER(INDEX(#REF!,MATCH(All[[#This Row],[Student No.]],#REF!,0))),TRUE,FALSE)</f>
        <v>0</v>
      </c>
      <c r="Y115" s="18" t="b">
        <f>IF(ISNUMBER(INDEX(#REF!,MATCH(All[[#This Row],[Student No.]],#REF!,0))),TRUE,FALSE)</f>
        <v>0</v>
      </c>
      <c r="Z115" s="18" t="b">
        <f>IF(All[[#This Row],[Wrote Def]],
IF(INDEX(#REF!, MATCH(All[[#This Row],[Student No.]],#REF!,0))&lt;&gt;All[[#This Row],[Exam/Def]], TRUE, FALSE),
  IF(All[[#This Row],[Wrote Exam]], IF(INDEX(Exam[Total (%)], MATCH(All[[#This Row],[Student No.]],Exam[Student No.],0))&lt;&gt;All[[#This Row],[Exam/Def]],TRUE,FALSE), FALSE))</f>
        <v>0</v>
      </c>
      <c r="AA115" s="18" t="b">
        <f xml:space="preserve">    IF(AND(All[[#This Row],[Exam/Def]]&lt;35,OR(All[[#This Row],[Wrote Exam]],All[[#This Row],[Wrote Def]])), TRUE,FALSE)</f>
        <v>0</v>
      </c>
      <c r="AB115" s="18" t="b">
        <f>IF(AND(All[[#This Row],[Exam &lt; 35%]],All[[#This Row],[Final]]&gt;=50),TRUE,FALSE)</f>
        <v>0</v>
      </c>
      <c r="AC115" s="18"/>
    </row>
    <row r="116" spans="1:29">
      <c r="A116" s="17" t="s">
        <v>383</v>
      </c>
      <c r="B116" s="17" t="s">
        <v>557</v>
      </c>
      <c r="C116" s="100" t="e">
        <f>IF(All[[#This Row],[Student]],
  IF(ISNA(INDEX(#REF!,MATCH(All[[#This Row],[Student No.]],#REF!,0))),
    "Cannot find student!",
    IF(INDEX(#REF!,MATCH(All[[#This Row],[Student No.]],#REF!,0))="",
      "",
      INDEX(#REF!,MATCH(All[[#This Row],[Student No.]],#REF!,0)))
    ),
  "No student!")</f>
        <v>#REF!</v>
      </c>
      <c r="D116"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16" s="18" t="str">
        <f>IF(All[[#This Row],[Student]],
  IF(ISNA(INDEX(Project[Total (%)],MATCH(All[[#This Row],[Student No.]],Project[Student No.],0))),
    "Cannot find student!",
    IF(INDEX(Project[Total (%)],MATCH(All[[#This Row],[Student No.]],Project[Student No.],0))="",
      "",
      INDEX(Project[Total (%)],MATCH(All[[#This Row],[Student No.]],Project[Student No.],0)))
    ),
  "No student!")</f>
        <v/>
      </c>
      <c r="F116" s="201">
        <f>IF(All[[#This Row],[Wrote Def]], INDEX(#REF!, MATCH(All[[#This Row],[Student No.]],#REF!,0)),
  IF(All[[#This Row],[Wrote Exam]], INDEX(Exam[Total (%)], MATCH(All[[#This Row],[Student No.]], Exam[Student No.],0)),
    ""))</f>
        <v>31</v>
      </c>
      <c r="G116" s="18" t="str">
        <f>IF(AND(All[[#This Row],[Student]], All[[#This Row],[All Components]]),
    IF(NOT(All[Has Test Mark]),ROUND((All[[#This Row],[Engagement]]*$C$5+All[[#This Row],[Project]]*$E$5+All[[#This Row],[Exam/Def]]*$F$5)/($C$5+$E$5+$F$5),0),
      ROUND((All[[#This Row],[Engagement]]*$C$5+All[[#This Row],[Test]]*$D$5+All[[#This Row],[Project]]*$E$5+All[[#This Row],[Exam/Def]]*$F$5)/($C$5+$D$5+$E$5+$F$5),0)
  ),
  "")</f>
        <v/>
      </c>
      <c r="H116" s="18" t="str">
        <f>All[[#This Row],[Course Mark]]</f>
        <v/>
      </c>
      <c r="I116" s="18" t="str">
        <f>IF(All[[#This Row],[Wrote Sup]], INDEX(#REF!,MATCH(All[[#This Row],[Student No.]],#REF!,0)), "")</f>
        <v/>
      </c>
      <c r="J116" s="18" t="str">
        <f>IF(AND(All[[#This Row],[Student]],ISNUMBER(All[[#This Row],[Final]])),_xlfn.RANK.EQ(All[[#This Row],[Final]],All[Final]),"")</f>
        <v/>
      </c>
      <c r="K116" s="31"/>
      <c r="L116" s="18" t="str">
        <f>IF(All[[#This Row],[Student]], IF(All[Wrote Sup],All[Sup],All[[#This Row],[Final]]),"No student")</f>
        <v/>
      </c>
      <c r="M116" s="18" t="str">
        <f>IF(All[[#This Row],[Final]]="","",
  IF(All[[#This Row],[Wrote Sup]],
    IF(All[[#This Row],[Sup]]&lt;50,"FAL","PAS"),
  IF(All[[#This Row],[Exam/Def]]&lt;35, "FSB",
    IF(All[[#This Row],[Final]]&lt;50,"FAL",
    IF(All[[#This Row],[Final]]&gt;=50,"PAS",
  "Error!")))))</f>
        <v/>
      </c>
      <c r="N116" s="18">
        <f>IF(All[[#This Row],[Student]], _xlfn.IFNA(INDEX(captured[Course Mark],MATCH(All[[#This Row],[Student No.]],captured[ID_TEXT],0) &amp; ""), "Cannot find student!"),"No student!")</f>
        <v>29</v>
      </c>
      <c r="O116" s="189" t="str">
        <f>IF(All[[#This Row],[Student]], _xlfn.IFNA(INDEX(captured[Grade],MATCH(All[[#This Row],[Student No.]],captured[ID_TEXT],0)), "Cannot find student!") &amp; "","No student!")</f>
        <v>FSB</v>
      </c>
      <c r="P116"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16" s="18" t="str">
        <f>IF(All[[#This Row],[My Grade]]&lt;&gt;"",IF(All[[#This Row],[My Grade]]&lt;&gt;All[[#This Row],[Cap Grade]],TRUE,FALSE),"")</f>
        <v/>
      </c>
      <c r="R116" s="18" t="b">
        <f>IF(NOT(ISBLANK(All[[#This Row],[Student No.]])),OR(ISNUMBER(FIND("FSB",All[[#This Row],[My Grade]])),ISNUMBER(FIND("PAS", All[[#This Row],[My Grade]])),ISNUMBER(FIND("FAL",All[[#This Row],[My Grade]])),ISNUMBER(FIND("FAB", All[[#This Row],[My Grade]])),COUNTBLANK(All[[#This Row],[My Grade]])=1),FALSE)</f>
        <v>1</v>
      </c>
      <c r="S116" s="18" t="b">
        <f>IF(All[[#This Row],[Student No.]]&lt;&gt;"", TRUE, FALSE)</f>
        <v>1</v>
      </c>
      <c r="T116" s="18" t="b">
        <f>IF(COUNTBLANK(All[[#This Row],[Engagement]:[Exam/Def]])=0,TRUE, FALSE)</f>
        <v>0</v>
      </c>
      <c r="U116" s="18" t="b">
        <f>IF(ISNUMBER(All[[#This Row],[Test]]),TRUE,FALSE)</f>
        <v>0</v>
      </c>
      <c r="V116" s="18" t="b">
        <f>IF((INDEX(Test[Total (%)],MATCH(All[[#This Row],[Student No.]],Test[Student No.],0)))="ABS", TRUE, FALSE)</f>
        <v>0</v>
      </c>
      <c r="W116" s="18" t="b">
        <f>IF(ISNUMBER(INDEX(Exam[Total (%)],MATCH(All[[#This Row],[Student No.]],Exam[Student No.],0))), TRUE, FALSE)</f>
        <v>1</v>
      </c>
      <c r="X116" s="18" t="b">
        <f>IF(ISNUMBER(INDEX(#REF!,MATCH(All[[#This Row],[Student No.]],#REF!,0))),TRUE,FALSE)</f>
        <v>0</v>
      </c>
      <c r="Y116" s="18" t="b">
        <f>IF(ISNUMBER(INDEX(#REF!,MATCH(All[[#This Row],[Student No.]],#REF!,0))),TRUE,FALSE)</f>
        <v>0</v>
      </c>
      <c r="Z116" s="18" t="b">
        <f>IF(All[[#This Row],[Wrote Def]],
IF(INDEX(#REF!, MATCH(All[[#This Row],[Student No.]],#REF!,0))&lt;&gt;All[[#This Row],[Exam/Def]], TRUE, FALSE),
  IF(All[[#This Row],[Wrote Exam]], IF(INDEX(Exam[Total (%)], MATCH(All[[#This Row],[Student No.]],Exam[Student No.],0))&lt;&gt;All[[#This Row],[Exam/Def]],TRUE,FALSE), FALSE))</f>
        <v>0</v>
      </c>
      <c r="AA116" s="18" t="b">
        <f xml:space="preserve">    IF(AND(All[[#This Row],[Exam/Def]]&lt;35,OR(All[[#This Row],[Wrote Exam]],All[[#This Row],[Wrote Def]])), TRUE,FALSE)</f>
        <v>1</v>
      </c>
      <c r="AB116" s="18" t="b">
        <f>IF(AND(All[[#This Row],[Exam &lt; 35%]],All[[#This Row],[Final]]&gt;=50),TRUE,FALSE)</f>
        <v>1</v>
      </c>
      <c r="AC116" s="18"/>
    </row>
    <row r="117" spans="1:29" ht="43.2">
      <c r="A117" s="17" t="s">
        <v>385</v>
      </c>
      <c r="B117" s="17" t="s">
        <v>558</v>
      </c>
      <c r="C117" s="100" t="e">
        <f>IF(All[[#This Row],[Student]],
  IF(ISNA(INDEX(#REF!,MATCH(All[[#This Row],[Student No.]],#REF!,0))),
    "Cannot find student!",
    IF(INDEX(#REF!,MATCH(All[[#This Row],[Student No.]],#REF!,0))="",
      "",
      INDEX(#REF!,MATCH(All[[#This Row],[Student No.]],#REF!,0)))
    ),
  "No student!")</f>
        <v>#REF!</v>
      </c>
      <c r="D117"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17" s="18" t="str">
        <f>IF(All[[#This Row],[Student]],
  IF(ISNA(INDEX(Project[Total (%)],MATCH(All[[#This Row],[Student No.]],Project[Student No.],0))),
    "Cannot find student!",
    IF(INDEX(Project[Total (%)],MATCH(All[[#This Row],[Student No.]],Project[Student No.],0))="",
      "",
      INDEX(Project[Total (%)],MATCH(All[[#This Row],[Student No.]],Project[Student No.],0)))
    ),
  "No student!")</f>
        <v/>
      </c>
      <c r="F117" s="201" t="str">
        <f>IF(All[[#This Row],[Wrote Def]], INDEX(#REF!, MATCH(All[[#This Row],[Student No.]],#REF!,0)),
  IF(All[[#This Row],[Wrote Exam]], INDEX(Exam[Total (%)], MATCH(All[[#This Row],[Student No.]], Exam[Student No.],0)),
    ""))</f>
        <v/>
      </c>
      <c r="G117" s="18" t="str">
        <f>IF(AND(All[[#This Row],[Student]], All[[#This Row],[All Components]]),
    IF(NOT(All[Has Test Mark]),ROUND((All[[#This Row],[Engagement]]*$C$5+All[[#This Row],[Project]]*$E$5+All[[#This Row],[Exam/Def]]*$F$5)/($C$5+$E$5+$F$5),0),
      ROUND((All[[#This Row],[Engagement]]*$C$5+All[[#This Row],[Test]]*$D$5+All[[#This Row],[Project]]*$E$5+All[[#This Row],[Exam/Def]]*$F$5)/($C$5+$D$5+$E$5+$F$5),0)
  ),
  "")</f>
        <v/>
      </c>
      <c r="H117" s="18" t="str">
        <f>All[[#This Row],[Course Mark]]</f>
        <v/>
      </c>
      <c r="I117" s="18" t="str">
        <f>IF(All[[#This Row],[Wrote Sup]], INDEX(#REF!,MATCH(All[[#This Row],[Student No.]],#REF!,0)), "")</f>
        <v/>
      </c>
      <c r="J117" s="18" t="str">
        <f>IF(AND(All[[#This Row],[Student]],ISNUMBER(All[[#This Row],[Final]])),_xlfn.RANK.EQ(All[[#This Row],[Final]],All[Final]),"")</f>
        <v/>
      </c>
      <c r="K117" s="31"/>
      <c r="L117" s="18" t="str">
        <f>IF(All[[#This Row],[Student]], IF(All[Wrote Sup],All[Sup],All[[#This Row],[Final]]),"No student")</f>
        <v/>
      </c>
      <c r="M117" s="18" t="str">
        <f>IF(All[[#This Row],[Final]]="","",
  IF(All[[#This Row],[Wrote Sup]],
    IF(All[[#This Row],[Sup]]&lt;50,"FAL","PAS"),
  IF(All[[#This Row],[Exam/Def]]&lt;35, "FSB",
    IF(All[[#This Row],[Final]]&lt;50,"FAL",
    IF(All[[#This Row],[Final]]&gt;=50,"PAS",
  "Error!")))))</f>
        <v/>
      </c>
      <c r="N117" s="18">
        <f>IF(All[[#This Row],[Student]], _xlfn.IFNA(INDEX(captured[Course Mark],MATCH(All[[#This Row],[Student No.]],captured[ID_TEXT],0) &amp; ""), "Cannot find student!"),"No student!")</f>
        <v>29</v>
      </c>
      <c r="O117" s="189" t="str">
        <f>IF(All[[#This Row],[Student]], _xlfn.IFNA(INDEX(captured[Grade],MATCH(All[[#This Row],[Student No.]],captured[ID_TEXT],0)), "Cannot find student!") &amp; "","No student!")</f>
        <v>FSB</v>
      </c>
      <c r="P117"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17" s="18" t="str">
        <f>IF(All[[#This Row],[My Grade]]&lt;&gt;"",IF(All[[#This Row],[My Grade]]&lt;&gt;All[[#This Row],[Cap Grade]],TRUE,FALSE),"")</f>
        <v/>
      </c>
      <c r="R117" s="18" t="b">
        <f>IF(NOT(ISBLANK(All[[#This Row],[Student No.]])),OR(ISNUMBER(FIND("FSB",All[[#This Row],[My Grade]])),ISNUMBER(FIND("PAS", All[[#This Row],[My Grade]])),ISNUMBER(FIND("FAL",All[[#This Row],[My Grade]])),ISNUMBER(FIND("FAB", All[[#This Row],[My Grade]])),COUNTBLANK(All[[#This Row],[My Grade]])=1),FALSE)</f>
        <v>1</v>
      </c>
      <c r="S117" s="18" t="b">
        <f>IF(All[[#This Row],[Student No.]]&lt;&gt;"", TRUE, FALSE)</f>
        <v>1</v>
      </c>
      <c r="T117" s="18" t="b">
        <f>IF(COUNTBLANK(All[[#This Row],[Engagement]:[Exam/Def]])=0,TRUE, FALSE)</f>
        <v>0</v>
      </c>
      <c r="U117" s="18" t="b">
        <f>IF(ISNUMBER(All[[#This Row],[Test]]),TRUE,FALSE)</f>
        <v>0</v>
      </c>
      <c r="V117" s="18" t="e">
        <f>IF((INDEX(Test[Total (%)],MATCH(All[[#This Row],[Student No.]],Test[Student No.],0)))="ABS", TRUE, FALSE)</f>
        <v>#N/A</v>
      </c>
      <c r="W117" s="18" t="b">
        <f>IF(ISNUMBER(INDEX(Exam[Total (%)],MATCH(All[[#This Row],[Student No.]],Exam[Student No.],0))), TRUE, FALSE)</f>
        <v>0</v>
      </c>
      <c r="X117" s="18" t="b">
        <f>IF(ISNUMBER(INDEX(#REF!,MATCH(All[[#This Row],[Student No.]],#REF!,0))),TRUE,FALSE)</f>
        <v>0</v>
      </c>
      <c r="Y117" s="18" t="b">
        <f>IF(ISNUMBER(INDEX(#REF!,MATCH(All[[#This Row],[Student No.]],#REF!,0))),TRUE,FALSE)</f>
        <v>0</v>
      </c>
      <c r="Z117" s="18" t="b">
        <f>IF(All[[#This Row],[Wrote Def]],
IF(INDEX(#REF!, MATCH(All[[#This Row],[Student No.]],#REF!,0))&lt;&gt;All[[#This Row],[Exam/Def]], TRUE, FALSE),
  IF(All[[#This Row],[Wrote Exam]], IF(INDEX(Exam[Total (%)], MATCH(All[[#This Row],[Student No.]],Exam[Student No.],0))&lt;&gt;All[[#This Row],[Exam/Def]],TRUE,FALSE), FALSE))</f>
        <v>0</v>
      </c>
      <c r="AA117" s="18" t="b">
        <f xml:space="preserve">    IF(AND(All[[#This Row],[Exam/Def]]&lt;35,OR(All[[#This Row],[Wrote Exam]],All[[#This Row],[Wrote Def]])), TRUE,FALSE)</f>
        <v>0</v>
      </c>
      <c r="AB117" s="18" t="b">
        <f>IF(AND(All[[#This Row],[Exam &lt; 35%]],All[[#This Row],[Final]]&gt;=50),TRUE,FALSE)</f>
        <v>0</v>
      </c>
      <c r="AC117" s="18"/>
    </row>
    <row r="118" spans="1:29">
      <c r="A118" s="17" t="s">
        <v>386</v>
      </c>
      <c r="B118" s="17" t="s">
        <v>559</v>
      </c>
      <c r="C118" s="100" t="e">
        <f>IF(All[[#This Row],[Student]],
  IF(ISNA(INDEX(#REF!,MATCH(All[[#This Row],[Student No.]],#REF!,0))),
    "Cannot find student!",
    IF(INDEX(#REF!,MATCH(All[[#This Row],[Student No.]],#REF!,0))="",
      "",
      INDEX(#REF!,MATCH(All[[#This Row],[Student No.]],#REF!,0)))
    ),
  "No student!")</f>
        <v>#REF!</v>
      </c>
      <c r="D118"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18" s="18" t="str">
        <f>IF(All[[#This Row],[Student]],
  IF(ISNA(INDEX(Project[Total (%)],MATCH(All[[#This Row],[Student No.]],Project[Student No.],0))),
    "Cannot find student!",
    IF(INDEX(Project[Total (%)],MATCH(All[[#This Row],[Student No.]],Project[Student No.],0))="",
      "",
      INDEX(Project[Total (%)],MATCH(All[[#This Row],[Student No.]],Project[Student No.],0)))
    ),
  "No student!")</f>
        <v/>
      </c>
      <c r="F118" s="201">
        <f>IF(All[[#This Row],[Wrote Def]], INDEX(#REF!, MATCH(All[[#This Row],[Student No.]],#REF!,0)),
  IF(All[[#This Row],[Wrote Exam]], INDEX(Exam[Total (%)], MATCH(All[[#This Row],[Student No.]], Exam[Student No.],0)),
    ""))</f>
        <v>18</v>
      </c>
      <c r="G118" s="18" t="str">
        <f>IF(AND(All[[#This Row],[Student]], All[[#This Row],[All Components]]),
    IF(NOT(All[Has Test Mark]),ROUND((All[[#This Row],[Engagement]]*$C$5+All[[#This Row],[Project]]*$E$5+All[[#This Row],[Exam/Def]]*$F$5)/($C$5+$E$5+$F$5),0),
      ROUND((All[[#This Row],[Engagement]]*$C$5+All[[#This Row],[Test]]*$D$5+All[[#This Row],[Project]]*$E$5+All[[#This Row],[Exam/Def]]*$F$5)/($C$5+$D$5+$E$5+$F$5),0)
  ),
  "")</f>
        <v/>
      </c>
      <c r="H118" s="18" t="str">
        <f>All[[#This Row],[Course Mark]]</f>
        <v/>
      </c>
      <c r="I118" s="18" t="str">
        <f>IF(All[[#This Row],[Wrote Sup]], INDEX(#REF!,MATCH(All[[#This Row],[Student No.]],#REF!,0)), "")</f>
        <v/>
      </c>
      <c r="J118" s="18" t="str">
        <f>IF(AND(All[[#This Row],[Student]],ISNUMBER(All[[#This Row],[Final]])),_xlfn.RANK.EQ(All[[#This Row],[Final]],All[Final]),"")</f>
        <v/>
      </c>
      <c r="K118" s="31"/>
      <c r="L118" s="18" t="str">
        <f>IF(All[[#This Row],[Student]], IF(All[Wrote Sup],All[Sup],All[[#This Row],[Final]]),"No student")</f>
        <v/>
      </c>
      <c r="M118" s="18" t="str">
        <f>IF(All[[#This Row],[Final]]="","",
  IF(All[[#This Row],[Wrote Sup]],
    IF(All[[#This Row],[Sup]]&lt;50,"FAL","PAS"),
  IF(All[[#This Row],[Exam/Def]]&lt;35, "FSB",
    IF(All[[#This Row],[Final]]&lt;50,"FAL",
    IF(All[[#This Row],[Final]]&gt;=50,"PAS",
  "Error!")))))</f>
        <v/>
      </c>
      <c r="N118" s="18">
        <f>IF(All[[#This Row],[Student]], _xlfn.IFNA(INDEX(captured[Course Mark],MATCH(All[[#This Row],[Student No.]],captured[ID_TEXT],0) &amp; ""), "Cannot find student!"),"No student!")</f>
        <v>38</v>
      </c>
      <c r="O118" s="189" t="str">
        <f>IF(All[[#This Row],[Student]], _xlfn.IFNA(INDEX(captured[Grade],MATCH(All[[#This Row],[Student No.]],captured[ID_TEXT],0)), "Cannot find student!") &amp; "","No student!")</f>
        <v>FSB</v>
      </c>
      <c r="P118"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18" s="18" t="str">
        <f>IF(All[[#This Row],[My Grade]]&lt;&gt;"",IF(All[[#This Row],[My Grade]]&lt;&gt;All[[#This Row],[Cap Grade]],TRUE,FALSE),"")</f>
        <v/>
      </c>
      <c r="R118" s="18" t="b">
        <f>IF(NOT(ISBLANK(All[[#This Row],[Student No.]])),OR(ISNUMBER(FIND("FSB",All[[#This Row],[My Grade]])),ISNUMBER(FIND("PAS", All[[#This Row],[My Grade]])),ISNUMBER(FIND("FAL",All[[#This Row],[My Grade]])),ISNUMBER(FIND("FAB", All[[#This Row],[My Grade]])),COUNTBLANK(All[[#This Row],[My Grade]])=1),FALSE)</f>
        <v>1</v>
      </c>
      <c r="S118" s="18" t="b">
        <f>IF(All[[#This Row],[Student No.]]&lt;&gt;"", TRUE, FALSE)</f>
        <v>1</v>
      </c>
      <c r="T118" s="18" t="b">
        <f>IF(COUNTBLANK(All[[#This Row],[Engagement]:[Exam/Def]])=0,TRUE, FALSE)</f>
        <v>0</v>
      </c>
      <c r="U118" s="18" t="b">
        <f>IF(ISNUMBER(All[[#This Row],[Test]]),TRUE,FALSE)</f>
        <v>0</v>
      </c>
      <c r="V118" s="18" t="b">
        <f>IF((INDEX(Test[Total (%)],MATCH(All[[#This Row],[Student No.]],Test[Student No.],0)))="ABS", TRUE, FALSE)</f>
        <v>0</v>
      </c>
      <c r="W118" s="18" t="b">
        <f>IF(ISNUMBER(INDEX(Exam[Total (%)],MATCH(All[[#This Row],[Student No.]],Exam[Student No.],0))), TRUE, FALSE)</f>
        <v>1</v>
      </c>
      <c r="X118" s="18" t="b">
        <f>IF(ISNUMBER(INDEX(#REF!,MATCH(All[[#This Row],[Student No.]],#REF!,0))),TRUE,FALSE)</f>
        <v>0</v>
      </c>
      <c r="Y118" s="18" t="b">
        <f>IF(ISNUMBER(INDEX(#REF!,MATCH(All[[#This Row],[Student No.]],#REF!,0))),TRUE,FALSE)</f>
        <v>0</v>
      </c>
      <c r="Z118" s="18" t="b">
        <f>IF(All[[#This Row],[Wrote Def]],
IF(INDEX(#REF!, MATCH(All[[#This Row],[Student No.]],#REF!,0))&lt;&gt;All[[#This Row],[Exam/Def]], TRUE, FALSE),
  IF(All[[#This Row],[Wrote Exam]], IF(INDEX(Exam[Total (%)], MATCH(All[[#This Row],[Student No.]],Exam[Student No.],0))&lt;&gt;All[[#This Row],[Exam/Def]],TRUE,FALSE), FALSE))</f>
        <v>0</v>
      </c>
      <c r="AA118" s="18" t="b">
        <f xml:space="preserve">    IF(AND(All[[#This Row],[Exam/Def]]&lt;35,OR(All[[#This Row],[Wrote Exam]],All[[#This Row],[Wrote Def]])), TRUE,FALSE)</f>
        <v>1</v>
      </c>
      <c r="AB118" s="18" t="b">
        <f>IF(AND(All[[#This Row],[Exam &lt; 35%]],All[[#This Row],[Final]]&gt;=50),TRUE,FALSE)</f>
        <v>1</v>
      </c>
      <c r="AC118" s="18"/>
    </row>
    <row r="119" spans="1:29" ht="43.2">
      <c r="A119" s="17" t="s">
        <v>387</v>
      </c>
      <c r="B119" s="17" t="s">
        <v>560</v>
      </c>
      <c r="C119" s="100" t="e">
        <f>IF(All[[#This Row],[Student]],
  IF(ISNA(INDEX(#REF!,MATCH(All[[#This Row],[Student No.]],#REF!,0))),
    "Cannot find student!",
    IF(INDEX(#REF!,MATCH(All[[#This Row],[Student No.]],#REF!,0))="",
      "",
      INDEX(#REF!,MATCH(All[[#This Row],[Student No.]],#REF!,0)))
    ),
  "No student!")</f>
        <v>#REF!</v>
      </c>
      <c r="D119"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19" s="18" t="str">
        <f>IF(All[[#This Row],[Student]],
  IF(ISNA(INDEX(Project[Total (%)],MATCH(All[[#This Row],[Student No.]],Project[Student No.],0))),
    "Cannot find student!",
    IF(INDEX(Project[Total (%)],MATCH(All[[#This Row],[Student No.]],Project[Student No.],0))="",
      "",
      INDEX(Project[Total (%)],MATCH(All[[#This Row],[Student No.]],Project[Student No.],0)))
    ),
  "No student!")</f>
        <v/>
      </c>
      <c r="F119" s="201">
        <f>IF(All[[#This Row],[Wrote Def]], INDEX(#REF!, MATCH(All[[#This Row],[Student No.]],#REF!,0)),
  IF(All[[#This Row],[Wrote Exam]], INDEX(Exam[Total (%)], MATCH(All[[#This Row],[Student No.]], Exam[Student No.],0)),
    ""))</f>
        <v>44</v>
      </c>
      <c r="G119" s="18" t="str">
        <f>IF(AND(All[[#This Row],[Student]], All[[#This Row],[All Components]]),
    IF(NOT(All[Has Test Mark]),ROUND((All[[#This Row],[Engagement]]*$C$5+All[[#This Row],[Project]]*$E$5+All[[#This Row],[Exam/Def]]*$F$5)/($C$5+$E$5+$F$5),0),
      ROUND((All[[#This Row],[Engagement]]*$C$5+All[[#This Row],[Test]]*$D$5+All[[#This Row],[Project]]*$E$5+All[[#This Row],[Exam/Def]]*$F$5)/($C$5+$D$5+$E$5+$F$5),0)
  ),
  "")</f>
        <v/>
      </c>
      <c r="H119" s="18" t="str">
        <f>All[[#This Row],[Course Mark]]</f>
        <v/>
      </c>
      <c r="I119" s="18" t="str">
        <f>IF(All[[#This Row],[Wrote Sup]], INDEX(#REF!,MATCH(All[[#This Row],[Student No.]],#REF!,0)), "")</f>
        <v/>
      </c>
      <c r="J119" s="18" t="str">
        <f>IF(AND(All[[#This Row],[Student]],ISNUMBER(All[[#This Row],[Final]])),_xlfn.RANK.EQ(All[[#This Row],[Final]],All[Final]),"")</f>
        <v/>
      </c>
      <c r="K119" s="31"/>
      <c r="L119" s="18" t="str">
        <f>IF(All[[#This Row],[Student]], IF(All[Wrote Sup],All[Sup],All[[#This Row],[Final]]),"No student")</f>
        <v/>
      </c>
      <c r="M119" s="18" t="str">
        <f>IF(All[[#This Row],[Final]]="","",
  IF(All[[#This Row],[Wrote Sup]],
    IF(All[[#This Row],[Sup]]&lt;50,"FAL","PAS"),
  IF(All[[#This Row],[Exam/Def]]&lt;35, "FSB",
    IF(All[[#This Row],[Final]]&lt;50,"FAL",
    IF(All[[#This Row],[Final]]&gt;=50,"PAS",
  "Error!")))))</f>
        <v/>
      </c>
      <c r="N119" s="18">
        <f>IF(All[[#This Row],[Student]], _xlfn.IFNA(INDEX(captured[Course Mark],MATCH(All[[#This Row],[Student No.]],captured[ID_TEXT],0) &amp; ""), "Cannot find student!"),"No student!")</f>
        <v>58</v>
      </c>
      <c r="O119" s="189" t="str">
        <f>IF(All[[#This Row],[Student]], _xlfn.IFNA(INDEX(captured[Grade],MATCH(All[[#This Row],[Student No.]],captured[ID_TEXT],0)), "Cannot find student!") &amp; "","No student!")</f>
        <v>PAS</v>
      </c>
      <c r="P119"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19" s="18" t="str">
        <f>IF(All[[#This Row],[My Grade]]&lt;&gt;"",IF(All[[#This Row],[My Grade]]&lt;&gt;All[[#This Row],[Cap Grade]],TRUE,FALSE),"")</f>
        <v/>
      </c>
      <c r="R119" s="18" t="b">
        <f>IF(NOT(ISBLANK(All[[#This Row],[Student No.]])),OR(ISNUMBER(FIND("FSB",All[[#This Row],[My Grade]])),ISNUMBER(FIND("PAS", All[[#This Row],[My Grade]])),ISNUMBER(FIND("FAL",All[[#This Row],[My Grade]])),ISNUMBER(FIND("FAB", All[[#This Row],[My Grade]])),COUNTBLANK(All[[#This Row],[My Grade]])=1),FALSE)</f>
        <v>1</v>
      </c>
      <c r="S119" s="18" t="b">
        <f>IF(All[[#This Row],[Student No.]]&lt;&gt;"", TRUE, FALSE)</f>
        <v>1</v>
      </c>
      <c r="T119" s="18" t="b">
        <f>IF(COUNTBLANK(All[[#This Row],[Engagement]:[Exam/Def]])=0,TRUE, FALSE)</f>
        <v>0</v>
      </c>
      <c r="U119" s="18" t="b">
        <f>IF(ISNUMBER(All[[#This Row],[Test]]),TRUE,FALSE)</f>
        <v>0</v>
      </c>
      <c r="V119" s="18" t="e">
        <f>IF((INDEX(Test[Total (%)],MATCH(All[[#This Row],[Student No.]],Test[Student No.],0)))="ABS", TRUE, FALSE)</f>
        <v>#N/A</v>
      </c>
      <c r="W119" s="18" t="b">
        <f>IF(ISNUMBER(INDEX(Exam[Total (%)],MATCH(All[[#This Row],[Student No.]],Exam[Student No.],0))), TRUE, FALSE)</f>
        <v>1</v>
      </c>
      <c r="X119" s="18" t="b">
        <f>IF(ISNUMBER(INDEX(#REF!,MATCH(All[[#This Row],[Student No.]],#REF!,0))),TRUE,FALSE)</f>
        <v>0</v>
      </c>
      <c r="Y119" s="18" t="b">
        <f>IF(ISNUMBER(INDEX(#REF!,MATCH(All[[#This Row],[Student No.]],#REF!,0))),TRUE,FALSE)</f>
        <v>0</v>
      </c>
      <c r="Z119" s="18" t="b">
        <f>IF(All[[#This Row],[Wrote Def]],
IF(INDEX(#REF!, MATCH(All[[#This Row],[Student No.]],#REF!,0))&lt;&gt;All[[#This Row],[Exam/Def]], TRUE, FALSE),
  IF(All[[#This Row],[Wrote Exam]], IF(INDEX(Exam[Total (%)], MATCH(All[[#This Row],[Student No.]],Exam[Student No.],0))&lt;&gt;All[[#This Row],[Exam/Def]],TRUE,FALSE), FALSE))</f>
        <v>0</v>
      </c>
      <c r="AA119" s="18" t="b">
        <f xml:space="preserve">    IF(AND(All[[#This Row],[Exam/Def]]&lt;35,OR(All[[#This Row],[Wrote Exam]],All[[#This Row],[Wrote Def]])), TRUE,FALSE)</f>
        <v>0</v>
      </c>
      <c r="AB119" s="18" t="b">
        <f>IF(AND(All[[#This Row],[Exam &lt; 35%]],All[[#This Row],[Final]]&gt;=50),TRUE,FALSE)</f>
        <v>0</v>
      </c>
      <c r="AC119" s="18"/>
    </row>
    <row r="120" spans="1:29">
      <c r="A120" s="17" t="s">
        <v>388</v>
      </c>
      <c r="B120" s="17" t="s">
        <v>561</v>
      </c>
      <c r="C120" s="100" t="e">
        <f>IF(All[[#This Row],[Student]],
  IF(ISNA(INDEX(#REF!,MATCH(All[[#This Row],[Student No.]],#REF!,0))),
    "Cannot find student!",
    IF(INDEX(#REF!,MATCH(All[[#This Row],[Student No.]],#REF!,0))="",
      "",
      INDEX(#REF!,MATCH(All[[#This Row],[Student No.]],#REF!,0)))
    ),
  "No student!")</f>
        <v>#REF!</v>
      </c>
      <c r="D120"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20" s="18" t="str">
        <f>IF(All[[#This Row],[Student]],
  IF(ISNA(INDEX(Project[Total (%)],MATCH(All[[#This Row],[Student No.]],Project[Student No.],0))),
    "Cannot find student!",
    IF(INDEX(Project[Total (%)],MATCH(All[[#This Row],[Student No.]],Project[Student No.],0))="",
      "",
      INDEX(Project[Total (%)],MATCH(All[[#This Row],[Student No.]],Project[Student No.],0)))
    ),
  "No student!")</f>
        <v/>
      </c>
      <c r="F120" s="201">
        <f>IF(All[[#This Row],[Wrote Def]], INDEX(#REF!, MATCH(All[[#This Row],[Student No.]],#REF!,0)),
  IF(All[[#This Row],[Wrote Exam]], INDEX(Exam[Total (%)], MATCH(All[[#This Row],[Student No.]], Exam[Student No.],0)),
    ""))</f>
        <v>26</v>
      </c>
      <c r="G120" s="18" t="str">
        <f>IF(AND(All[[#This Row],[Student]], All[[#This Row],[All Components]]),
    IF(NOT(All[Has Test Mark]),ROUND((All[[#This Row],[Engagement]]*$C$5+All[[#This Row],[Project]]*$E$5+All[[#This Row],[Exam/Def]]*$F$5)/($C$5+$E$5+$F$5),0),
      ROUND((All[[#This Row],[Engagement]]*$C$5+All[[#This Row],[Test]]*$D$5+All[[#This Row],[Project]]*$E$5+All[[#This Row],[Exam/Def]]*$F$5)/($C$5+$D$5+$E$5+$F$5),0)
  ),
  "")</f>
        <v/>
      </c>
      <c r="H120" s="18" t="str">
        <f>All[[#This Row],[Course Mark]]</f>
        <v/>
      </c>
      <c r="I120" s="18" t="str">
        <f>IF(All[[#This Row],[Wrote Sup]], INDEX(#REF!,MATCH(All[[#This Row],[Student No.]],#REF!,0)), "")</f>
        <v/>
      </c>
      <c r="J120" s="18" t="str">
        <f>IF(AND(All[[#This Row],[Student]],ISNUMBER(All[[#This Row],[Final]])),_xlfn.RANK.EQ(All[[#This Row],[Final]],All[Final]),"")</f>
        <v/>
      </c>
      <c r="K120" s="31"/>
      <c r="L120" s="18" t="str">
        <f>IF(All[[#This Row],[Student]], IF(All[Wrote Sup],All[Sup],All[[#This Row],[Final]]),"No student")</f>
        <v/>
      </c>
      <c r="M120" s="18" t="str">
        <f>IF(All[[#This Row],[Final]]="","",
  IF(All[[#This Row],[Wrote Sup]],
    IF(All[[#This Row],[Sup]]&lt;50,"FAL","PAS"),
  IF(All[[#This Row],[Exam/Def]]&lt;35, "FSB",
    IF(All[[#This Row],[Final]]&lt;50,"FAL",
    IF(All[[#This Row],[Final]]&gt;=50,"PAS",
  "Error!")))))</f>
        <v/>
      </c>
      <c r="N120" s="18">
        <f>IF(All[[#This Row],[Student]], _xlfn.IFNA(INDEX(captured[Course Mark],MATCH(All[[#This Row],[Student No.]],captured[ID_TEXT],0) &amp; ""), "Cannot find student!"),"No student!")</f>
        <v>32</v>
      </c>
      <c r="O120" s="189" t="str">
        <f>IF(All[[#This Row],[Student]], _xlfn.IFNA(INDEX(captured[Grade],MATCH(All[[#This Row],[Student No.]],captured[ID_TEXT],0)), "Cannot find student!") &amp; "","No student!")</f>
        <v>FSB</v>
      </c>
      <c r="P120"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20" s="18" t="str">
        <f>IF(All[[#This Row],[My Grade]]&lt;&gt;"",IF(All[[#This Row],[My Grade]]&lt;&gt;All[[#This Row],[Cap Grade]],TRUE,FALSE),"")</f>
        <v/>
      </c>
      <c r="R120" s="18" t="b">
        <f>IF(NOT(ISBLANK(All[[#This Row],[Student No.]])),OR(ISNUMBER(FIND("FSB",All[[#This Row],[My Grade]])),ISNUMBER(FIND("PAS", All[[#This Row],[My Grade]])),ISNUMBER(FIND("FAL",All[[#This Row],[My Grade]])),ISNUMBER(FIND("FAB", All[[#This Row],[My Grade]])),COUNTBLANK(All[[#This Row],[My Grade]])=1),FALSE)</f>
        <v>1</v>
      </c>
      <c r="S120" s="18" t="b">
        <f>IF(All[[#This Row],[Student No.]]&lt;&gt;"", TRUE, FALSE)</f>
        <v>1</v>
      </c>
      <c r="T120" s="18" t="b">
        <f>IF(COUNTBLANK(All[[#This Row],[Engagement]:[Exam/Def]])=0,TRUE, FALSE)</f>
        <v>0</v>
      </c>
      <c r="U120" s="18" t="b">
        <f>IF(ISNUMBER(All[[#This Row],[Test]]),TRUE,FALSE)</f>
        <v>0</v>
      </c>
      <c r="V120" s="18" t="b">
        <f>IF((INDEX(Test[Total (%)],MATCH(All[[#This Row],[Student No.]],Test[Student No.],0)))="ABS", TRUE, FALSE)</f>
        <v>0</v>
      </c>
      <c r="W120" s="18" t="b">
        <f>IF(ISNUMBER(INDEX(Exam[Total (%)],MATCH(All[[#This Row],[Student No.]],Exam[Student No.],0))), TRUE, FALSE)</f>
        <v>1</v>
      </c>
      <c r="X120" s="18" t="b">
        <f>IF(ISNUMBER(INDEX(#REF!,MATCH(All[[#This Row],[Student No.]],#REF!,0))),TRUE,FALSE)</f>
        <v>0</v>
      </c>
      <c r="Y120" s="18" t="b">
        <f>IF(ISNUMBER(INDEX(#REF!,MATCH(All[[#This Row],[Student No.]],#REF!,0))),TRUE,FALSE)</f>
        <v>0</v>
      </c>
      <c r="Z120" s="18" t="b">
        <f>IF(All[[#This Row],[Wrote Def]],
IF(INDEX(#REF!, MATCH(All[[#This Row],[Student No.]],#REF!,0))&lt;&gt;All[[#This Row],[Exam/Def]], TRUE, FALSE),
  IF(All[[#This Row],[Wrote Exam]], IF(INDEX(Exam[Total (%)], MATCH(All[[#This Row],[Student No.]],Exam[Student No.],0))&lt;&gt;All[[#This Row],[Exam/Def]],TRUE,FALSE), FALSE))</f>
        <v>0</v>
      </c>
      <c r="AA120" s="18" t="b">
        <f xml:space="preserve">    IF(AND(All[[#This Row],[Exam/Def]]&lt;35,OR(All[[#This Row],[Wrote Exam]],All[[#This Row],[Wrote Def]])), TRUE,FALSE)</f>
        <v>1</v>
      </c>
      <c r="AB120" s="18" t="b">
        <f>IF(AND(All[[#This Row],[Exam &lt; 35%]],All[[#This Row],[Final]]&gt;=50),TRUE,FALSE)</f>
        <v>1</v>
      </c>
      <c r="AC120" s="18"/>
    </row>
    <row r="121" spans="1:29">
      <c r="A121" s="17" t="s">
        <v>389</v>
      </c>
      <c r="B121" s="17" t="s">
        <v>562</v>
      </c>
      <c r="C121" s="100" t="e">
        <f>IF(All[[#This Row],[Student]],
  IF(ISNA(INDEX(#REF!,MATCH(All[[#This Row],[Student No.]],#REF!,0))),
    "Cannot find student!",
    IF(INDEX(#REF!,MATCH(All[[#This Row],[Student No.]],#REF!,0))="",
      "",
      INDEX(#REF!,MATCH(All[[#This Row],[Student No.]],#REF!,0)))
    ),
  "No student!")</f>
        <v>#REF!</v>
      </c>
      <c r="D121"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21" s="18" t="str">
        <f>IF(All[[#This Row],[Student]],
  IF(ISNA(INDEX(Project[Total (%)],MATCH(All[[#This Row],[Student No.]],Project[Student No.],0))),
    "Cannot find student!",
    IF(INDEX(Project[Total (%)],MATCH(All[[#This Row],[Student No.]],Project[Student No.],0))="",
      "",
      INDEX(Project[Total (%)],MATCH(All[[#This Row],[Student No.]],Project[Student No.],0)))
    ),
  "No student!")</f>
        <v/>
      </c>
      <c r="F121" s="201">
        <f>IF(All[[#This Row],[Wrote Def]], INDEX(#REF!, MATCH(All[[#This Row],[Student No.]],#REF!,0)),
  IF(All[[#This Row],[Wrote Exam]], INDEX(Exam[Total (%)], MATCH(All[[#This Row],[Student No.]], Exam[Student No.],0)),
    ""))</f>
        <v>25</v>
      </c>
      <c r="G121" s="18" t="str">
        <f>IF(AND(All[[#This Row],[Student]], All[[#This Row],[All Components]]),
    IF(NOT(All[Has Test Mark]),ROUND((All[[#This Row],[Engagement]]*$C$5+All[[#This Row],[Project]]*$E$5+All[[#This Row],[Exam/Def]]*$F$5)/($C$5+$E$5+$F$5),0),
      ROUND((All[[#This Row],[Engagement]]*$C$5+All[[#This Row],[Test]]*$D$5+All[[#This Row],[Project]]*$E$5+All[[#This Row],[Exam/Def]]*$F$5)/($C$5+$D$5+$E$5+$F$5),0)
  ),
  "")</f>
        <v/>
      </c>
      <c r="H121" s="18" t="str">
        <f>All[[#This Row],[Course Mark]]</f>
        <v/>
      </c>
      <c r="I121" s="18" t="str">
        <f>IF(All[[#This Row],[Wrote Sup]], INDEX(#REF!,MATCH(All[[#This Row],[Student No.]],#REF!,0)), "")</f>
        <v/>
      </c>
      <c r="J121" s="18" t="str">
        <f>IF(AND(All[[#This Row],[Student]],ISNUMBER(All[[#This Row],[Final]])),_xlfn.RANK.EQ(All[[#This Row],[Final]],All[Final]),"")</f>
        <v/>
      </c>
      <c r="K121" s="31"/>
      <c r="L121" s="18" t="str">
        <f>IF(All[[#This Row],[Student]], IF(All[Wrote Sup],All[Sup],All[[#This Row],[Final]]),"No student")</f>
        <v/>
      </c>
      <c r="M121" s="18" t="str">
        <f>IF(All[[#This Row],[Final]]="","",
  IF(All[[#This Row],[Wrote Sup]],
    IF(All[[#This Row],[Sup]]&lt;50,"FAL","PAS"),
  IF(All[[#This Row],[Exam/Def]]&lt;35, "FSB",
    IF(All[[#This Row],[Final]]&lt;50,"FAL",
    IF(All[[#This Row],[Final]]&gt;=50,"PAS",
  "Error!")))))</f>
        <v/>
      </c>
      <c r="N121" s="18">
        <f>IF(All[[#This Row],[Student]], _xlfn.IFNA(INDEX(captured[Course Mark],MATCH(All[[#This Row],[Student No.]],captured[ID_TEXT],0) &amp; ""), "Cannot find student!"),"No student!")</f>
        <v>30</v>
      </c>
      <c r="O121" s="189" t="str">
        <f>IF(All[[#This Row],[Student]], _xlfn.IFNA(INDEX(captured[Grade],MATCH(All[[#This Row],[Student No.]],captured[ID_TEXT],0)), "Cannot find student!") &amp; "","No student!")</f>
        <v>FSB</v>
      </c>
      <c r="P121"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21" s="18" t="str">
        <f>IF(All[[#This Row],[My Grade]]&lt;&gt;"",IF(All[[#This Row],[My Grade]]&lt;&gt;All[[#This Row],[Cap Grade]],TRUE,FALSE),"")</f>
        <v/>
      </c>
      <c r="R121" s="18" t="b">
        <f>IF(NOT(ISBLANK(All[[#This Row],[Student No.]])),OR(ISNUMBER(FIND("FSB",All[[#This Row],[My Grade]])),ISNUMBER(FIND("PAS", All[[#This Row],[My Grade]])),ISNUMBER(FIND("FAL",All[[#This Row],[My Grade]])),ISNUMBER(FIND("FAB", All[[#This Row],[My Grade]])),COUNTBLANK(All[[#This Row],[My Grade]])=1),FALSE)</f>
        <v>1</v>
      </c>
      <c r="S121" s="18" t="b">
        <f>IF(All[[#This Row],[Student No.]]&lt;&gt;"", TRUE, FALSE)</f>
        <v>1</v>
      </c>
      <c r="T121" s="18" t="b">
        <f>IF(COUNTBLANK(All[[#This Row],[Engagement]:[Exam/Def]])=0,TRUE, FALSE)</f>
        <v>0</v>
      </c>
      <c r="U121" s="18" t="b">
        <f>IF(ISNUMBER(All[[#This Row],[Test]]),TRUE,FALSE)</f>
        <v>0</v>
      </c>
      <c r="V121" s="18" t="b">
        <f>IF((INDEX(Test[Total (%)],MATCH(All[[#This Row],[Student No.]],Test[Student No.],0)))="ABS", TRUE, FALSE)</f>
        <v>0</v>
      </c>
      <c r="W121" s="18" t="b">
        <f>IF(ISNUMBER(INDEX(Exam[Total (%)],MATCH(All[[#This Row],[Student No.]],Exam[Student No.],0))), TRUE, FALSE)</f>
        <v>1</v>
      </c>
      <c r="X121" s="18" t="b">
        <f>IF(ISNUMBER(INDEX(#REF!,MATCH(All[[#This Row],[Student No.]],#REF!,0))),TRUE,FALSE)</f>
        <v>0</v>
      </c>
      <c r="Y121" s="18" t="b">
        <f>IF(ISNUMBER(INDEX(#REF!,MATCH(All[[#This Row],[Student No.]],#REF!,0))),TRUE,FALSE)</f>
        <v>0</v>
      </c>
      <c r="Z121" s="18" t="b">
        <f>IF(All[[#This Row],[Wrote Def]],
IF(INDEX(#REF!, MATCH(All[[#This Row],[Student No.]],#REF!,0))&lt;&gt;All[[#This Row],[Exam/Def]], TRUE, FALSE),
  IF(All[[#This Row],[Wrote Exam]], IF(INDEX(Exam[Total (%)], MATCH(All[[#This Row],[Student No.]],Exam[Student No.],0))&lt;&gt;All[[#This Row],[Exam/Def]],TRUE,FALSE), FALSE))</f>
        <v>0</v>
      </c>
      <c r="AA121" s="18" t="b">
        <f xml:space="preserve">    IF(AND(All[[#This Row],[Exam/Def]]&lt;35,OR(All[[#This Row],[Wrote Exam]],All[[#This Row],[Wrote Def]])), TRUE,FALSE)</f>
        <v>1</v>
      </c>
      <c r="AB121" s="18" t="b">
        <f>IF(AND(All[[#This Row],[Exam &lt; 35%]],All[[#This Row],[Final]]&gt;=50),TRUE,FALSE)</f>
        <v>1</v>
      </c>
      <c r="AC121" s="18"/>
    </row>
    <row r="122" spans="1:29" ht="43.2">
      <c r="A122" s="17" t="s">
        <v>390</v>
      </c>
      <c r="B122" s="17" t="s">
        <v>563</v>
      </c>
      <c r="C122" s="100" t="e">
        <f>IF(All[[#This Row],[Student]],
  IF(ISNA(INDEX(#REF!,MATCH(All[[#This Row],[Student No.]],#REF!,0))),
    "Cannot find student!",
    IF(INDEX(#REF!,MATCH(All[[#This Row],[Student No.]],#REF!,0))="",
      "",
      INDEX(#REF!,MATCH(All[[#This Row],[Student No.]],#REF!,0)))
    ),
  "No student!")</f>
        <v>#REF!</v>
      </c>
      <c r="D122"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22" s="18" t="str">
        <f>IF(All[[#This Row],[Student]],
  IF(ISNA(INDEX(Project[Total (%)],MATCH(All[[#This Row],[Student No.]],Project[Student No.],0))),
    "Cannot find student!",
    IF(INDEX(Project[Total (%)],MATCH(All[[#This Row],[Student No.]],Project[Student No.],0))="",
      "",
      INDEX(Project[Total (%)],MATCH(All[[#This Row],[Student No.]],Project[Student No.],0)))
    ),
  "No student!")</f>
        <v/>
      </c>
      <c r="F122" s="201" t="str">
        <f>IF(All[[#This Row],[Wrote Def]], INDEX(#REF!, MATCH(All[[#This Row],[Student No.]],#REF!,0)),
  IF(All[[#This Row],[Wrote Exam]], INDEX(Exam[Total (%)], MATCH(All[[#This Row],[Student No.]], Exam[Student No.],0)),
    ""))</f>
        <v/>
      </c>
      <c r="G122" s="18" t="str">
        <f>IF(AND(All[[#This Row],[Student]], All[[#This Row],[All Components]]),
    IF(NOT(All[Has Test Mark]),ROUND((All[[#This Row],[Engagement]]*$C$5+All[[#This Row],[Project]]*$E$5+All[[#This Row],[Exam/Def]]*$F$5)/($C$5+$E$5+$F$5),0),
      ROUND((All[[#This Row],[Engagement]]*$C$5+All[[#This Row],[Test]]*$D$5+All[[#This Row],[Project]]*$E$5+All[[#This Row],[Exam/Def]]*$F$5)/($C$5+$D$5+$E$5+$F$5),0)
  ),
  "")</f>
        <v/>
      </c>
      <c r="H122" s="18" t="str">
        <f>All[[#This Row],[Course Mark]]</f>
        <v/>
      </c>
      <c r="I122" s="18" t="str">
        <f>IF(All[[#This Row],[Wrote Sup]], INDEX(#REF!,MATCH(All[[#This Row],[Student No.]],#REF!,0)), "")</f>
        <v/>
      </c>
      <c r="J122" s="18" t="str">
        <f>IF(AND(All[[#This Row],[Student]],ISNUMBER(All[[#This Row],[Final]])),_xlfn.RANK.EQ(All[[#This Row],[Final]],All[Final]),"")</f>
        <v/>
      </c>
      <c r="K122" s="31"/>
      <c r="L122" s="18" t="str">
        <f>IF(All[[#This Row],[Student]], IF(All[Wrote Sup],All[Sup],All[[#This Row],[Final]]),"No student")</f>
        <v/>
      </c>
      <c r="M122" s="18" t="str">
        <f>IF(All[[#This Row],[Final]]="","",
  IF(All[[#This Row],[Wrote Sup]],
    IF(All[[#This Row],[Sup]]&lt;50,"FAL","PAS"),
  IF(All[[#This Row],[Exam/Def]]&lt;35, "FSB",
    IF(All[[#This Row],[Final]]&lt;50,"FAL",
    IF(All[[#This Row],[Final]]&gt;=50,"PAS",
  "Error!")))))</f>
        <v/>
      </c>
      <c r="N122" s="18" t="str">
        <f>IF(All[[#This Row],[Student]], _xlfn.IFNA(INDEX(captured[Course Mark],MATCH(All[[#This Row],[Student No.]],captured[ID_TEXT],0) &amp; ""), "Cannot find student!"),"No student!")</f>
        <v>DEF</v>
      </c>
      <c r="O122" s="189" t="str">
        <f>IF(All[[#This Row],[Student]], _xlfn.IFNA(INDEX(captured[Grade],MATCH(All[[#This Row],[Student No.]],captured[ID_TEXT],0)), "Cannot find student!") &amp; "","No student!")</f>
        <v>DEF</v>
      </c>
      <c r="P122" s="18" t="b">
        <f xml:space="preserve"> IF(AND(ISNUMBER(All[[#This Row],[Cap Mark]]), ISNUMBER(All[[#This Row],[My Mark]])), ABS(All[[#This Row],[Cap Mark]] - All[[#This Row],[My Mark]]) &lt;&gt; 0,
    IF(AND(ISNUMBER(All[[#This Row],[My Mark]]),NOT(ISNUMBER(All[[#This Row],[Cap Mark]]))),TRUE,
    IF(AND(ISNUMBER(All[[#This Row],[Cap Mark]]),NOT(ISNUMBER(All[[#This Row],[My Mark]]))),TRUE,FALSE)
    ))</f>
        <v>0</v>
      </c>
      <c r="Q122" s="18" t="str">
        <f>IF(All[[#This Row],[My Grade]]&lt;&gt;"",IF(All[[#This Row],[My Grade]]&lt;&gt;All[[#This Row],[Cap Grade]],TRUE,FALSE),"")</f>
        <v/>
      </c>
      <c r="R122" s="18" t="b">
        <f>IF(NOT(ISBLANK(All[[#This Row],[Student No.]])),OR(ISNUMBER(FIND("FSB",All[[#This Row],[My Grade]])),ISNUMBER(FIND("PAS", All[[#This Row],[My Grade]])),ISNUMBER(FIND("FAL",All[[#This Row],[My Grade]])),ISNUMBER(FIND("FAB", All[[#This Row],[My Grade]])),COUNTBLANK(All[[#This Row],[My Grade]])=1),FALSE)</f>
        <v>1</v>
      </c>
      <c r="S122" s="18" t="b">
        <f>IF(All[[#This Row],[Student No.]]&lt;&gt;"", TRUE, FALSE)</f>
        <v>1</v>
      </c>
      <c r="T122" s="18" t="b">
        <f>IF(COUNTBLANK(All[[#This Row],[Engagement]:[Exam/Def]])=0,TRUE, FALSE)</f>
        <v>0</v>
      </c>
      <c r="U122" s="18" t="b">
        <f>IF(ISNUMBER(All[[#This Row],[Test]]),TRUE,FALSE)</f>
        <v>0</v>
      </c>
      <c r="V122" s="18" t="e">
        <f>IF((INDEX(Test[Total (%)],MATCH(All[[#This Row],[Student No.]],Test[Student No.],0)))="ABS", TRUE, FALSE)</f>
        <v>#N/A</v>
      </c>
      <c r="W122" s="18" t="b">
        <f>IF(ISNUMBER(INDEX(Exam[Total (%)],MATCH(All[[#This Row],[Student No.]],Exam[Student No.],0))), TRUE, FALSE)</f>
        <v>0</v>
      </c>
      <c r="X122" s="18" t="b">
        <f>IF(ISNUMBER(INDEX(#REF!,MATCH(All[[#This Row],[Student No.]],#REF!,0))),TRUE,FALSE)</f>
        <v>0</v>
      </c>
      <c r="Y122" s="18" t="b">
        <f>IF(ISNUMBER(INDEX(#REF!,MATCH(All[[#This Row],[Student No.]],#REF!,0))),TRUE,FALSE)</f>
        <v>0</v>
      </c>
      <c r="Z122" s="18" t="b">
        <f>IF(All[[#This Row],[Wrote Def]],
IF(INDEX(#REF!, MATCH(All[[#This Row],[Student No.]],#REF!,0))&lt;&gt;All[[#This Row],[Exam/Def]], TRUE, FALSE),
  IF(All[[#This Row],[Wrote Exam]], IF(INDEX(Exam[Total (%)], MATCH(All[[#This Row],[Student No.]],Exam[Student No.],0))&lt;&gt;All[[#This Row],[Exam/Def]],TRUE,FALSE), FALSE))</f>
        <v>0</v>
      </c>
      <c r="AA122" s="18" t="b">
        <f xml:space="preserve">    IF(AND(All[[#This Row],[Exam/Def]]&lt;35,OR(All[[#This Row],[Wrote Exam]],All[[#This Row],[Wrote Def]])), TRUE,FALSE)</f>
        <v>0</v>
      </c>
      <c r="AB122" s="18" t="b">
        <f>IF(AND(All[[#This Row],[Exam &lt; 35%]],All[[#This Row],[Final]]&gt;=50),TRUE,FALSE)</f>
        <v>0</v>
      </c>
      <c r="AC122" s="18"/>
    </row>
    <row r="123" spans="1:29" ht="43.2">
      <c r="A123" s="17" t="s">
        <v>391</v>
      </c>
      <c r="B123" s="17" t="s">
        <v>564</v>
      </c>
      <c r="C123" s="100" t="e">
        <f>IF(All[[#This Row],[Student]],
  IF(ISNA(INDEX(#REF!,MATCH(All[[#This Row],[Student No.]],#REF!,0))),
    "Cannot find student!",
    IF(INDEX(#REF!,MATCH(All[[#This Row],[Student No.]],#REF!,0))="",
      "",
      INDEX(#REF!,MATCH(All[[#This Row],[Student No.]],#REF!,0)))
    ),
  "No student!")</f>
        <v>#REF!</v>
      </c>
      <c r="D123"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23" s="18" t="str">
        <f>IF(All[[#This Row],[Student]],
  IF(ISNA(INDEX(Project[Total (%)],MATCH(All[[#This Row],[Student No.]],Project[Student No.],0))),
    "Cannot find student!",
    IF(INDEX(Project[Total (%)],MATCH(All[[#This Row],[Student No.]],Project[Student No.],0))="",
      "",
      INDEX(Project[Total (%)],MATCH(All[[#This Row],[Student No.]],Project[Student No.],0)))
    ),
  "No student!")</f>
        <v/>
      </c>
      <c r="F123" s="201">
        <f>IF(All[[#This Row],[Wrote Def]], INDEX(#REF!, MATCH(All[[#This Row],[Student No.]],#REF!,0)),
  IF(All[[#This Row],[Wrote Exam]], INDEX(Exam[Total (%)], MATCH(All[[#This Row],[Student No.]], Exam[Student No.],0)),
    ""))</f>
        <v>19</v>
      </c>
      <c r="G123" s="18" t="str">
        <f>IF(AND(All[[#This Row],[Student]], All[[#This Row],[All Components]]),
    IF(NOT(All[Has Test Mark]),ROUND((All[[#This Row],[Engagement]]*$C$5+All[[#This Row],[Project]]*$E$5+All[[#This Row],[Exam/Def]]*$F$5)/($C$5+$E$5+$F$5),0),
      ROUND((All[[#This Row],[Engagement]]*$C$5+All[[#This Row],[Test]]*$D$5+All[[#This Row],[Project]]*$E$5+All[[#This Row],[Exam/Def]]*$F$5)/($C$5+$D$5+$E$5+$F$5),0)
  ),
  "")</f>
        <v/>
      </c>
      <c r="H123" s="18" t="str">
        <f>All[[#This Row],[Course Mark]]</f>
        <v/>
      </c>
      <c r="I123" s="18" t="str">
        <f>IF(All[[#This Row],[Wrote Sup]], INDEX(#REF!,MATCH(All[[#This Row],[Student No.]],#REF!,0)), "")</f>
        <v/>
      </c>
      <c r="J123" s="18" t="str">
        <f>IF(AND(All[[#This Row],[Student]],ISNUMBER(All[[#This Row],[Final]])),_xlfn.RANK.EQ(All[[#This Row],[Final]],All[Final]),"")</f>
        <v/>
      </c>
      <c r="K123" s="31"/>
      <c r="L123" s="18" t="str">
        <f>IF(All[[#This Row],[Student]], IF(All[Wrote Sup],All[Sup],All[[#This Row],[Final]]),"No student")</f>
        <v/>
      </c>
      <c r="M123" s="18" t="str">
        <f>IF(All[[#This Row],[Final]]="","",
  IF(All[[#This Row],[Wrote Sup]],
    IF(All[[#This Row],[Sup]]&lt;50,"FAL","PAS"),
  IF(All[[#This Row],[Exam/Def]]&lt;35, "FSB",
    IF(All[[#This Row],[Final]]&lt;50,"FAL",
    IF(All[[#This Row],[Final]]&gt;=50,"PAS",
  "Error!")))))</f>
        <v/>
      </c>
      <c r="N123" s="18">
        <f>IF(All[[#This Row],[Student]], _xlfn.IFNA(INDEX(captured[Course Mark],MATCH(All[[#This Row],[Student No.]],captured[ID_TEXT],0) &amp; ""), "Cannot find student!"),"No student!")</f>
        <v>18</v>
      </c>
      <c r="O123" s="189" t="str">
        <f>IF(All[[#This Row],[Student]], _xlfn.IFNA(INDEX(captured[Grade],MATCH(All[[#This Row],[Student No.]],captured[ID_TEXT],0)), "Cannot find student!") &amp; "","No student!")</f>
        <v>FSB</v>
      </c>
      <c r="P123"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23" s="18" t="str">
        <f>IF(All[[#This Row],[My Grade]]&lt;&gt;"",IF(All[[#This Row],[My Grade]]&lt;&gt;All[[#This Row],[Cap Grade]],TRUE,FALSE),"")</f>
        <v/>
      </c>
      <c r="R123" s="18" t="b">
        <f>IF(NOT(ISBLANK(All[[#This Row],[Student No.]])),OR(ISNUMBER(FIND("FSB",All[[#This Row],[My Grade]])),ISNUMBER(FIND("PAS", All[[#This Row],[My Grade]])),ISNUMBER(FIND("FAL",All[[#This Row],[My Grade]])),ISNUMBER(FIND("FAB", All[[#This Row],[My Grade]])),COUNTBLANK(All[[#This Row],[My Grade]])=1),FALSE)</f>
        <v>1</v>
      </c>
      <c r="S123" s="18" t="b">
        <f>IF(All[[#This Row],[Student No.]]&lt;&gt;"", TRUE, FALSE)</f>
        <v>1</v>
      </c>
      <c r="T123" s="18" t="b">
        <f>IF(COUNTBLANK(All[[#This Row],[Engagement]:[Exam/Def]])=0,TRUE, FALSE)</f>
        <v>0</v>
      </c>
      <c r="U123" s="18" t="b">
        <f>IF(ISNUMBER(All[[#This Row],[Test]]),TRUE,FALSE)</f>
        <v>0</v>
      </c>
      <c r="V123" s="18" t="e">
        <f>IF((INDEX(Test[Total (%)],MATCH(All[[#This Row],[Student No.]],Test[Student No.],0)))="ABS", TRUE, FALSE)</f>
        <v>#N/A</v>
      </c>
      <c r="W123" s="18" t="b">
        <f>IF(ISNUMBER(INDEX(Exam[Total (%)],MATCH(All[[#This Row],[Student No.]],Exam[Student No.],0))), TRUE, FALSE)</f>
        <v>1</v>
      </c>
      <c r="X123" s="18" t="b">
        <f>IF(ISNUMBER(INDEX(#REF!,MATCH(All[[#This Row],[Student No.]],#REF!,0))),TRUE,FALSE)</f>
        <v>0</v>
      </c>
      <c r="Y123" s="18" t="b">
        <f>IF(ISNUMBER(INDEX(#REF!,MATCH(All[[#This Row],[Student No.]],#REF!,0))),TRUE,FALSE)</f>
        <v>0</v>
      </c>
      <c r="Z123" s="18" t="b">
        <f>IF(All[[#This Row],[Wrote Def]],
IF(INDEX(#REF!, MATCH(All[[#This Row],[Student No.]],#REF!,0))&lt;&gt;All[[#This Row],[Exam/Def]], TRUE, FALSE),
  IF(All[[#This Row],[Wrote Exam]], IF(INDEX(Exam[Total (%)], MATCH(All[[#This Row],[Student No.]],Exam[Student No.],0))&lt;&gt;All[[#This Row],[Exam/Def]],TRUE,FALSE), FALSE))</f>
        <v>0</v>
      </c>
      <c r="AA123" s="18" t="b">
        <f xml:space="preserve">    IF(AND(All[[#This Row],[Exam/Def]]&lt;35,OR(All[[#This Row],[Wrote Exam]],All[[#This Row],[Wrote Def]])), TRUE,FALSE)</f>
        <v>1</v>
      </c>
      <c r="AB123" s="18" t="b">
        <f>IF(AND(All[[#This Row],[Exam &lt; 35%]],All[[#This Row],[Final]]&gt;=50),TRUE,FALSE)</f>
        <v>1</v>
      </c>
      <c r="AC123" s="18"/>
    </row>
    <row r="124" spans="1:29" ht="43.2">
      <c r="A124" s="17" t="s">
        <v>392</v>
      </c>
      <c r="B124" s="17" t="s">
        <v>565</v>
      </c>
      <c r="C124" s="100" t="e">
        <f>IF(All[[#This Row],[Student]],
  IF(ISNA(INDEX(#REF!,MATCH(All[[#This Row],[Student No.]],#REF!,0))),
    "Cannot find student!",
    IF(INDEX(#REF!,MATCH(All[[#This Row],[Student No.]],#REF!,0))="",
      "",
      INDEX(#REF!,MATCH(All[[#This Row],[Student No.]],#REF!,0)))
    ),
  "No student!")</f>
        <v>#REF!</v>
      </c>
      <c r="D124"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24" s="18" t="str">
        <f>IF(All[[#This Row],[Student]],
  IF(ISNA(INDEX(Project[Total (%)],MATCH(All[[#This Row],[Student No.]],Project[Student No.],0))),
    "Cannot find student!",
    IF(INDEX(Project[Total (%)],MATCH(All[[#This Row],[Student No.]],Project[Student No.],0))="",
      "",
      INDEX(Project[Total (%)],MATCH(All[[#This Row],[Student No.]],Project[Student No.],0)))
    ),
  "No student!")</f>
        <v/>
      </c>
      <c r="F124" s="201" t="str">
        <f>IF(All[[#This Row],[Wrote Def]], INDEX(#REF!, MATCH(All[[#This Row],[Student No.]],#REF!,0)),
  IF(All[[#This Row],[Wrote Exam]], INDEX(Exam[Total (%)], MATCH(All[[#This Row],[Student No.]], Exam[Student No.],0)),
    ""))</f>
        <v/>
      </c>
      <c r="G124" s="18" t="str">
        <f>IF(AND(All[[#This Row],[Student]], All[[#This Row],[All Components]]),
    IF(NOT(All[Has Test Mark]),ROUND((All[[#This Row],[Engagement]]*$C$5+All[[#This Row],[Project]]*$E$5+All[[#This Row],[Exam/Def]]*$F$5)/($C$5+$E$5+$F$5),0),
      ROUND((All[[#This Row],[Engagement]]*$C$5+All[[#This Row],[Test]]*$D$5+All[[#This Row],[Project]]*$E$5+All[[#This Row],[Exam/Def]]*$F$5)/($C$5+$D$5+$E$5+$F$5),0)
  ),
  "")</f>
        <v/>
      </c>
      <c r="H124" s="18" t="str">
        <f>All[[#This Row],[Course Mark]]</f>
        <v/>
      </c>
      <c r="I124" s="18" t="str">
        <f>IF(All[[#This Row],[Wrote Sup]], INDEX(#REF!,MATCH(All[[#This Row],[Student No.]],#REF!,0)), "")</f>
        <v/>
      </c>
      <c r="J124" s="18" t="str">
        <f>IF(AND(All[[#This Row],[Student]],ISNUMBER(All[[#This Row],[Final]])),_xlfn.RANK.EQ(All[[#This Row],[Final]],All[Final]),"")</f>
        <v/>
      </c>
      <c r="K124" s="31"/>
      <c r="L124" s="18" t="str">
        <f>IF(All[[#This Row],[Student]], IF(All[Wrote Sup],All[Sup],All[[#This Row],[Final]]),"No student")</f>
        <v/>
      </c>
      <c r="M124" s="18" t="str">
        <f>IF(All[[#This Row],[Final]]="","",
  IF(All[[#This Row],[Wrote Sup]],
    IF(All[[#This Row],[Sup]]&lt;50,"FAL","PAS"),
  IF(All[[#This Row],[Exam/Def]]&lt;35, "FSB",
    IF(All[[#This Row],[Final]]&lt;50,"FAL",
    IF(All[[#This Row],[Final]]&gt;=50,"PAS",
  "Error!")))))</f>
        <v/>
      </c>
      <c r="N124" s="18" t="str">
        <f>IF(All[[#This Row],[Student]], _xlfn.IFNA(INDEX(captured[Course Mark],MATCH(All[[#This Row],[Student No.]],captured[ID_TEXT],0) &amp; ""), "Cannot find student!"),"No student!")</f>
        <v>FABS</v>
      </c>
      <c r="O124" s="189" t="str">
        <f>IF(All[[#This Row],[Student]], _xlfn.IFNA(INDEX(captured[Grade],MATCH(All[[#This Row],[Student No.]],captured[ID_TEXT],0)), "Cannot find student!") &amp; "","No student!")</f>
        <v>FAB</v>
      </c>
      <c r="P124" s="18" t="b">
        <f xml:space="preserve"> IF(AND(ISNUMBER(All[[#This Row],[Cap Mark]]), ISNUMBER(All[[#This Row],[My Mark]])), ABS(All[[#This Row],[Cap Mark]] - All[[#This Row],[My Mark]]) &lt;&gt; 0,
    IF(AND(ISNUMBER(All[[#This Row],[My Mark]]),NOT(ISNUMBER(All[[#This Row],[Cap Mark]]))),TRUE,
    IF(AND(ISNUMBER(All[[#This Row],[Cap Mark]]),NOT(ISNUMBER(All[[#This Row],[My Mark]]))),TRUE,FALSE)
    ))</f>
        <v>0</v>
      </c>
      <c r="Q124" s="18" t="str">
        <f>IF(All[[#This Row],[My Grade]]&lt;&gt;"",IF(All[[#This Row],[My Grade]]&lt;&gt;All[[#This Row],[Cap Grade]],TRUE,FALSE),"")</f>
        <v/>
      </c>
      <c r="R124" s="18" t="b">
        <f>IF(NOT(ISBLANK(All[[#This Row],[Student No.]])),OR(ISNUMBER(FIND("FSB",All[[#This Row],[My Grade]])),ISNUMBER(FIND("PAS", All[[#This Row],[My Grade]])),ISNUMBER(FIND("FAL",All[[#This Row],[My Grade]])),ISNUMBER(FIND("FAB", All[[#This Row],[My Grade]])),COUNTBLANK(All[[#This Row],[My Grade]])=1),FALSE)</f>
        <v>1</v>
      </c>
      <c r="S124" s="18" t="b">
        <f>IF(All[[#This Row],[Student No.]]&lt;&gt;"", TRUE, FALSE)</f>
        <v>1</v>
      </c>
      <c r="T124" s="18" t="b">
        <f>IF(COUNTBLANK(All[[#This Row],[Engagement]:[Exam/Def]])=0,TRUE, FALSE)</f>
        <v>0</v>
      </c>
      <c r="U124" s="18" t="b">
        <f>IF(ISNUMBER(All[[#This Row],[Test]]),TRUE,FALSE)</f>
        <v>0</v>
      </c>
      <c r="V124" s="18" t="e">
        <f>IF((INDEX(Test[Total (%)],MATCH(All[[#This Row],[Student No.]],Test[Student No.],0)))="ABS", TRUE, FALSE)</f>
        <v>#N/A</v>
      </c>
      <c r="W124" s="18" t="b">
        <f>IF(ISNUMBER(INDEX(Exam[Total (%)],MATCH(All[[#This Row],[Student No.]],Exam[Student No.],0))), TRUE, FALSE)</f>
        <v>0</v>
      </c>
      <c r="X124" s="18" t="b">
        <f>IF(ISNUMBER(INDEX(#REF!,MATCH(All[[#This Row],[Student No.]],#REF!,0))),TRUE,FALSE)</f>
        <v>0</v>
      </c>
      <c r="Y124" s="18" t="b">
        <f>IF(ISNUMBER(INDEX(#REF!,MATCH(All[[#This Row],[Student No.]],#REF!,0))),TRUE,FALSE)</f>
        <v>0</v>
      </c>
      <c r="Z124" s="18" t="b">
        <f>IF(All[[#This Row],[Wrote Def]],
IF(INDEX(#REF!, MATCH(All[[#This Row],[Student No.]],#REF!,0))&lt;&gt;All[[#This Row],[Exam/Def]], TRUE, FALSE),
  IF(All[[#This Row],[Wrote Exam]], IF(INDEX(Exam[Total (%)], MATCH(All[[#This Row],[Student No.]],Exam[Student No.],0))&lt;&gt;All[[#This Row],[Exam/Def]],TRUE,FALSE), FALSE))</f>
        <v>0</v>
      </c>
      <c r="AA124" s="18" t="b">
        <f xml:space="preserve">    IF(AND(All[[#This Row],[Exam/Def]]&lt;35,OR(All[[#This Row],[Wrote Exam]],All[[#This Row],[Wrote Def]])), TRUE,FALSE)</f>
        <v>0</v>
      </c>
      <c r="AB124" s="18" t="b">
        <f>IF(AND(All[[#This Row],[Exam &lt; 35%]],All[[#This Row],[Final]]&gt;=50),TRUE,FALSE)</f>
        <v>0</v>
      </c>
      <c r="AC124" s="18"/>
    </row>
    <row r="125" spans="1:29">
      <c r="A125" s="17" t="s">
        <v>393</v>
      </c>
      <c r="B125" s="17" t="s">
        <v>566</v>
      </c>
      <c r="C125" s="100" t="e">
        <f>IF(All[[#This Row],[Student]],
  IF(ISNA(INDEX(#REF!,MATCH(All[[#This Row],[Student No.]],#REF!,0))),
    "Cannot find student!",
    IF(INDEX(#REF!,MATCH(All[[#This Row],[Student No.]],#REF!,0))="",
      "",
      INDEX(#REF!,MATCH(All[[#This Row],[Student No.]],#REF!,0)))
    ),
  "No student!")</f>
        <v>#REF!</v>
      </c>
      <c r="D125"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25" s="18" t="str">
        <f>IF(All[[#This Row],[Student]],
  IF(ISNA(INDEX(Project[Total (%)],MATCH(All[[#This Row],[Student No.]],Project[Student No.],0))),
    "Cannot find student!",
    IF(INDEX(Project[Total (%)],MATCH(All[[#This Row],[Student No.]],Project[Student No.],0))="",
      "",
      INDEX(Project[Total (%)],MATCH(All[[#This Row],[Student No.]],Project[Student No.],0)))
    ),
  "No student!")</f>
        <v/>
      </c>
      <c r="F125" s="201">
        <f>IF(All[[#This Row],[Wrote Def]], INDEX(#REF!, MATCH(All[[#This Row],[Student No.]],#REF!,0)),
  IF(All[[#This Row],[Wrote Exam]], INDEX(Exam[Total (%)], MATCH(All[[#This Row],[Student No.]], Exam[Student No.],0)),
    ""))</f>
        <v>23</v>
      </c>
      <c r="G125" s="18" t="str">
        <f>IF(AND(All[[#This Row],[Student]], All[[#This Row],[All Components]]),
    IF(NOT(All[Has Test Mark]),ROUND((All[[#This Row],[Engagement]]*$C$5+All[[#This Row],[Project]]*$E$5+All[[#This Row],[Exam/Def]]*$F$5)/($C$5+$E$5+$F$5),0),
      ROUND((All[[#This Row],[Engagement]]*$C$5+All[[#This Row],[Test]]*$D$5+All[[#This Row],[Project]]*$E$5+All[[#This Row],[Exam/Def]]*$F$5)/($C$5+$D$5+$E$5+$F$5),0)
  ),
  "")</f>
        <v/>
      </c>
      <c r="H125" s="18" t="str">
        <f>All[[#This Row],[Course Mark]]</f>
        <v/>
      </c>
      <c r="I125" s="18" t="str">
        <f>IF(All[[#This Row],[Wrote Sup]], INDEX(#REF!,MATCH(All[[#This Row],[Student No.]],#REF!,0)), "")</f>
        <v/>
      </c>
      <c r="J125" s="18" t="str">
        <f>IF(AND(All[[#This Row],[Student]],ISNUMBER(All[[#This Row],[Final]])),_xlfn.RANK.EQ(All[[#This Row],[Final]],All[Final]),"")</f>
        <v/>
      </c>
      <c r="K125" s="31"/>
      <c r="L125" s="18" t="str">
        <f>IF(All[[#This Row],[Student]], IF(All[Wrote Sup],All[Sup],All[[#This Row],[Final]]),"No student")</f>
        <v/>
      </c>
      <c r="M125" s="18" t="str">
        <f>IF(All[[#This Row],[Final]]="","",
  IF(All[[#This Row],[Wrote Sup]],
    IF(All[[#This Row],[Sup]]&lt;50,"FAL","PAS"),
  IF(All[[#This Row],[Exam/Def]]&lt;35, "FSB",
    IF(All[[#This Row],[Final]]&lt;50,"FAL",
    IF(All[[#This Row],[Final]]&gt;=50,"PAS",
  "Error!")))))</f>
        <v/>
      </c>
      <c r="N125" s="18">
        <f>IF(All[[#This Row],[Student]], _xlfn.IFNA(INDEX(captured[Course Mark],MATCH(All[[#This Row],[Student No.]],captured[ID_TEXT],0) &amp; ""), "Cannot find student!"),"No student!")</f>
        <v>20</v>
      </c>
      <c r="O125" s="189" t="str">
        <f>IF(All[[#This Row],[Student]], _xlfn.IFNA(INDEX(captured[Grade],MATCH(All[[#This Row],[Student No.]],captured[ID_TEXT],0)), "Cannot find student!") &amp; "","No student!")</f>
        <v>FSB</v>
      </c>
      <c r="P125"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25" s="18" t="str">
        <f>IF(All[[#This Row],[My Grade]]&lt;&gt;"",IF(All[[#This Row],[My Grade]]&lt;&gt;All[[#This Row],[Cap Grade]],TRUE,FALSE),"")</f>
        <v/>
      </c>
      <c r="R125" s="18" t="b">
        <f>IF(NOT(ISBLANK(All[[#This Row],[Student No.]])),OR(ISNUMBER(FIND("FSB",All[[#This Row],[My Grade]])),ISNUMBER(FIND("PAS", All[[#This Row],[My Grade]])),ISNUMBER(FIND("FAL",All[[#This Row],[My Grade]])),ISNUMBER(FIND("FAB", All[[#This Row],[My Grade]])),COUNTBLANK(All[[#This Row],[My Grade]])=1),FALSE)</f>
        <v>1</v>
      </c>
      <c r="S125" s="18" t="b">
        <f>IF(All[[#This Row],[Student No.]]&lt;&gt;"", TRUE, FALSE)</f>
        <v>1</v>
      </c>
      <c r="T125" s="18" t="b">
        <f>IF(COUNTBLANK(All[[#This Row],[Engagement]:[Exam/Def]])=0,TRUE, FALSE)</f>
        <v>0</v>
      </c>
      <c r="U125" s="18" t="b">
        <f>IF(ISNUMBER(All[[#This Row],[Test]]),TRUE,FALSE)</f>
        <v>0</v>
      </c>
      <c r="V125" s="18" t="b">
        <f>IF((INDEX(Test[Total (%)],MATCH(All[[#This Row],[Student No.]],Test[Student No.],0)))="ABS", TRUE, FALSE)</f>
        <v>0</v>
      </c>
      <c r="W125" s="18" t="b">
        <f>IF(ISNUMBER(INDEX(Exam[Total (%)],MATCH(All[[#This Row],[Student No.]],Exam[Student No.],0))), TRUE, FALSE)</f>
        <v>1</v>
      </c>
      <c r="X125" s="18" t="b">
        <f>IF(ISNUMBER(INDEX(#REF!,MATCH(All[[#This Row],[Student No.]],#REF!,0))),TRUE,FALSE)</f>
        <v>0</v>
      </c>
      <c r="Y125" s="18" t="b">
        <f>IF(ISNUMBER(INDEX(#REF!,MATCH(All[[#This Row],[Student No.]],#REF!,0))),TRUE,FALSE)</f>
        <v>0</v>
      </c>
      <c r="Z125" s="18" t="b">
        <f>IF(All[[#This Row],[Wrote Def]],
IF(INDEX(#REF!, MATCH(All[[#This Row],[Student No.]],#REF!,0))&lt;&gt;All[[#This Row],[Exam/Def]], TRUE, FALSE),
  IF(All[[#This Row],[Wrote Exam]], IF(INDEX(Exam[Total (%)], MATCH(All[[#This Row],[Student No.]],Exam[Student No.],0))&lt;&gt;All[[#This Row],[Exam/Def]],TRUE,FALSE), FALSE))</f>
        <v>0</v>
      </c>
      <c r="AA125" s="18" t="b">
        <f xml:space="preserve">    IF(AND(All[[#This Row],[Exam/Def]]&lt;35,OR(All[[#This Row],[Wrote Exam]],All[[#This Row],[Wrote Def]])), TRUE,FALSE)</f>
        <v>1</v>
      </c>
      <c r="AB125" s="18" t="b">
        <f>IF(AND(All[[#This Row],[Exam &lt; 35%]],All[[#This Row],[Final]]&gt;=50),TRUE,FALSE)</f>
        <v>1</v>
      </c>
      <c r="AC125" s="18"/>
    </row>
    <row r="126" spans="1:29" ht="43.2">
      <c r="A126" s="17" t="s">
        <v>394</v>
      </c>
      <c r="B126" s="17" t="s">
        <v>567</v>
      </c>
      <c r="C126" s="100" t="e">
        <f>IF(All[[#This Row],[Student]],
  IF(ISNA(INDEX(#REF!,MATCH(All[[#This Row],[Student No.]],#REF!,0))),
    "Cannot find student!",
    IF(INDEX(#REF!,MATCH(All[[#This Row],[Student No.]],#REF!,0))="",
      "",
      INDEX(#REF!,MATCH(All[[#This Row],[Student No.]],#REF!,0)))
    ),
  "No student!")</f>
        <v>#REF!</v>
      </c>
      <c r="D126"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26" s="18" t="str">
        <f>IF(All[[#This Row],[Student]],
  IF(ISNA(INDEX(Project[Total (%)],MATCH(All[[#This Row],[Student No.]],Project[Student No.],0))),
    "Cannot find student!",
    IF(INDEX(Project[Total (%)],MATCH(All[[#This Row],[Student No.]],Project[Student No.],0))="",
      "",
      INDEX(Project[Total (%)],MATCH(All[[#This Row],[Student No.]],Project[Student No.],0)))
    ),
  "No student!")</f>
        <v/>
      </c>
      <c r="F126" s="201">
        <f>IF(All[[#This Row],[Wrote Def]], INDEX(#REF!, MATCH(All[[#This Row],[Student No.]],#REF!,0)),
  IF(All[[#This Row],[Wrote Exam]], INDEX(Exam[Total (%)], MATCH(All[[#This Row],[Student No.]], Exam[Student No.],0)),
    ""))</f>
        <v>25</v>
      </c>
      <c r="G126" s="18" t="str">
        <f>IF(AND(All[[#This Row],[Student]], All[[#This Row],[All Components]]),
    IF(NOT(All[Has Test Mark]),ROUND((All[[#This Row],[Engagement]]*$C$5+All[[#This Row],[Project]]*$E$5+All[[#This Row],[Exam/Def]]*$F$5)/($C$5+$E$5+$F$5),0),
      ROUND((All[[#This Row],[Engagement]]*$C$5+All[[#This Row],[Test]]*$D$5+All[[#This Row],[Project]]*$E$5+All[[#This Row],[Exam/Def]]*$F$5)/($C$5+$D$5+$E$5+$F$5),0)
  ),
  "")</f>
        <v/>
      </c>
      <c r="H126" s="18" t="str">
        <f>All[[#This Row],[Course Mark]]</f>
        <v/>
      </c>
      <c r="I126" s="18" t="str">
        <f>IF(All[[#This Row],[Wrote Sup]], INDEX(#REF!,MATCH(All[[#This Row],[Student No.]],#REF!,0)), "")</f>
        <v/>
      </c>
      <c r="J126" s="18" t="str">
        <f>IF(AND(All[[#This Row],[Student]],ISNUMBER(All[[#This Row],[Final]])),_xlfn.RANK.EQ(All[[#This Row],[Final]],All[Final]),"")</f>
        <v/>
      </c>
      <c r="K126" s="31"/>
      <c r="L126" s="18" t="str">
        <f>IF(All[[#This Row],[Student]], IF(All[Wrote Sup],All[Sup],All[[#This Row],[Final]]),"No student")</f>
        <v/>
      </c>
      <c r="M126" s="18" t="str">
        <f>IF(All[[#This Row],[Final]]="","",
  IF(All[[#This Row],[Wrote Sup]],
    IF(All[[#This Row],[Sup]]&lt;50,"FAL","PAS"),
  IF(All[[#This Row],[Exam/Def]]&lt;35, "FSB",
    IF(All[[#This Row],[Final]]&lt;50,"FAL",
    IF(All[[#This Row],[Final]]&gt;=50,"PAS",
  "Error!")))))</f>
        <v/>
      </c>
      <c r="N126" s="18">
        <f>IF(All[[#This Row],[Student]], _xlfn.IFNA(INDEX(captured[Course Mark],MATCH(All[[#This Row],[Student No.]],captured[ID_TEXT],0) &amp; ""), "Cannot find student!"),"No student!")</f>
        <v>34</v>
      </c>
      <c r="O126" s="189" t="str">
        <f>IF(All[[#This Row],[Student]], _xlfn.IFNA(INDEX(captured[Grade],MATCH(All[[#This Row],[Student No.]],captured[ID_TEXT],0)), "Cannot find student!") &amp; "","No student!")</f>
        <v/>
      </c>
      <c r="P126"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26" s="18" t="str">
        <f>IF(All[[#This Row],[My Grade]]&lt;&gt;"",IF(All[[#This Row],[My Grade]]&lt;&gt;All[[#This Row],[Cap Grade]],TRUE,FALSE),"")</f>
        <v/>
      </c>
      <c r="R126" s="18" t="b">
        <f>IF(NOT(ISBLANK(All[[#This Row],[Student No.]])),OR(ISNUMBER(FIND("FSB",All[[#This Row],[My Grade]])),ISNUMBER(FIND("PAS", All[[#This Row],[My Grade]])),ISNUMBER(FIND("FAL",All[[#This Row],[My Grade]])),ISNUMBER(FIND("FAB", All[[#This Row],[My Grade]])),COUNTBLANK(All[[#This Row],[My Grade]])=1),FALSE)</f>
        <v>1</v>
      </c>
      <c r="S126" s="18" t="b">
        <f>IF(All[[#This Row],[Student No.]]&lt;&gt;"", TRUE, FALSE)</f>
        <v>1</v>
      </c>
      <c r="T126" s="18" t="b">
        <f>IF(COUNTBLANK(All[[#This Row],[Engagement]:[Exam/Def]])=0,TRUE, FALSE)</f>
        <v>0</v>
      </c>
      <c r="U126" s="18" t="b">
        <f>IF(ISNUMBER(All[[#This Row],[Test]]),TRUE,FALSE)</f>
        <v>0</v>
      </c>
      <c r="V126" s="18" t="e">
        <f>IF((INDEX(Test[Total (%)],MATCH(All[[#This Row],[Student No.]],Test[Student No.],0)))="ABS", TRUE, FALSE)</f>
        <v>#N/A</v>
      </c>
      <c r="W126" s="18" t="b">
        <f>IF(ISNUMBER(INDEX(Exam[Total (%)],MATCH(All[[#This Row],[Student No.]],Exam[Student No.],0))), TRUE, FALSE)</f>
        <v>1</v>
      </c>
      <c r="X126" s="18" t="b">
        <f>IF(ISNUMBER(INDEX(#REF!,MATCH(All[[#This Row],[Student No.]],#REF!,0))),TRUE,FALSE)</f>
        <v>0</v>
      </c>
      <c r="Y126" s="18" t="b">
        <f>IF(ISNUMBER(INDEX(#REF!,MATCH(All[[#This Row],[Student No.]],#REF!,0))),TRUE,FALSE)</f>
        <v>0</v>
      </c>
      <c r="Z126" s="18" t="b">
        <f>IF(All[[#This Row],[Wrote Def]],
IF(INDEX(#REF!, MATCH(All[[#This Row],[Student No.]],#REF!,0))&lt;&gt;All[[#This Row],[Exam/Def]], TRUE, FALSE),
  IF(All[[#This Row],[Wrote Exam]], IF(INDEX(Exam[Total (%)], MATCH(All[[#This Row],[Student No.]],Exam[Student No.],0))&lt;&gt;All[[#This Row],[Exam/Def]],TRUE,FALSE), FALSE))</f>
        <v>0</v>
      </c>
      <c r="AA126" s="18" t="b">
        <f xml:space="preserve">    IF(AND(All[[#This Row],[Exam/Def]]&lt;35,OR(All[[#This Row],[Wrote Exam]],All[[#This Row],[Wrote Def]])), TRUE,FALSE)</f>
        <v>1</v>
      </c>
      <c r="AB126" s="18" t="b">
        <f>IF(AND(All[[#This Row],[Exam &lt; 35%]],All[[#This Row],[Final]]&gt;=50),TRUE,FALSE)</f>
        <v>1</v>
      </c>
      <c r="AC126" s="18"/>
    </row>
    <row r="127" spans="1:29">
      <c r="A127" s="17" t="s">
        <v>395</v>
      </c>
      <c r="B127" s="17" t="s">
        <v>568</v>
      </c>
      <c r="C127" s="100" t="e">
        <f>IF(All[[#This Row],[Student]],
  IF(ISNA(INDEX(#REF!,MATCH(All[[#This Row],[Student No.]],#REF!,0))),
    "Cannot find student!",
    IF(INDEX(#REF!,MATCH(All[[#This Row],[Student No.]],#REF!,0))="",
      "",
      INDEX(#REF!,MATCH(All[[#This Row],[Student No.]],#REF!,0)))
    ),
  "No student!")</f>
        <v>#REF!</v>
      </c>
      <c r="D127"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27" s="18" t="str">
        <f>IF(All[[#This Row],[Student]],
  IF(ISNA(INDEX(Project[Total (%)],MATCH(All[[#This Row],[Student No.]],Project[Student No.],0))),
    "Cannot find student!",
    IF(INDEX(Project[Total (%)],MATCH(All[[#This Row],[Student No.]],Project[Student No.],0))="",
      "",
      INDEX(Project[Total (%)],MATCH(All[[#This Row],[Student No.]],Project[Student No.],0)))
    ),
  "No student!")</f>
        <v/>
      </c>
      <c r="F127" s="201">
        <f>IF(All[[#This Row],[Wrote Def]], INDEX(#REF!, MATCH(All[[#This Row],[Student No.]],#REF!,0)),
  IF(All[[#This Row],[Wrote Exam]], INDEX(Exam[Total (%)], MATCH(All[[#This Row],[Student No.]], Exam[Student No.],0)),
    ""))</f>
        <v>34</v>
      </c>
      <c r="G127" s="18" t="str">
        <f>IF(AND(All[[#This Row],[Student]], All[[#This Row],[All Components]]),
    IF(NOT(All[Has Test Mark]),ROUND((All[[#This Row],[Engagement]]*$C$5+All[[#This Row],[Project]]*$E$5+All[[#This Row],[Exam/Def]]*$F$5)/($C$5+$E$5+$F$5),0),
      ROUND((All[[#This Row],[Engagement]]*$C$5+All[[#This Row],[Test]]*$D$5+All[[#This Row],[Project]]*$E$5+All[[#This Row],[Exam/Def]]*$F$5)/($C$5+$D$5+$E$5+$F$5),0)
  ),
  "")</f>
        <v/>
      </c>
      <c r="H127" s="18" t="str">
        <f>All[[#This Row],[Course Mark]]</f>
        <v/>
      </c>
      <c r="I127" s="18" t="str">
        <f>IF(All[[#This Row],[Wrote Sup]], INDEX(#REF!,MATCH(All[[#This Row],[Student No.]],#REF!,0)), "")</f>
        <v/>
      </c>
      <c r="J127" s="18" t="str">
        <f>IF(AND(All[[#This Row],[Student]],ISNUMBER(All[[#This Row],[Final]])),_xlfn.RANK.EQ(All[[#This Row],[Final]],All[Final]),"")</f>
        <v/>
      </c>
      <c r="K127" s="31"/>
      <c r="L127" s="18" t="str">
        <f>IF(All[[#This Row],[Student]], IF(All[Wrote Sup],All[Sup],All[[#This Row],[Final]]),"No student")</f>
        <v/>
      </c>
      <c r="M127" s="18" t="str">
        <f>IF(All[[#This Row],[Final]]="","",
  IF(All[[#This Row],[Wrote Sup]],
    IF(All[[#This Row],[Sup]]&lt;50,"FAL","PAS"),
  IF(All[[#This Row],[Exam/Def]]&lt;35, "FSB",
    IF(All[[#This Row],[Final]]&lt;50,"FAL",
    IF(All[[#This Row],[Final]]&gt;=50,"PAS",
  "Error!")))))</f>
        <v/>
      </c>
      <c r="N127" s="18">
        <f>IF(All[[#This Row],[Student]], _xlfn.IFNA(INDEX(captured[Course Mark],MATCH(All[[#This Row],[Student No.]],captured[ID_TEXT],0) &amp; ""), "Cannot find student!"),"No student!")</f>
        <v>30</v>
      </c>
      <c r="O127" s="189" t="str">
        <f>IF(All[[#This Row],[Student]], _xlfn.IFNA(INDEX(captured[Grade],MATCH(All[[#This Row],[Student No.]],captured[ID_TEXT],0)), "Cannot find student!") &amp; "","No student!")</f>
        <v/>
      </c>
      <c r="P127"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27" s="18" t="str">
        <f>IF(All[[#This Row],[My Grade]]&lt;&gt;"",IF(All[[#This Row],[My Grade]]&lt;&gt;All[[#This Row],[Cap Grade]],TRUE,FALSE),"")</f>
        <v/>
      </c>
      <c r="R127" s="18" t="b">
        <f>IF(NOT(ISBLANK(All[[#This Row],[Student No.]])),OR(ISNUMBER(FIND("FSB",All[[#This Row],[My Grade]])),ISNUMBER(FIND("PAS", All[[#This Row],[My Grade]])),ISNUMBER(FIND("FAL",All[[#This Row],[My Grade]])),ISNUMBER(FIND("FAB", All[[#This Row],[My Grade]])),COUNTBLANK(All[[#This Row],[My Grade]])=1),FALSE)</f>
        <v>1</v>
      </c>
      <c r="S127" s="18" t="b">
        <f>IF(All[[#This Row],[Student No.]]&lt;&gt;"", TRUE, FALSE)</f>
        <v>1</v>
      </c>
      <c r="T127" s="18" t="b">
        <f>IF(COUNTBLANK(All[[#This Row],[Engagement]:[Exam/Def]])=0,TRUE, FALSE)</f>
        <v>0</v>
      </c>
      <c r="U127" s="18" t="b">
        <f>IF(ISNUMBER(All[[#This Row],[Test]]),TRUE,FALSE)</f>
        <v>0</v>
      </c>
      <c r="V127" s="18" t="b">
        <f>IF((INDEX(Test[Total (%)],MATCH(All[[#This Row],[Student No.]],Test[Student No.],0)))="ABS", TRUE, FALSE)</f>
        <v>0</v>
      </c>
      <c r="W127" s="18" t="b">
        <f>IF(ISNUMBER(INDEX(Exam[Total (%)],MATCH(All[[#This Row],[Student No.]],Exam[Student No.],0))), TRUE, FALSE)</f>
        <v>1</v>
      </c>
      <c r="X127" s="18" t="b">
        <f>IF(ISNUMBER(INDEX(#REF!,MATCH(All[[#This Row],[Student No.]],#REF!,0))),TRUE,FALSE)</f>
        <v>0</v>
      </c>
      <c r="Y127" s="18" t="b">
        <f>IF(ISNUMBER(INDEX(#REF!,MATCH(All[[#This Row],[Student No.]],#REF!,0))),TRUE,FALSE)</f>
        <v>0</v>
      </c>
      <c r="Z127" s="18" t="b">
        <f>IF(All[[#This Row],[Wrote Def]],
IF(INDEX(#REF!, MATCH(All[[#This Row],[Student No.]],#REF!,0))&lt;&gt;All[[#This Row],[Exam/Def]], TRUE, FALSE),
  IF(All[[#This Row],[Wrote Exam]], IF(INDEX(Exam[Total (%)], MATCH(All[[#This Row],[Student No.]],Exam[Student No.],0))&lt;&gt;All[[#This Row],[Exam/Def]],TRUE,FALSE), FALSE))</f>
        <v>0</v>
      </c>
      <c r="AA127" s="18" t="b">
        <f xml:space="preserve">    IF(AND(All[[#This Row],[Exam/Def]]&lt;35,OR(All[[#This Row],[Wrote Exam]],All[[#This Row],[Wrote Def]])), TRUE,FALSE)</f>
        <v>1</v>
      </c>
      <c r="AB127" s="18" t="b">
        <f>IF(AND(All[[#This Row],[Exam &lt; 35%]],All[[#This Row],[Final]]&gt;=50),TRUE,FALSE)</f>
        <v>1</v>
      </c>
      <c r="AC127" s="18"/>
    </row>
    <row r="128" spans="1:29">
      <c r="A128" s="17" t="s">
        <v>396</v>
      </c>
      <c r="B128" s="17" t="s">
        <v>569</v>
      </c>
      <c r="C128" s="100" t="e">
        <f>IF(All[[#This Row],[Student]],
  IF(ISNA(INDEX(#REF!,MATCH(All[[#This Row],[Student No.]],#REF!,0))),
    "Cannot find student!",
    IF(INDEX(#REF!,MATCH(All[[#This Row],[Student No.]],#REF!,0))="",
      "",
      INDEX(#REF!,MATCH(All[[#This Row],[Student No.]],#REF!,0)))
    ),
  "No student!")</f>
        <v>#REF!</v>
      </c>
      <c r="D128"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28" s="18" t="str">
        <f>IF(All[[#This Row],[Student]],
  IF(ISNA(INDEX(Project[Total (%)],MATCH(All[[#This Row],[Student No.]],Project[Student No.],0))),
    "Cannot find student!",
    IF(INDEX(Project[Total (%)],MATCH(All[[#This Row],[Student No.]],Project[Student No.],0))="",
      "",
      INDEX(Project[Total (%)],MATCH(All[[#This Row],[Student No.]],Project[Student No.],0)))
    ),
  "No student!")</f>
        <v/>
      </c>
      <c r="F128" s="201">
        <f>IF(All[[#This Row],[Wrote Def]], INDEX(#REF!, MATCH(All[[#This Row],[Student No.]],#REF!,0)),
  IF(All[[#This Row],[Wrote Exam]], INDEX(Exam[Total (%)], MATCH(All[[#This Row],[Student No.]], Exam[Student No.],0)),
    ""))</f>
        <v>33</v>
      </c>
      <c r="G128" s="18" t="str">
        <f>IF(AND(All[[#This Row],[Student]], All[[#This Row],[All Components]]),
    IF(NOT(All[Has Test Mark]),ROUND((All[[#This Row],[Engagement]]*$C$5+All[[#This Row],[Project]]*$E$5+All[[#This Row],[Exam/Def]]*$F$5)/($C$5+$E$5+$F$5),0),
      ROUND((All[[#This Row],[Engagement]]*$C$5+All[[#This Row],[Test]]*$D$5+All[[#This Row],[Project]]*$E$5+All[[#This Row],[Exam/Def]]*$F$5)/($C$5+$D$5+$E$5+$F$5),0)
  ),
  "")</f>
        <v/>
      </c>
      <c r="H128" s="18" t="str">
        <f>All[[#This Row],[Course Mark]]</f>
        <v/>
      </c>
      <c r="I128" s="18" t="str">
        <f>IF(All[[#This Row],[Wrote Sup]], INDEX(#REF!,MATCH(All[[#This Row],[Student No.]],#REF!,0)), "")</f>
        <v/>
      </c>
      <c r="J128" s="18" t="str">
        <f>IF(AND(All[[#This Row],[Student]],ISNUMBER(All[[#This Row],[Final]])),_xlfn.RANK.EQ(All[[#This Row],[Final]],All[Final]),"")</f>
        <v/>
      </c>
      <c r="K128" s="31"/>
      <c r="L128" s="18" t="str">
        <f>IF(All[[#This Row],[Student]], IF(All[Wrote Sup],All[Sup],All[[#This Row],[Final]]),"No student")</f>
        <v/>
      </c>
      <c r="M128" s="18" t="str">
        <f>IF(All[[#This Row],[Final]]="","",
  IF(All[[#This Row],[Wrote Sup]],
    IF(All[[#This Row],[Sup]]&lt;50,"FAL","PAS"),
  IF(All[[#This Row],[Exam/Def]]&lt;35, "FSB",
    IF(All[[#This Row],[Final]]&lt;50,"FAL",
    IF(All[[#This Row],[Final]]&gt;=50,"PAS",
  "Error!")))))</f>
        <v/>
      </c>
      <c r="N128" s="18">
        <f>IF(All[[#This Row],[Student]], _xlfn.IFNA(INDEX(captured[Course Mark],MATCH(All[[#This Row],[Student No.]],captured[ID_TEXT],0) &amp; ""), "Cannot find student!"),"No student!")</f>
        <v>38</v>
      </c>
      <c r="O128" s="189" t="str">
        <f>IF(All[[#This Row],[Student]], _xlfn.IFNA(INDEX(captured[Grade],MATCH(All[[#This Row],[Student No.]],captured[ID_TEXT],0)), "Cannot find student!") &amp; "","No student!")</f>
        <v>FSB</v>
      </c>
      <c r="P128"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28" s="18" t="str">
        <f>IF(All[[#This Row],[My Grade]]&lt;&gt;"",IF(All[[#This Row],[My Grade]]&lt;&gt;All[[#This Row],[Cap Grade]],TRUE,FALSE),"")</f>
        <v/>
      </c>
      <c r="R128" s="18" t="b">
        <f>IF(NOT(ISBLANK(All[[#This Row],[Student No.]])),OR(ISNUMBER(FIND("FSB",All[[#This Row],[My Grade]])),ISNUMBER(FIND("PAS", All[[#This Row],[My Grade]])),ISNUMBER(FIND("FAL",All[[#This Row],[My Grade]])),ISNUMBER(FIND("FAB", All[[#This Row],[My Grade]])),COUNTBLANK(All[[#This Row],[My Grade]])=1),FALSE)</f>
        <v>1</v>
      </c>
      <c r="S128" s="18" t="b">
        <f>IF(All[[#This Row],[Student No.]]&lt;&gt;"", TRUE, FALSE)</f>
        <v>1</v>
      </c>
      <c r="T128" s="18" t="b">
        <f>IF(COUNTBLANK(All[[#This Row],[Engagement]:[Exam/Def]])=0,TRUE, FALSE)</f>
        <v>0</v>
      </c>
      <c r="U128" s="18" t="b">
        <f>IF(ISNUMBER(All[[#This Row],[Test]]),TRUE,FALSE)</f>
        <v>0</v>
      </c>
      <c r="V128" s="18" t="b">
        <f>IF((INDEX(Test[Total (%)],MATCH(All[[#This Row],[Student No.]],Test[Student No.],0)))="ABS", TRUE, FALSE)</f>
        <v>0</v>
      </c>
      <c r="W128" s="18" t="b">
        <f>IF(ISNUMBER(INDEX(Exam[Total (%)],MATCH(All[[#This Row],[Student No.]],Exam[Student No.],0))), TRUE, FALSE)</f>
        <v>1</v>
      </c>
      <c r="X128" s="18" t="b">
        <f>IF(ISNUMBER(INDEX(#REF!,MATCH(All[[#This Row],[Student No.]],#REF!,0))),TRUE,FALSE)</f>
        <v>0</v>
      </c>
      <c r="Y128" s="18" t="b">
        <f>IF(ISNUMBER(INDEX(#REF!,MATCH(All[[#This Row],[Student No.]],#REF!,0))),TRUE,FALSE)</f>
        <v>0</v>
      </c>
      <c r="Z128" s="18" t="b">
        <f>IF(All[[#This Row],[Wrote Def]],
IF(INDEX(#REF!, MATCH(All[[#This Row],[Student No.]],#REF!,0))&lt;&gt;All[[#This Row],[Exam/Def]], TRUE, FALSE),
  IF(All[[#This Row],[Wrote Exam]], IF(INDEX(Exam[Total (%)], MATCH(All[[#This Row],[Student No.]],Exam[Student No.],0))&lt;&gt;All[[#This Row],[Exam/Def]],TRUE,FALSE), FALSE))</f>
        <v>0</v>
      </c>
      <c r="AA128" s="18" t="b">
        <f xml:space="preserve">    IF(AND(All[[#This Row],[Exam/Def]]&lt;35,OR(All[[#This Row],[Wrote Exam]],All[[#This Row],[Wrote Def]])), TRUE,FALSE)</f>
        <v>1</v>
      </c>
      <c r="AB128" s="18" t="b">
        <f>IF(AND(All[[#This Row],[Exam &lt; 35%]],All[[#This Row],[Final]]&gt;=50),TRUE,FALSE)</f>
        <v>1</v>
      </c>
      <c r="AC128" s="18"/>
    </row>
    <row r="129" spans="1:29">
      <c r="A129" s="17" t="s">
        <v>397</v>
      </c>
      <c r="B129" s="17" t="s">
        <v>570</v>
      </c>
      <c r="C129" s="100" t="e">
        <f>IF(All[[#This Row],[Student]],
  IF(ISNA(INDEX(#REF!,MATCH(All[[#This Row],[Student No.]],#REF!,0))),
    "Cannot find student!",
    IF(INDEX(#REF!,MATCH(All[[#This Row],[Student No.]],#REF!,0))="",
      "",
      INDEX(#REF!,MATCH(All[[#This Row],[Student No.]],#REF!,0)))
    ),
  "No student!")</f>
        <v>#REF!</v>
      </c>
      <c r="D129"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29" s="18" t="str">
        <f>IF(All[[#This Row],[Student]],
  IF(ISNA(INDEX(Project[Total (%)],MATCH(All[[#This Row],[Student No.]],Project[Student No.],0))),
    "Cannot find student!",
    IF(INDEX(Project[Total (%)],MATCH(All[[#This Row],[Student No.]],Project[Student No.],0))="",
      "",
      INDEX(Project[Total (%)],MATCH(All[[#This Row],[Student No.]],Project[Student No.],0)))
    ),
  "No student!")</f>
        <v/>
      </c>
      <c r="F129" s="201">
        <f>IF(All[[#This Row],[Wrote Def]], INDEX(#REF!, MATCH(All[[#This Row],[Student No.]],#REF!,0)),
  IF(All[[#This Row],[Wrote Exam]], INDEX(Exam[Total (%)], MATCH(All[[#This Row],[Student No.]], Exam[Student No.],0)),
    ""))</f>
        <v>22</v>
      </c>
      <c r="G129" s="18" t="str">
        <f>IF(AND(All[[#This Row],[Student]], All[[#This Row],[All Components]]),
    IF(NOT(All[Has Test Mark]),ROUND((All[[#This Row],[Engagement]]*$C$5+All[[#This Row],[Project]]*$E$5+All[[#This Row],[Exam/Def]]*$F$5)/($C$5+$E$5+$F$5),0),
      ROUND((All[[#This Row],[Engagement]]*$C$5+All[[#This Row],[Test]]*$D$5+All[[#This Row],[Project]]*$E$5+All[[#This Row],[Exam/Def]]*$F$5)/($C$5+$D$5+$E$5+$F$5),0)
  ),
  "")</f>
        <v/>
      </c>
      <c r="H129" s="18" t="str">
        <f>All[[#This Row],[Course Mark]]</f>
        <v/>
      </c>
      <c r="I129" s="18" t="str">
        <f>IF(All[[#This Row],[Wrote Sup]], INDEX(#REF!,MATCH(All[[#This Row],[Student No.]],#REF!,0)), "")</f>
        <v/>
      </c>
      <c r="J129" s="18" t="str">
        <f>IF(AND(All[[#This Row],[Student]],ISNUMBER(All[[#This Row],[Final]])),_xlfn.RANK.EQ(All[[#This Row],[Final]],All[Final]),"")</f>
        <v/>
      </c>
      <c r="K129" s="31" t="s">
        <v>1364</v>
      </c>
      <c r="L129" s="18" t="str">
        <f>IF(All[[#This Row],[Student]], IF(All[Wrote Sup],All[Sup],All[[#This Row],[Final]]),"No student")</f>
        <v/>
      </c>
      <c r="M129" s="18" t="str">
        <f>IF(All[[#This Row],[Final]]="","",
  IF(All[[#This Row],[Wrote Sup]],
    IF(All[[#This Row],[Sup]]&lt;50,"FAL","PAS"),
  IF(All[[#This Row],[Exam/Def]]&lt;35, "FSB",
    IF(All[[#This Row],[Final]]&lt;50,"FAL",
    IF(All[[#This Row],[Final]]&gt;=50,"PAS",
  "Error!")))))</f>
        <v/>
      </c>
      <c r="N129" s="18">
        <f>IF(All[[#This Row],[Student]], _xlfn.IFNA(INDEX(captured[Course Mark],MATCH(All[[#This Row],[Student No.]],captured[ID_TEXT],0) &amp; ""), "Cannot find student!"),"No student!")</f>
        <v>32</v>
      </c>
      <c r="O129" s="189" t="str">
        <f>IF(All[[#This Row],[Student]], _xlfn.IFNA(INDEX(captured[Grade],MATCH(All[[#This Row],[Student No.]],captured[ID_TEXT],0)), "Cannot find student!") &amp; "","No student!")</f>
        <v/>
      </c>
      <c r="P129"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29" s="18" t="str">
        <f>IF(All[[#This Row],[My Grade]]&lt;&gt;"",IF(All[[#This Row],[My Grade]]&lt;&gt;All[[#This Row],[Cap Grade]],TRUE,FALSE),"")</f>
        <v/>
      </c>
      <c r="R129" s="18" t="b">
        <f>IF(NOT(ISBLANK(All[[#This Row],[Student No.]])),OR(ISNUMBER(FIND("FSB",All[[#This Row],[My Grade]])),ISNUMBER(FIND("PAS", All[[#This Row],[My Grade]])),ISNUMBER(FIND("FAL",All[[#This Row],[My Grade]])),ISNUMBER(FIND("FAB", All[[#This Row],[My Grade]])),COUNTBLANK(All[[#This Row],[My Grade]])=1),FALSE)</f>
        <v>1</v>
      </c>
      <c r="S129" s="18" t="b">
        <f>IF(All[[#This Row],[Student No.]]&lt;&gt;"", TRUE, FALSE)</f>
        <v>1</v>
      </c>
      <c r="T129" s="18" t="b">
        <f>IF(COUNTBLANK(All[[#This Row],[Engagement]:[Exam/Def]])=0,TRUE, FALSE)</f>
        <v>0</v>
      </c>
      <c r="U129" s="18" t="b">
        <f>IF(ISNUMBER(All[[#This Row],[Test]]),TRUE,FALSE)</f>
        <v>0</v>
      </c>
      <c r="V129" s="18" t="b">
        <f>IF((INDEX(Test[Total (%)],MATCH(All[[#This Row],[Student No.]],Test[Student No.],0)))="ABS", TRUE, FALSE)</f>
        <v>0</v>
      </c>
      <c r="W129" s="18" t="b">
        <f>IF(ISNUMBER(INDEX(Exam[Total (%)],MATCH(All[[#This Row],[Student No.]],Exam[Student No.],0))), TRUE, FALSE)</f>
        <v>1</v>
      </c>
      <c r="X129" s="18" t="b">
        <f>IF(ISNUMBER(INDEX(#REF!,MATCH(All[[#This Row],[Student No.]],#REF!,0))),TRUE,FALSE)</f>
        <v>0</v>
      </c>
      <c r="Y129" s="18" t="b">
        <f>IF(ISNUMBER(INDEX(#REF!,MATCH(All[[#This Row],[Student No.]],#REF!,0))),TRUE,FALSE)</f>
        <v>0</v>
      </c>
      <c r="Z129" s="18" t="b">
        <f>IF(All[[#This Row],[Wrote Def]],
IF(INDEX(#REF!, MATCH(All[[#This Row],[Student No.]],#REF!,0))&lt;&gt;All[[#This Row],[Exam/Def]], TRUE, FALSE),
  IF(All[[#This Row],[Wrote Exam]], IF(INDEX(Exam[Total (%)], MATCH(All[[#This Row],[Student No.]],Exam[Student No.],0))&lt;&gt;All[[#This Row],[Exam/Def]],TRUE,FALSE), FALSE))</f>
        <v>0</v>
      </c>
      <c r="AA129" s="18" t="b">
        <f xml:space="preserve">    IF(AND(All[[#This Row],[Exam/Def]]&lt;35,OR(All[[#This Row],[Wrote Exam]],All[[#This Row],[Wrote Def]])), TRUE,FALSE)</f>
        <v>1</v>
      </c>
      <c r="AB129" s="18" t="b">
        <f>IF(AND(All[[#This Row],[Exam &lt; 35%]],All[[#This Row],[Final]]&gt;=50),TRUE,FALSE)</f>
        <v>1</v>
      </c>
      <c r="AC129" s="18"/>
    </row>
    <row r="130" spans="1:29">
      <c r="A130" s="17" t="s">
        <v>398</v>
      </c>
      <c r="B130" s="17" t="s">
        <v>571</v>
      </c>
      <c r="C130" s="100" t="e">
        <f>IF(All[[#This Row],[Student]],
  IF(ISNA(INDEX(#REF!,MATCH(All[[#This Row],[Student No.]],#REF!,0))),
    "Cannot find student!",
    IF(INDEX(#REF!,MATCH(All[[#This Row],[Student No.]],#REF!,0))="",
      "",
      INDEX(#REF!,MATCH(All[[#This Row],[Student No.]],#REF!,0)))
    ),
  "No student!")</f>
        <v>#REF!</v>
      </c>
      <c r="D130"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30" s="18" t="str">
        <f>IF(All[[#This Row],[Student]],
  IF(ISNA(INDEX(Project[Total (%)],MATCH(All[[#This Row],[Student No.]],Project[Student No.],0))),
    "Cannot find student!",
    IF(INDEX(Project[Total (%)],MATCH(All[[#This Row],[Student No.]],Project[Student No.],0))="",
      "",
      INDEX(Project[Total (%)],MATCH(All[[#This Row],[Student No.]],Project[Student No.],0)))
    ),
  "No student!")</f>
        <v/>
      </c>
      <c r="F130" s="201">
        <f>IF(All[[#This Row],[Wrote Def]], INDEX(#REF!, MATCH(All[[#This Row],[Student No.]],#REF!,0)),
  IF(All[[#This Row],[Wrote Exam]], INDEX(Exam[Total (%)], MATCH(All[[#This Row],[Student No.]], Exam[Student No.],0)),
    ""))</f>
        <v>31</v>
      </c>
      <c r="G130" s="18" t="str">
        <f>IF(AND(All[[#This Row],[Student]], All[[#This Row],[All Components]]),
    IF(NOT(All[Has Test Mark]),ROUND((All[[#This Row],[Engagement]]*$C$5+All[[#This Row],[Project]]*$E$5+All[[#This Row],[Exam/Def]]*$F$5)/($C$5+$E$5+$F$5),0),
      ROUND((All[[#This Row],[Engagement]]*$C$5+All[[#This Row],[Test]]*$D$5+All[[#This Row],[Project]]*$E$5+All[[#This Row],[Exam/Def]]*$F$5)/($C$5+$D$5+$E$5+$F$5),0)
  ),
  "")</f>
        <v/>
      </c>
      <c r="H130" s="18" t="str">
        <f>All[[#This Row],[Course Mark]]</f>
        <v/>
      </c>
      <c r="I130" s="18" t="str">
        <f>IF(All[[#This Row],[Wrote Sup]], INDEX(#REF!,MATCH(All[[#This Row],[Student No.]],#REF!,0)), "")</f>
        <v/>
      </c>
      <c r="J130" s="18" t="str">
        <f>IF(AND(All[[#This Row],[Student]],ISNUMBER(All[[#This Row],[Final]])),_xlfn.RANK.EQ(All[[#This Row],[Final]],All[Final]),"")</f>
        <v/>
      </c>
      <c r="K130" s="31"/>
      <c r="L130" s="18" t="str">
        <f>IF(All[[#This Row],[Student]], IF(All[Wrote Sup],All[Sup],All[[#This Row],[Final]]),"No student")</f>
        <v/>
      </c>
      <c r="M130" s="18" t="str">
        <f>IF(All[[#This Row],[Final]]="","",
  IF(All[[#This Row],[Wrote Sup]],
    IF(All[[#This Row],[Sup]]&lt;50,"FAL","PAS"),
  IF(All[[#This Row],[Exam/Def]]&lt;35, "FSB",
    IF(All[[#This Row],[Final]]&lt;50,"FAL",
    IF(All[[#This Row],[Final]]&gt;=50,"PAS",
  "Error!")))))</f>
        <v/>
      </c>
      <c r="N130" s="18">
        <f>IF(All[[#This Row],[Student]], _xlfn.IFNA(INDEX(captured[Course Mark],MATCH(All[[#This Row],[Student No.]],captured[ID_TEXT],0) &amp; ""), "Cannot find student!"),"No student!")</f>
        <v>28</v>
      </c>
      <c r="O130" s="189" t="str">
        <f>IF(All[[#This Row],[Student]], _xlfn.IFNA(INDEX(captured[Grade],MATCH(All[[#This Row],[Student No.]],captured[ID_TEXT],0)), "Cannot find student!") &amp; "","No student!")</f>
        <v>FSB</v>
      </c>
      <c r="P130"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30" s="18" t="str">
        <f>IF(All[[#This Row],[My Grade]]&lt;&gt;"",IF(All[[#This Row],[My Grade]]&lt;&gt;All[[#This Row],[Cap Grade]],TRUE,FALSE),"")</f>
        <v/>
      </c>
      <c r="R130" s="18" t="b">
        <f>IF(NOT(ISBLANK(All[[#This Row],[Student No.]])),OR(ISNUMBER(FIND("FSB",All[[#This Row],[My Grade]])),ISNUMBER(FIND("PAS", All[[#This Row],[My Grade]])),ISNUMBER(FIND("FAL",All[[#This Row],[My Grade]])),ISNUMBER(FIND("FAB", All[[#This Row],[My Grade]])),COUNTBLANK(All[[#This Row],[My Grade]])=1),FALSE)</f>
        <v>1</v>
      </c>
      <c r="S130" s="18" t="b">
        <f>IF(All[[#This Row],[Student No.]]&lt;&gt;"", TRUE, FALSE)</f>
        <v>1</v>
      </c>
      <c r="T130" s="18" t="b">
        <f>IF(COUNTBLANK(All[[#This Row],[Engagement]:[Exam/Def]])=0,TRUE, FALSE)</f>
        <v>0</v>
      </c>
      <c r="U130" s="18" t="b">
        <f>IF(ISNUMBER(All[[#This Row],[Test]]),TRUE,FALSE)</f>
        <v>0</v>
      </c>
      <c r="V130" s="18" t="b">
        <f>IF((INDEX(Test[Total (%)],MATCH(All[[#This Row],[Student No.]],Test[Student No.],0)))="ABS", TRUE, FALSE)</f>
        <v>0</v>
      </c>
      <c r="W130" s="18" t="b">
        <f>IF(ISNUMBER(INDEX(Exam[Total (%)],MATCH(All[[#This Row],[Student No.]],Exam[Student No.],0))), TRUE, FALSE)</f>
        <v>1</v>
      </c>
      <c r="X130" s="18" t="b">
        <f>IF(ISNUMBER(INDEX(#REF!,MATCH(All[[#This Row],[Student No.]],#REF!,0))),TRUE,FALSE)</f>
        <v>0</v>
      </c>
      <c r="Y130" s="18" t="b">
        <f>IF(ISNUMBER(INDEX(#REF!,MATCH(All[[#This Row],[Student No.]],#REF!,0))),TRUE,FALSE)</f>
        <v>0</v>
      </c>
      <c r="Z130" s="18" t="b">
        <f>IF(All[[#This Row],[Wrote Def]],
IF(INDEX(#REF!, MATCH(All[[#This Row],[Student No.]],#REF!,0))&lt;&gt;All[[#This Row],[Exam/Def]], TRUE, FALSE),
  IF(All[[#This Row],[Wrote Exam]], IF(INDEX(Exam[Total (%)], MATCH(All[[#This Row],[Student No.]],Exam[Student No.],0))&lt;&gt;All[[#This Row],[Exam/Def]],TRUE,FALSE), FALSE))</f>
        <v>0</v>
      </c>
      <c r="AA130" s="18" t="b">
        <f xml:space="preserve">    IF(AND(All[[#This Row],[Exam/Def]]&lt;35,OR(All[[#This Row],[Wrote Exam]],All[[#This Row],[Wrote Def]])), TRUE,FALSE)</f>
        <v>1</v>
      </c>
      <c r="AB130" s="18" t="b">
        <f>IF(AND(All[[#This Row],[Exam &lt; 35%]],All[[#This Row],[Final]]&gt;=50),TRUE,FALSE)</f>
        <v>1</v>
      </c>
      <c r="AC130" s="18"/>
    </row>
    <row r="131" spans="1:29">
      <c r="A131" s="17" t="s">
        <v>399</v>
      </c>
      <c r="B131" s="17" t="s">
        <v>572</v>
      </c>
      <c r="C131" s="100" t="e">
        <f>IF(All[[#This Row],[Student]],
  IF(ISNA(INDEX(#REF!,MATCH(All[[#This Row],[Student No.]],#REF!,0))),
    "Cannot find student!",
    IF(INDEX(#REF!,MATCH(All[[#This Row],[Student No.]],#REF!,0))="",
      "",
      INDEX(#REF!,MATCH(All[[#This Row],[Student No.]],#REF!,0)))
    ),
  "No student!")</f>
        <v>#REF!</v>
      </c>
      <c r="D131"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31" s="18" t="str">
        <f>IF(All[[#This Row],[Student]],
  IF(ISNA(INDEX(Project[Total (%)],MATCH(All[[#This Row],[Student No.]],Project[Student No.],0))),
    "Cannot find student!",
    IF(INDEX(Project[Total (%)],MATCH(All[[#This Row],[Student No.]],Project[Student No.],0))="",
      "",
      INDEX(Project[Total (%)],MATCH(All[[#This Row],[Student No.]],Project[Student No.],0)))
    ),
  "No student!")</f>
        <v/>
      </c>
      <c r="F131" s="201">
        <f>IF(All[[#This Row],[Wrote Def]], INDEX(#REF!, MATCH(All[[#This Row],[Student No.]],#REF!,0)),
  IF(All[[#This Row],[Wrote Exam]], INDEX(Exam[Total (%)], MATCH(All[[#This Row],[Student No.]], Exam[Student No.],0)),
    ""))</f>
        <v>29</v>
      </c>
      <c r="G131" s="18" t="str">
        <f>IF(AND(All[[#This Row],[Student]], All[[#This Row],[All Components]]),
    IF(NOT(All[Has Test Mark]),ROUND((All[[#This Row],[Engagement]]*$C$5+All[[#This Row],[Project]]*$E$5+All[[#This Row],[Exam/Def]]*$F$5)/($C$5+$E$5+$F$5),0),
      ROUND((All[[#This Row],[Engagement]]*$C$5+All[[#This Row],[Test]]*$D$5+All[[#This Row],[Project]]*$E$5+All[[#This Row],[Exam/Def]]*$F$5)/($C$5+$D$5+$E$5+$F$5),0)
  ),
  "")</f>
        <v/>
      </c>
      <c r="H131" s="18" t="str">
        <f>All[[#This Row],[Course Mark]]</f>
        <v/>
      </c>
      <c r="I131" s="18" t="str">
        <f>IF(All[[#This Row],[Wrote Sup]], INDEX(#REF!,MATCH(All[[#This Row],[Student No.]],#REF!,0)), "")</f>
        <v/>
      </c>
      <c r="J131" s="18" t="str">
        <f>IF(AND(All[[#This Row],[Student]],ISNUMBER(All[[#This Row],[Final]])),_xlfn.RANK.EQ(All[[#This Row],[Final]],All[Final]),"")</f>
        <v/>
      </c>
      <c r="K131" s="31"/>
      <c r="L131" s="18" t="str">
        <f>IF(All[[#This Row],[Student]], IF(All[Wrote Sup],All[Sup],All[[#This Row],[Final]]),"No student")</f>
        <v/>
      </c>
      <c r="M131" s="18" t="str">
        <f>IF(All[[#This Row],[Final]]="","",
  IF(All[[#This Row],[Wrote Sup]],
    IF(All[[#This Row],[Sup]]&lt;50,"FAL","PAS"),
  IF(All[[#This Row],[Exam/Def]]&lt;35, "FSB",
    IF(All[[#This Row],[Final]]&lt;50,"FAL",
    IF(All[[#This Row],[Final]]&gt;=50,"PAS",
  "Error!")))))</f>
        <v/>
      </c>
      <c r="N131" s="18">
        <f>IF(All[[#This Row],[Student]], _xlfn.IFNA(INDEX(captured[Course Mark],MATCH(All[[#This Row],[Student No.]],captured[ID_TEXT],0) &amp; ""), "Cannot find student!"),"No student!")</f>
        <v>34</v>
      </c>
      <c r="O131" s="189" t="str">
        <f>IF(All[[#This Row],[Student]], _xlfn.IFNA(INDEX(captured[Grade],MATCH(All[[#This Row],[Student No.]],captured[ID_TEXT],0)), "Cannot find student!") &amp; "","No student!")</f>
        <v/>
      </c>
      <c r="P131"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31" s="18" t="str">
        <f>IF(All[[#This Row],[My Grade]]&lt;&gt;"",IF(All[[#This Row],[My Grade]]&lt;&gt;All[[#This Row],[Cap Grade]],TRUE,FALSE),"")</f>
        <v/>
      </c>
      <c r="R131" s="18" t="b">
        <f>IF(NOT(ISBLANK(All[[#This Row],[Student No.]])),OR(ISNUMBER(FIND("FSB",All[[#This Row],[My Grade]])),ISNUMBER(FIND("PAS", All[[#This Row],[My Grade]])),ISNUMBER(FIND("FAL",All[[#This Row],[My Grade]])),ISNUMBER(FIND("FAB", All[[#This Row],[My Grade]])),COUNTBLANK(All[[#This Row],[My Grade]])=1),FALSE)</f>
        <v>1</v>
      </c>
      <c r="S131" s="18" t="b">
        <f>IF(All[[#This Row],[Student No.]]&lt;&gt;"", TRUE, FALSE)</f>
        <v>1</v>
      </c>
      <c r="T131" s="18" t="b">
        <f>IF(COUNTBLANK(All[[#This Row],[Engagement]:[Exam/Def]])=0,TRUE, FALSE)</f>
        <v>0</v>
      </c>
      <c r="U131" s="18" t="b">
        <f>IF(ISNUMBER(All[[#This Row],[Test]]),TRUE,FALSE)</f>
        <v>0</v>
      </c>
      <c r="V131" s="18" t="b">
        <f>IF((INDEX(Test[Total (%)],MATCH(All[[#This Row],[Student No.]],Test[Student No.],0)))="ABS", TRUE, FALSE)</f>
        <v>0</v>
      </c>
      <c r="W131" s="18" t="b">
        <f>IF(ISNUMBER(INDEX(Exam[Total (%)],MATCH(All[[#This Row],[Student No.]],Exam[Student No.],0))), TRUE, FALSE)</f>
        <v>1</v>
      </c>
      <c r="X131" s="18" t="b">
        <f>IF(ISNUMBER(INDEX(#REF!,MATCH(All[[#This Row],[Student No.]],#REF!,0))),TRUE,FALSE)</f>
        <v>0</v>
      </c>
      <c r="Y131" s="18" t="b">
        <f>IF(ISNUMBER(INDEX(#REF!,MATCH(All[[#This Row],[Student No.]],#REF!,0))),TRUE,FALSE)</f>
        <v>0</v>
      </c>
      <c r="Z131" s="18" t="b">
        <f>IF(All[[#This Row],[Wrote Def]],
IF(INDEX(#REF!, MATCH(All[[#This Row],[Student No.]],#REF!,0))&lt;&gt;All[[#This Row],[Exam/Def]], TRUE, FALSE),
  IF(All[[#This Row],[Wrote Exam]], IF(INDEX(Exam[Total (%)], MATCH(All[[#This Row],[Student No.]],Exam[Student No.],0))&lt;&gt;All[[#This Row],[Exam/Def]],TRUE,FALSE), FALSE))</f>
        <v>0</v>
      </c>
      <c r="AA131" s="18" t="b">
        <f xml:space="preserve">    IF(AND(All[[#This Row],[Exam/Def]]&lt;35,OR(All[[#This Row],[Wrote Exam]],All[[#This Row],[Wrote Def]])), TRUE,FALSE)</f>
        <v>1</v>
      </c>
      <c r="AB131" s="18" t="b">
        <f>IF(AND(All[[#This Row],[Exam &lt; 35%]],All[[#This Row],[Final]]&gt;=50),TRUE,FALSE)</f>
        <v>1</v>
      </c>
      <c r="AC131" s="18"/>
    </row>
    <row r="132" spans="1:29" ht="43.2">
      <c r="A132" s="17" t="s">
        <v>400</v>
      </c>
      <c r="B132" s="17" t="s">
        <v>573</v>
      </c>
      <c r="C132" s="100" t="e">
        <f>IF(All[[#This Row],[Student]],
  IF(ISNA(INDEX(#REF!,MATCH(All[[#This Row],[Student No.]],#REF!,0))),
    "Cannot find student!",
    IF(INDEX(#REF!,MATCH(All[[#This Row],[Student No.]],#REF!,0))="",
      "",
      INDEX(#REF!,MATCH(All[[#This Row],[Student No.]],#REF!,0)))
    ),
  "No student!")</f>
        <v>#REF!</v>
      </c>
      <c r="D132"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32" s="18" t="str">
        <f>IF(All[[#This Row],[Student]],
  IF(ISNA(INDEX(Project[Total (%)],MATCH(All[[#This Row],[Student No.]],Project[Student No.],0))),
    "Cannot find student!",
    IF(INDEX(Project[Total (%)],MATCH(All[[#This Row],[Student No.]],Project[Student No.],0))="",
      "",
      INDEX(Project[Total (%)],MATCH(All[[#This Row],[Student No.]],Project[Student No.],0)))
    ),
  "No student!")</f>
        <v/>
      </c>
      <c r="F132" s="201" t="str">
        <f>IF(All[[#This Row],[Wrote Def]], INDEX(#REF!, MATCH(All[[#This Row],[Student No.]],#REF!,0)),
  IF(All[[#This Row],[Wrote Exam]], INDEX(Exam[Total (%)], MATCH(All[[#This Row],[Student No.]], Exam[Student No.],0)),
    ""))</f>
        <v/>
      </c>
      <c r="G132" s="18" t="str">
        <f>IF(AND(All[[#This Row],[Student]], All[[#This Row],[All Components]]),
    IF(NOT(All[Has Test Mark]),ROUND((All[[#This Row],[Engagement]]*$C$5+All[[#This Row],[Project]]*$E$5+All[[#This Row],[Exam/Def]]*$F$5)/($C$5+$E$5+$F$5),0),
      ROUND((All[[#This Row],[Engagement]]*$C$5+All[[#This Row],[Test]]*$D$5+All[[#This Row],[Project]]*$E$5+All[[#This Row],[Exam/Def]]*$F$5)/($C$5+$D$5+$E$5+$F$5),0)
  ),
  "")</f>
        <v/>
      </c>
      <c r="H132" s="18" t="str">
        <f>All[[#This Row],[Course Mark]]</f>
        <v/>
      </c>
      <c r="I132" s="18" t="str">
        <f>IF(All[[#This Row],[Wrote Sup]], INDEX(#REF!,MATCH(All[[#This Row],[Student No.]],#REF!,0)), "")</f>
        <v/>
      </c>
      <c r="J132" s="18" t="str">
        <f>IF(AND(All[[#This Row],[Student]],ISNUMBER(All[[#This Row],[Final]])),_xlfn.RANK.EQ(All[[#This Row],[Final]],All[Final]),"")</f>
        <v/>
      </c>
      <c r="K132" s="31"/>
      <c r="L132" s="18" t="str">
        <f>IF(All[[#This Row],[Student]], IF(All[Wrote Sup],All[Sup],All[[#This Row],[Final]]),"No student")</f>
        <v/>
      </c>
      <c r="M132" s="18" t="str">
        <f>IF(All[[#This Row],[Final]]="","",
  IF(All[[#This Row],[Wrote Sup]],
    IF(All[[#This Row],[Sup]]&lt;50,"FAL","PAS"),
  IF(All[[#This Row],[Exam/Def]]&lt;35, "FSB",
    IF(All[[#This Row],[Final]]&lt;50,"FAL",
    IF(All[[#This Row],[Final]]&gt;=50,"PAS",
  "Error!")))))</f>
        <v/>
      </c>
      <c r="N132" s="18">
        <f>IF(All[[#This Row],[Student]], _xlfn.IFNA(INDEX(captured[Course Mark],MATCH(All[[#This Row],[Student No.]],captured[ID_TEXT],0) &amp; ""), "Cannot find student!"),"No student!")</f>
        <v>21</v>
      </c>
      <c r="O132" s="189" t="str">
        <f>IF(All[[#This Row],[Student]], _xlfn.IFNA(INDEX(captured[Grade],MATCH(All[[#This Row],[Student No.]],captured[ID_TEXT],0)), "Cannot find student!") &amp; "","No student!")</f>
        <v>FSB</v>
      </c>
      <c r="P132"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32" s="18" t="str">
        <f>IF(All[[#This Row],[My Grade]]&lt;&gt;"",IF(All[[#This Row],[My Grade]]&lt;&gt;All[[#This Row],[Cap Grade]],TRUE,FALSE),"")</f>
        <v/>
      </c>
      <c r="R132" s="18" t="b">
        <f>IF(NOT(ISBLANK(All[[#This Row],[Student No.]])),OR(ISNUMBER(FIND("FSB",All[[#This Row],[My Grade]])),ISNUMBER(FIND("PAS", All[[#This Row],[My Grade]])),ISNUMBER(FIND("FAL",All[[#This Row],[My Grade]])),ISNUMBER(FIND("FAB", All[[#This Row],[My Grade]])),COUNTBLANK(All[[#This Row],[My Grade]])=1),FALSE)</f>
        <v>1</v>
      </c>
      <c r="S132" s="18" t="b">
        <f>IF(All[[#This Row],[Student No.]]&lt;&gt;"", TRUE, FALSE)</f>
        <v>1</v>
      </c>
      <c r="T132" s="18" t="b">
        <f>IF(COUNTBLANK(All[[#This Row],[Engagement]:[Exam/Def]])=0,TRUE, FALSE)</f>
        <v>0</v>
      </c>
      <c r="U132" s="18" t="b">
        <f>IF(ISNUMBER(All[[#This Row],[Test]]),TRUE,FALSE)</f>
        <v>0</v>
      </c>
      <c r="V132" s="18" t="e">
        <f>IF((INDEX(Test[Total (%)],MATCH(All[[#This Row],[Student No.]],Test[Student No.],0)))="ABS", TRUE, FALSE)</f>
        <v>#N/A</v>
      </c>
      <c r="W132" s="18" t="b">
        <f>IF(ISNUMBER(INDEX(Exam[Total (%)],MATCH(All[[#This Row],[Student No.]],Exam[Student No.],0))), TRUE, FALSE)</f>
        <v>0</v>
      </c>
      <c r="X132" s="18" t="b">
        <f>IF(ISNUMBER(INDEX(#REF!,MATCH(All[[#This Row],[Student No.]],#REF!,0))),TRUE,FALSE)</f>
        <v>0</v>
      </c>
      <c r="Y132" s="18" t="b">
        <f>IF(ISNUMBER(INDEX(#REF!,MATCH(All[[#This Row],[Student No.]],#REF!,0))),TRUE,FALSE)</f>
        <v>0</v>
      </c>
      <c r="Z132" s="18" t="b">
        <f>IF(All[[#This Row],[Wrote Def]],
IF(INDEX(#REF!, MATCH(All[[#This Row],[Student No.]],#REF!,0))&lt;&gt;All[[#This Row],[Exam/Def]], TRUE, FALSE),
  IF(All[[#This Row],[Wrote Exam]], IF(INDEX(Exam[Total (%)], MATCH(All[[#This Row],[Student No.]],Exam[Student No.],0))&lt;&gt;All[[#This Row],[Exam/Def]],TRUE,FALSE), FALSE))</f>
        <v>0</v>
      </c>
      <c r="AA132" s="18" t="b">
        <f xml:space="preserve">    IF(AND(All[[#This Row],[Exam/Def]]&lt;35,OR(All[[#This Row],[Wrote Exam]],All[[#This Row],[Wrote Def]])), TRUE,FALSE)</f>
        <v>0</v>
      </c>
      <c r="AB132" s="18" t="b">
        <f>IF(AND(All[[#This Row],[Exam &lt; 35%]],All[[#This Row],[Final]]&gt;=50),TRUE,FALSE)</f>
        <v>0</v>
      </c>
      <c r="AC132" s="18"/>
    </row>
    <row r="133" spans="1:29" ht="43.2">
      <c r="A133" s="17" t="s">
        <v>401</v>
      </c>
      <c r="B133" s="17" t="s">
        <v>574</v>
      </c>
      <c r="C133" s="100" t="e">
        <f>IF(All[[#This Row],[Student]],
  IF(ISNA(INDEX(#REF!,MATCH(All[[#This Row],[Student No.]],#REF!,0))),
    "Cannot find student!",
    IF(INDEX(#REF!,MATCH(All[[#This Row],[Student No.]],#REF!,0))="",
      "",
      INDEX(#REF!,MATCH(All[[#This Row],[Student No.]],#REF!,0)))
    ),
  "No student!")</f>
        <v>#REF!</v>
      </c>
      <c r="D133"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33" s="18" t="str">
        <f>IF(All[[#This Row],[Student]],
  IF(ISNA(INDEX(Project[Total (%)],MATCH(All[[#This Row],[Student No.]],Project[Student No.],0))),
    "Cannot find student!",
    IF(INDEX(Project[Total (%)],MATCH(All[[#This Row],[Student No.]],Project[Student No.],0))="",
      "",
      INDEX(Project[Total (%)],MATCH(All[[#This Row],[Student No.]],Project[Student No.],0)))
    ),
  "No student!")</f>
        <v/>
      </c>
      <c r="F133" s="201">
        <f>IF(All[[#This Row],[Wrote Def]], INDEX(#REF!, MATCH(All[[#This Row],[Student No.]],#REF!,0)),
  IF(All[[#This Row],[Wrote Exam]], INDEX(Exam[Total (%)], MATCH(All[[#This Row],[Student No.]], Exam[Student No.],0)),
    ""))</f>
        <v>18</v>
      </c>
      <c r="G133" s="18" t="str">
        <f>IF(AND(All[[#This Row],[Student]], All[[#This Row],[All Components]]),
    IF(NOT(All[Has Test Mark]),ROUND((All[[#This Row],[Engagement]]*$C$5+All[[#This Row],[Project]]*$E$5+All[[#This Row],[Exam/Def]]*$F$5)/($C$5+$E$5+$F$5),0),
      ROUND((All[[#This Row],[Engagement]]*$C$5+All[[#This Row],[Test]]*$D$5+All[[#This Row],[Project]]*$E$5+All[[#This Row],[Exam/Def]]*$F$5)/($C$5+$D$5+$E$5+$F$5),0)
  ),
  "")</f>
        <v/>
      </c>
      <c r="H133" s="18" t="str">
        <f>All[[#This Row],[Course Mark]]</f>
        <v/>
      </c>
      <c r="I133" s="18" t="str">
        <f>IF(All[[#This Row],[Wrote Sup]], INDEX(#REF!,MATCH(All[[#This Row],[Student No.]],#REF!,0)), "")</f>
        <v/>
      </c>
      <c r="J133" s="18" t="str">
        <f>IF(AND(All[[#This Row],[Student]],ISNUMBER(All[[#This Row],[Final]])),_xlfn.RANK.EQ(All[[#This Row],[Final]],All[Final]),"")</f>
        <v/>
      </c>
      <c r="K133" s="31"/>
      <c r="L133" s="18" t="str">
        <f>IF(All[[#This Row],[Student]], IF(All[Wrote Sup],All[Sup],All[[#This Row],[Final]]),"No student")</f>
        <v/>
      </c>
      <c r="M133" s="18" t="str">
        <f>IF(All[[#This Row],[Final]]="","",
  IF(All[[#This Row],[Wrote Sup]],
    IF(All[[#This Row],[Sup]]&lt;50,"FAL","PAS"),
  IF(All[[#This Row],[Exam/Def]]&lt;35, "FSB",
    IF(All[[#This Row],[Final]]&lt;50,"FAL",
    IF(All[[#This Row],[Final]]&gt;=50,"PAS",
  "Error!")))))</f>
        <v/>
      </c>
      <c r="N133" s="18">
        <f>IF(All[[#This Row],[Student]], _xlfn.IFNA(INDEX(captured[Course Mark],MATCH(All[[#This Row],[Student No.]],captured[ID_TEXT],0) &amp; ""), "Cannot find student!"),"No student!")</f>
        <v>32</v>
      </c>
      <c r="O133" s="189" t="str">
        <f>IF(All[[#This Row],[Student]], _xlfn.IFNA(INDEX(captured[Grade],MATCH(All[[#This Row],[Student No.]],captured[ID_TEXT],0)), "Cannot find student!") &amp; "","No student!")</f>
        <v>FSB</v>
      </c>
      <c r="P133"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33" s="18" t="str">
        <f>IF(All[[#This Row],[My Grade]]&lt;&gt;"",IF(All[[#This Row],[My Grade]]&lt;&gt;All[[#This Row],[Cap Grade]],TRUE,FALSE),"")</f>
        <v/>
      </c>
      <c r="R133" s="18" t="b">
        <f>IF(NOT(ISBLANK(All[[#This Row],[Student No.]])),OR(ISNUMBER(FIND("FSB",All[[#This Row],[My Grade]])),ISNUMBER(FIND("PAS", All[[#This Row],[My Grade]])),ISNUMBER(FIND("FAL",All[[#This Row],[My Grade]])),ISNUMBER(FIND("FAB", All[[#This Row],[My Grade]])),COUNTBLANK(All[[#This Row],[My Grade]])=1),FALSE)</f>
        <v>1</v>
      </c>
      <c r="S133" s="18" t="b">
        <f>IF(All[[#This Row],[Student No.]]&lt;&gt;"", TRUE, FALSE)</f>
        <v>1</v>
      </c>
      <c r="T133" s="18" t="b">
        <f>IF(COUNTBLANK(All[[#This Row],[Engagement]:[Exam/Def]])=0,TRUE, FALSE)</f>
        <v>0</v>
      </c>
      <c r="U133" s="18" t="b">
        <f>IF(ISNUMBER(All[[#This Row],[Test]]),TRUE,FALSE)</f>
        <v>0</v>
      </c>
      <c r="V133" s="18" t="e">
        <f>IF((INDEX(Test[Total (%)],MATCH(All[[#This Row],[Student No.]],Test[Student No.],0)))="ABS", TRUE, FALSE)</f>
        <v>#N/A</v>
      </c>
      <c r="W133" s="18" t="b">
        <f>IF(ISNUMBER(INDEX(Exam[Total (%)],MATCH(All[[#This Row],[Student No.]],Exam[Student No.],0))), TRUE, FALSE)</f>
        <v>1</v>
      </c>
      <c r="X133" s="18" t="b">
        <f>IF(ISNUMBER(INDEX(#REF!,MATCH(All[[#This Row],[Student No.]],#REF!,0))),TRUE,FALSE)</f>
        <v>0</v>
      </c>
      <c r="Y133" s="18" t="b">
        <f>IF(ISNUMBER(INDEX(#REF!,MATCH(All[[#This Row],[Student No.]],#REF!,0))),TRUE,FALSE)</f>
        <v>0</v>
      </c>
      <c r="Z133" s="18" t="b">
        <f>IF(All[[#This Row],[Wrote Def]],
IF(INDEX(#REF!, MATCH(All[[#This Row],[Student No.]],#REF!,0))&lt;&gt;All[[#This Row],[Exam/Def]], TRUE, FALSE),
  IF(All[[#This Row],[Wrote Exam]], IF(INDEX(Exam[Total (%)], MATCH(All[[#This Row],[Student No.]],Exam[Student No.],0))&lt;&gt;All[[#This Row],[Exam/Def]],TRUE,FALSE), FALSE))</f>
        <v>0</v>
      </c>
      <c r="AA133" s="18" t="b">
        <f xml:space="preserve">    IF(AND(All[[#This Row],[Exam/Def]]&lt;35,OR(All[[#This Row],[Wrote Exam]],All[[#This Row],[Wrote Def]])), TRUE,FALSE)</f>
        <v>1</v>
      </c>
      <c r="AB133" s="18" t="b">
        <f>IF(AND(All[[#This Row],[Exam &lt; 35%]],All[[#This Row],[Final]]&gt;=50),TRUE,FALSE)</f>
        <v>1</v>
      </c>
      <c r="AC133" s="18"/>
    </row>
    <row r="134" spans="1:29">
      <c r="A134" s="17" t="s">
        <v>402</v>
      </c>
      <c r="B134" s="17" t="s">
        <v>575</v>
      </c>
      <c r="C134" s="100" t="e">
        <f>IF(All[[#This Row],[Student]],
  IF(ISNA(INDEX(#REF!,MATCH(All[[#This Row],[Student No.]],#REF!,0))),
    "Cannot find student!",
    IF(INDEX(#REF!,MATCH(All[[#This Row],[Student No.]],#REF!,0))="",
      "",
      INDEX(#REF!,MATCH(All[[#This Row],[Student No.]],#REF!,0)))
    ),
  "No student!")</f>
        <v>#REF!</v>
      </c>
      <c r="D134"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34" s="18" t="str">
        <f>IF(All[[#This Row],[Student]],
  IF(ISNA(INDEX(Project[Total (%)],MATCH(All[[#This Row],[Student No.]],Project[Student No.],0))),
    "Cannot find student!",
    IF(INDEX(Project[Total (%)],MATCH(All[[#This Row],[Student No.]],Project[Student No.],0))="",
      "",
      INDEX(Project[Total (%)],MATCH(All[[#This Row],[Student No.]],Project[Student No.],0)))
    ),
  "No student!")</f>
        <v/>
      </c>
      <c r="F134" s="201" t="str">
        <f>IF(All[[#This Row],[Wrote Def]], INDEX(#REF!, MATCH(All[[#This Row],[Student No.]],#REF!,0)),
  IF(All[[#This Row],[Wrote Exam]], INDEX(Exam[Total (%)], MATCH(All[[#This Row],[Student No.]], Exam[Student No.],0)),
    ""))</f>
        <v/>
      </c>
      <c r="G134" s="18" t="str">
        <f>IF(AND(All[[#This Row],[Student]], All[[#This Row],[All Components]]),
    IF(NOT(All[Has Test Mark]),ROUND((All[[#This Row],[Engagement]]*$C$5+All[[#This Row],[Project]]*$E$5+All[[#This Row],[Exam/Def]]*$F$5)/($C$5+$E$5+$F$5),0),
      ROUND((All[[#This Row],[Engagement]]*$C$5+All[[#This Row],[Test]]*$D$5+All[[#This Row],[Project]]*$E$5+All[[#This Row],[Exam/Def]]*$F$5)/($C$5+$D$5+$E$5+$F$5),0)
  ),
  "")</f>
        <v/>
      </c>
      <c r="H134" s="18" t="str">
        <f>All[[#This Row],[Course Mark]]</f>
        <v/>
      </c>
      <c r="I134" s="18" t="str">
        <f>IF(All[[#This Row],[Wrote Sup]], INDEX(#REF!,MATCH(All[[#This Row],[Student No.]],#REF!,0)), "")</f>
        <v/>
      </c>
      <c r="J134" s="18" t="str">
        <f>IF(AND(All[[#This Row],[Student]],ISNUMBER(All[[#This Row],[Final]])),_xlfn.RANK.EQ(All[[#This Row],[Final]],All[Final]),"")</f>
        <v/>
      </c>
      <c r="K134" s="31"/>
      <c r="L134" s="18" t="str">
        <f>IF(All[[#This Row],[Student]], IF(All[Wrote Sup],All[Sup],All[[#This Row],[Final]]),"No student")</f>
        <v/>
      </c>
      <c r="M134" s="18" t="str">
        <f>IF(All[[#This Row],[Final]]="","",
  IF(All[[#This Row],[Wrote Sup]],
    IF(All[[#This Row],[Sup]]&lt;50,"FAL","PAS"),
  IF(All[[#This Row],[Exam/Def]]&lt;35, "FSB",
    IF(All[[#This Row],[Final]]&lt;50,"FAL",
    IF(All[[#This Row],[Final]]&gt;=50,"PAS",
  "Error!")))))</f>
        <v/>
      </c>
      <c r="N134" s="18">
        <f>IF(All[[#This Row],[Student]], _xlfn.IFNA(INDEX(captured[Course Mark],MATCH(All[[#This Row],[Student No.]],captured[ID_TEXT],0) &amp; ""), "Cannot find student!"),"No student!")</f>
        <v>42</v>
      </c>
      <c r="O134" s="189" t="str">
        <f>IF(All[[#This Row],[Student]], _xlfn.IFNA(INDEX(captured[Grade],MATCH(All[[#This Row],[Student No.]],captured[ID_TEXT],0)), "Cannot find student!") &amp; "","No student!")</f>
        <v>FSB</v>
      </c>
      <c r="P134"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34" s="18" t="str">
        <f>IF(All[[#This Row],[My Grade]]&lt;&gt;"",IF(All[[#This Row],[My Grade]]&lt;&gt;All[[#This Row],[Cap Grade]],TRUE,FALSE),"")</f>
        <v/>
      </c>
      <c r="R134" s="18" t="b">
        <f>IF(NOT(ISBLANK(All[[#This Row],[Student No.]])),OR(ISNUMBER(FIND("FSB",All[[#This Row],[My Grade]])),ISNUMBER(FIND("PAS", All[[#This Row],[My Grade]])),ISNUMBER(FIND("FAL",All[[#This Row],[My Grade]])),ISNUMBER(FIND("FAB", All[[#This Row],[My Grade]])),COUNTBLANK(All[[#This Row],[My Grade]])=1),FALSE)</f>
        <v>1</v>
      </c>
      <c r="S134" s="18" t="b">
        <f>IF(All[[#This Row],[Student No.]]&lt;&gt;"", TRUE, FALSE)</f>
        <v>1</v>
      </c>
      <c r="T134" s="18" t="b">
        <f>IF(COUNTBLANK(All[[#This Row],[Engagement]:[Exam/Def]])=0,TRUE, FALSE)</f>
        <v>0</v>
      </c>
      <c r="U134" s="18" t="b">
        <f>IF(ISNUMBER(All[[#This Row],[Test]]),TRUE,FALSE)</f>
        <v>0</v>
      </c>
      <c r="V134" s="18" t="b">
        <f>IF((INDEX(Test[Total (%)],MATCH(All[[#This Row],[Student No.]],Test[Student No.],0)))="ABS", TRUE, FALSE)</f>
        <v>0</v>
      </c>
      <c r="W134" s="18" t="b">
        <f>IF(ISNUMBER(INDEX(Exam[Total (%)],MATCH(All[[#This Row],[Student No.]],Exam[Student No.],0))), TRUE, FALSE)</f>
        <v>0</v>
      </c>
      <c r="X134" s="18" t="b">
        <f>IF(ISNUMBER(INDEX(#REF!,MATCH(All[[#This Row],[Student No.]],#REF!,0))),TRUE,FALSE)</f>
        <v>0</v>
      </c>
      <c r="Y134" s="18" t="b">
        <f>IF(ISNUMBER(INDEX(#REF!,MATCH(All[[#This Row],[Student No.]],#REF!,0))),TRUE,FALSE)</f>
        <v>0</v>
      </c>
      <c r="Z134" s="18" t="b">
        <f>IF(All[[#This Row],[Wrote Def]],
IF(INDEX(#REF!, MATCH(All[[#This Row],[Student No.]],#REF!,0))&lt;&gt;All[[#This Row],[Exam/Def]], TRUE, FALSE),
  IF(All[[#This Row],[Wrote Exam]], IF(INDEX(Exam[Total (%)], MATCH(All[[#This Row],[Student No.]],Exam[Student No.],0))&lt;&gt;All[[#This Row],[Exam/Def]],TRUE,FALSE), FALSE))</f>
        <v>0</v>
      </c>
      <c r="AA134" s="18" t="b">
        <f xml:space="preserve">    IF(AND(All[[#This Row],[Exam/Def]]&lt;35,OR(All[[#This Row],[Wrote Exam]],All[[#This Row],[Wrote Def]])), TRUE,FALSE)</f>
        <v>0</v>
      </c>
      <c r="AB134" s="18" t="b">
        <f>IF(AND(All[[#This Row],[Exam &lt; 35%]],All[[#This Row],[Final]]&gt;=50),TRUE,FALSE)</f>
        <v>0</v>
      </c>
      <c r="AC134" s="18"/>
    </row>
    <row r="135" spans="1:29">
      <c r="A135" s="17" t="s">
        <v>403</v>
      </c>
      <c r="B135" s="17" t="s">
        <v>576</v>
      </c>
      <c r="C135" s="100" t="e">
        <f>IF(All[[#This Row],[Student]],
  IF(ISNA(INDEX(#REF!,MATCH(All[[#This Row],[Student No.]],#REF!,0))),
    "Cannot find student!",
    IF(INDEX(#REF!,MATCH(All[[#This Row],[Student No.]],#REF!,0))="",
      "",
      INDEX(#REF!,MATCH(All[[#This Row],[Student No.]],#REF!,0)))
    ),
  "No student!")</f>
        <v>#REF!</v>
      </c>
      <c r="D135"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35" s="18" t="str">
        <f>IF(All[[#This Row],[Student]],
  IF(ISNA(INDEX(Project[Total (%)],MATCH(All[[#This Row],[Student No.]],Project[Student No.],0))),
    "Cannot find student!",
    IF(INDEX(Project[Total (%)],MATCH(All[[#This Row],[Student No.]],Project[Student No.],0))="",
      "",
      INDEX(Project[Total (%)],MATCH(All[[#This Row],[Student No.]],Project[Student No.],0)))
    ),
  "No student!")</f>
        <v/>
      </c>
      <c r="F135" s="201">
        <f>IF(All[[#This Row],[Wrote Def]], INDEX(#REF!, MATCH(All[[#This Row],[Student No.]],#REF!,0)),
  IF(All[[#This Row],[Wrote Exam]], INDEX(Exam[Total (%)], MATCH(All[[#This Row],[Student No.]], Exam[Student No.],0)),
    ""))</f>
        <v>6</v>
      </c>
      <c r="G135" s="18" t="str">
        <f>IF(AND(All[[#This Row],[Student]], All[[#This Row],[All Components]]),
    IF(NOT(All[Has Test Mark]),ROUND((All[[#This Row],[Engagement]]*$C$5+All[[#This Row],[Project]]*$E$5+All[[#This Row],[Exam/Def]]*$F$5)/($C$5+$E$5+$F$5),0),
      ROUND((All[[#This Row],[Engagement]]*$C$5+All[[#This Row],[Test]]*$D$5+All[[#This Row],[Project]]*$E$5+All[[#This Row],[Exam/Def]]*$F$5)/($C$5+$D$5+$E$5+$F$5),0)
  ),
  "")</f>
        <v/>
      </c>
      <c r="H135" s="18" t="str">
        <f>All[[#This Row],[Course Mark]]</f>
        <v/>
      </c>
      <c r="I135" s="18" t="str">
        <f>IF(All[[#This Row],[Wrote Sup]], INDEX(#REF!,MATCH(All[[#This Row],[Student No.]],#REF!,0)), "")</f>
        <v/>
      </c>
      <c r="J135" s="18" t="str">
        <f>IF(AND(All[[#This Row],[Student]],ISNUMBER(All[[#This Row],[Final]])),_xlfn.RANK.EQ(All[[#This Row],[Final]],All[Final]),"")</f>
        <v/>
      </c>
      <c r="K135" s="31"/>
      <c r="L135" s="18" t="str">
        <f>IF(All[[#This Row],[Student]], IF(All[Wrote Sup],All[Sup],All[[#This Row],[Final]]),"No student")</f>
        <v/>
      </c>
      <c r="M135" s="18" t="str">
        <f>IF(All[[#This Row],[Final]]="","",
  IF(All[[#This Row],[Wrote Sup]],
    IF(All[[#This Row],[Sup]]&lt;50,"FAL","PAS"),
  IF(All[[#This Row],[Exam/Def]]&lt;35, "FSB",
    IF(All[[#This Row],[Final]]&lt;50,"FAL",
    IF(All[[#This Row],[Final]]&gt;=50,"PAS",
  "Error!")))))</f>
        <v/>
      </c>
      <c r="N135" s="18">
        <f>IF(All[[#This Row],[Student]], _xlfn.IFNA(INDEX(captured[Course Mark],MATCH(All[[#This Row],[Student No.]],captured[ID_TEXT],0) &amp; ""), "Cannot find student!"),"No student!")</f>
        <v>15</v>
      </c>
      <c r="O135" s="189" t="str">
        <f>IF(All[[#This Row],[Student]], _xlfn.IFNA(INDEX(captured[Grade],MATCH(All[[#This Row],[Student No.]],captured[ID_TEXT],0)), "Cannot find student!") &amp; "","No student!")</f>
        <v>FSB</v>
      </c>
      <c r="P135"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35" s="18" t="str">
        <f>IF(All[[#This Row],[My Grade]]&lt;&gt;"",IF(All[[#This Row],[My Grade]]&lt;&gt;All[[#This Row],[Cap Grade]],TRUE,FALSE),"")</f>
        <v/>
      </c>
      <c r="R135" s="18" t="b">
        <f>IF(NOT(ISBLANK(All[[#This Row],[Student No.]])),OR(ISNUMBER(FIND("FSB",All[[#This Row],[My Grade]])),ISNUMBER(FIND("PAS", All[[#This Row],[My Grade]])),ISNUMBER(FIND("FAL",All[[#This Row],[My Grade]])),ISNUMBER(FIND("FAB", All[[#This Row],[My Grade]])),COUNTBLANK(All[[#This Row],[My Grade]])=1),FALSE)</f>
        <v>1</v>
      </c>
      <c r="S135" s="18" t="b">
        <f>IF(All[[#This Row],[Student No.]]&lt;&gt;"", TRUE, FALSE)</f>
        <v>1</v>
      </c>
      <c r="T135" s="18" t="b">
        <f>IF(COUNTBLANK(All[[#This Row],[Engagement]:[Exam/Def]])=0,TRUE, FALSE)</f>
        <v>0</v>
      </c>
      <c r="U135" s="18" t="b">
        <f>IF(ISNUMBER(All[[#This Row],[Test]]),TRUE,FALSE)</f>
        <v>0</v>
      </c>
      <c r="V135" s="18" t="b">
        <f>IF((INDEX(Test[Total (%)],MATCH(All[[#This Row],[Student No.]],Test[Student No.],0)))="ABS", TRUE, FALSE)</f>
        <v>0</v>
      </c>
      <c r="W135" s="18" t="b">
        <f>IF(ISNUMBER(INDEX(Exam[Total (%)],MATCH(All[[#This Row],[Student No.]],Exam[Student No.],0))), TRUE, FALSE)</f>
        <v>1</v>
      </c>
      <c r="X135" s="18" t="b">
        <f>IF(ISNUMBER(INDEX(#REF!,MATCH(All[[#This Row],[Student No.]],#REF!,0))),TRUE,FALSE)</f>
        <v>0</v>
      </c>
      <c r="Y135" s="18" t="b">
        <f>IF(ISNUMBER(INDEX(#REF!,MATCH(All[[#This Row],[Student No.]],#REF!,0))),TRUE,FALSE)</f>
        <v>0</v>
      </c>
      <c r="Z135" s="18" t="b">
        <f>IF(All[[#This Row],[Wrote Def]],
IF(INDEX(#REF!, MATCH(All[[#This Row],[Student No.]],#REF!,0))&lt;&gt;All[[#This Row],[Exam/Def]], TRUE, FALSE),
  IF(All[[#This Row],[Wrote Exam]], IF(INDEX(Exam[Total (%)], MATCH(All[[#This Row],[Student No.]],Exam[Student No.],0))&lt;&gt;All[[#This Row],[Exam/Def]],TRUE,FALSE), FALSE))</f>
        <v>0</v>
      </c>
      <c r="AA135" s="18" t="b">
        <f xml:space="preserve">    IF(AND(All[[#This Row],[Exam/Def]]&lt;35,OR(All[[#This Row],[Wrote Exam]],All[[#This Row],[Wrote Def]])), TRUE,FALSE)</f>
        <v>1</v>
      </c>
      <c r="AB135" s="18" t="b">
        <f>IF(AND(All[[#This Row],[Exam &lt; 35%]],All[[#This Row],[Final]]&gt;=50),TRUE,FALSE)</f>
        <v>1</v>
      </c>
      <c r="AC135" s="18"/>
    </row>
    <row r="136" spans="1:29" ht="43.2">
      <c r="A136" s="17" t="s">
        <v>404</v>
      </c>
      <c r="B136" s="17" t="s">
        <v>577</v>
      </c>
      <c r="C136" s="100" t="e">
        <f>IF(All[[#This Row],[Student]],
  IF(ISNA(INDEX(#REF!,MATCH(All[[#This Row],[Student No.]],#REF!,0))),
    "Cannot find student!",
    IF(INDEX(#REF!,MATCH(All[[#This Row],[Student No.]],#REF!,0))="",
      "",
      INDEX(#REF!,MATCH(All[[#This Row],[Student No.]],#REF!,0)))
    ),
  "No student!")</f>
        <v>#REF!</v>
      </c>
      <c r="D136"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36" s="18" t="str">
        <f>IF(All[[#This Row],[Student]],
  IF(ISNA(INDEX(Project[Total (%)],MATCH(All[[#This Row],[Student No.]],Project[Student No.],0))),
    "Cannot find student!",
    IF(INDEX(Project[Total (%)],MATCH(All[[#This Row],[Student No.]],Project[Student No.],0))="",
      "",
      INDEX(Project[Total (%)],MATCH(All[[#This Row],[Student No.]],Project[Student No.],0)))
    ),
  "No student!")</f>
        <v/>
      </c>
      <c r="F136" s="201">
        <f>IF(All[[#This Row],[Wrote Def]], INDEX(#REF!, MATCH(All[[#This Row],[Student No.]],#REF!,0)),
  IF(All[[#This Row],[Wrote Exam]], INDEX(Exam[Total (%)], MATCH(All[[#This Row],[Student No.]], Exam[Student No.],0)),
    ""))</f>
        <v>63</v>
      </c>
      <c r="G136" s="18" t="str">
        <f>IF(AND(All[[#This Row],[Student]], All[[#This Row],[All Components]]),
    IF(NOT(All[Has Test Mark]),ROUND((All[[#This Row],[Engagement]]*$C$5+All[[#This Row],[Project]]*$E$5+All[[#This Row],[Exam/Def]]*$F$5)/($C$5+$E$5+$F$5),0),
      ROUND((All[[#This Row],[Engagement]]*$C$5+All[[#This Row],[Test]]*$D$5+All[[#This Row],[Project]]*$E$5+All[[#This Row],[Exam/Def]]*$F$5)/($C$5+$D$5+$E$5+$F$5),0)
  ),
  "")</f>
        <v/>
      </c>
      <c r="H136" s="18" t="str">
        <f>All[[#This Row],[Course Mark]]</f>
        <v/>
      </c>
      <c r="I136" s="18" t="str">
        <f>IF(All[[#This Row],[Wrote Sup]], INDEX(#REF!,MATCH(All[[#This Row],[Student No.]],#REF!,0)), "")</f>
        <v/>
      </c>
      <c r="J136" s="18" t="str">
        <f>IF(AND(All[[#This Row],[Student]],ISNUMBER(All[[#This Row],[Final]])),_xlfn.RANK.EQ(All[[#This Row],[Final]],All[Final]),"")</f>
        <v/>
      </c>
      <c r="K136" s="31"/>
      <c r="L136" s="18" t="str">
        <f>IF(All[[#This Row],[Student]], IF(All[Wrote Sup],All[Sup],All[[#This Row],[Final]]),"No student")</f>
        <v/>
      </c>
      <c r="M136" s="18" t="str">
        <f>IF(All[[#This Row],[Final]]="","",
  IF(All[[#This Row],[Wrote Sup]],
    IF(All[[#This Row],[Sup]]&lt;50,"FAL","PAS"),
  IF(All[[#This Row],[Exam/Def]]&lt;35, "FSB",
    IF(All[[#This Row],[Final]]&lt;50,"FAL",
    IF(All[[#This Row],[Final]]&gt;=50,"PAS",
  "Error!")))))</f>
        <v/>
      </c>
      <c r="N136" s="18">
        <f>IF(All[[#This Row],[Student]], _xlfn.IFNA(INDEX(captured[Course Mark],MATCH(All[[#This Row],[Student No.]],captured[ID_TEXT],0) &amp; ""), "Cannot find student!"),"No student!")</f>
        <v>61</v>
      </c>
      <c r="O136" s="189" t="str">
        <f>IF(All[[#This Row],[Student]], _xlfn.IFNA(INDEX(captured[Grade],MATCH(All[[#This Row],[Student No.]],captured[ID_TEXT],0)), "Cannot find student!") &amp; "","No student!")</f>
        <v>PAS</v>
      </c>
      <c r="P136"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36" s="18" t="str">
        <f>IF(All[[#This Row],[My Grade]]&lt;&gt;"",IF(All[[#This Row],[My Grade]]&lt;&gt;All[[#This Row],[Cap Grade]],TRUE,FALSE),"")</f>
        <v/>
      </c>
      <c r="R136" s="18" t="b">
        <f>IF(NOT(ISBLANK(All[[#This Row],[Student No.]])),OR(ISNUMBER(FIND("FSB",All[[#This Row],[My Grade]])),ISNUMBER(FIND("PAS", All[[#This Row],[My Grade]])),ISNUMBER(FIND("FAL",All[[#This Row],[My Grade]])),ISNUMBER(FIND("FAB", All[[#This Row],[My Grade]])),COUNTBLANK(All[[#This Row],[My Grade]])=1),FALSE)</f>
        <v>1</v>
      </c>
      <c r="S136" s="18" t="b">
        <f>IF(All[[#This Row],[Student No.]]&lt;&gt;"", TRUE, FALSE)</f>
        <v>1</v>
      </c>
      <c r="T136" s="18" t="b">
        <f>IF(COUNTBLANK(All[[#This Row],[Engagement]:[Exam/Def]])=0,TRUE, FALSE)</f>
        <v>0</v>
      </c>
      <c r="U136" s="18" t="b">
        <f>IF(ISNUMBER(All[[#This Row],[Test]]),TRUE,FALSE)</f>
        <v>0</v>
      </c>
      <c r="V136" s="18" t="e">
        <f>IF((INDEX(Test[Total (%)],MATCH(All[[#This Row],[Student No.]],Test[Student No.],0)))="ABS", TRUE, FALSE)</f>
        <v>#N/A</v>
      </c>
      <c r="W136" s="18" t="b">
        <f>IF(ISNUMBER(INDEX(Exam[Total (%)],MATCH(All[[#This Row],[Student No.]],Exam[Student No.],0))), TRUE, FALSE)</f>
        <v>1</v>
      </c>
      <c r="X136" s="18" t="b">
        <f>IF(ISNUMBER(INDEX(#REF!,MATCH(All[[#This Row],[Student No.]],#REF!,0))),TRUE,FALSE)</f>
        <v>0</v>
      </c>
      <c r="Y136" s="18" t="b">
        <f>IF(ISNUMBER(INDEX(#REF!,MATCH(All[[#This Row],[Student No.]],#REF!,0))),TRUE,FALSE)</f>
        <v>0</v>
      </c>
      <c r="Z136" s="18" t="b">
        <f>IF(All[[#This Row],[Wrote Def]],
IF(INDEX(#REF!, MATCH(All[[#This Row],[Student No.]],#REF!,0))&lt;&gt;All[[#This Row],[Exam/Def]], TRUE, FALSE),
  IF(All[[#This Row],[Wrote Exam]], IF(INDEX(Exam[Total (%)], MATCH(All[[#This Row],[Student No.]],Exam[Student No.],0))&lt;&gt;All[[#This Row],[Exam/Def]],TRUE,FALSE), FALSE))</f>
        <v>0</v>
      </c>
      <c r="AA136" s="18" t="b">
        <f xml:space="preserve">    IF(AND(All[[#This Row],[Exam/Def]]&lt;35,OR(All[[#This Row],[Wrote Exam]],All[[#This Row],[Wrote Def]])), TRUE,FALSE)</f>
        <v>0</v>
      </c>
      <c r="AB136" s="18" t="b">
        <f>IF(AND(All[[#This Row],[Exam &lt; 35%]],All[[#This Row],[Final]]&gt;=50),TRUE,FALSE)</f>
        <v>0</v>
      </c>
      <c r="AC136" s="18"/>
    </row>
    <row r="137" spans="1:29">
      <c r="A137" s="17" t="s">
        <v>405</v>
      </c>
      <c r="B137" s="17" t="s">
        <v>578</v>
      </c>
      <c r="C137" s="100" t="e">
        <f>IF(All[[#This Row],[Student]],
  IF(ISNA(INDEX(#REF!,MATCH(All[[#This Row],[Student No.]],#REF!,0))),
    "Cannot find student!",
    IF(INDEX(#REF!,MATCH(All[[#This Row],[Student No.]],#REF!,0))="",
      "",
      INDEX(#REF!,MATCH(All[[#This Row],[Student No.]],#REF!,0)))
    ),
  "No student!")</f>
        <v>#REF!</v>
      </c>
      <c r="D137"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37" s="18" t="str">
        <f>IF(All[[#This Row],[Student]],
  IF(ISNA(INDEX(Project[Total (%)],MATCH(All[[#This Row],[Student No.]],Project[Student No.],0))),
    "Cannot find student!",
    IF(INDEX(Project[Total (%)],MATCH(All[[#This Row],[Student No.]],Project[Student No.],0))="",
      "",
      INDEX(Project[Total (%)],MATCH(All[[#This Row],[Student No.]],Project[Student No.],0)))
    ),
  "No student!")</f>
        <v/>
      </c>
      <c r="F137" s="201">
        <f>IF(All[[#This Row],[Wrote Def]], INDEX(#REF!, MATCH(All[[#This Row],[Student No.]],#REF!,0)),
  IF(All[[#This Row],[Wrote Exam]], INDEX(Exam[Total (%)], MATCH(All[[#This Row],[Student No.]], Exam[Student No.],0)),
    ""))</f>
        <v>48</v>
      </c>
      <c r="G137" s="18" t="str">
        <f>IF(AND(All[[#This Row],[Student]], All[[#This Row],[All Components]]),
    IF(NOT(All[Has Test Mark]),ROUND((All[[#This Row],[Engagement]]*$C$5+All[[#This Row],[Project]]*$E$5+All[[#This Row],[Exam/Def]]*$F$5)/($C$5+$E$5+$F$5),0),
      ROUND((All[[#This Row],[Engagement]]*$C$5+All[[#This Row],[Test]]*$D$5+All[[#This Row],[Project]]*$E$5+All[[#This Row],[Exam/Def]]*$F$5)/($C$5+$D$5+$E$5+$F$5),0)
  ),
  "")</f>
        <v/>
      </c>
      <c r="H137" s="18" t="str">
        <f>All[[#This Row],[Course Mark]]</f>
        <v/>
      </c>
      <c r="I137" s="18" t="str">
        <f>IF(All[[#This Row],[Wrote Sup]], INDEX(#REF!,MATCH(All[[#This Row],[Student No.]],#REF!,0)), "")</f>
        <v/>
      </c>
      <c r="J137" s="18" t="str">
        <f>IF(AND(All[[#This Row],[Student]],ISNUMBER(All[[#This Row],[Final]])),_xlfn.RANK.EQ(All[[#This Row],[Final]],All[Final]),"")</f>
        <v/>
      </c>
      <c r="K137" s="31"/>
      <c r="L137" s="18" t="str">
        <f>IF(All[[#This Row],[Student]], IF(All[Wrote Sup],All[Sup],All[[#This Row],[Final]]),"No student")</f>
        <v/>
      </c>
      <c r="M137" s="18" t="str">
        <f>IF(All[[#This Row],[Final]]="","",
  IF(All[[#This Row],[Wrote Sup]],
    IF(All[[#This Row],[Sup]]&lt;50,"FAL","PAS"),
  IF(All[[#This Row],[Exam/Def]]&lt;35, "FSB",
    IF(All[[#This Row],[Final]]&lt;50,"FAL",
    IF(All[[#This Row],[Final]]&gt;=50,"PAS",
  "Error!")))))</f>
        <v/>
      </c>
      <c r="N137" s="18">
        <f>IF(All[[#This Row],[Student]], _xlfn.IFNA(INDEX(captured[Course Mark],MATCH(All[[#This Row],[Student No.]],captured[ID_TEXT],0) &amp; ""), "Cannot find student!"),"No student!")</f>
        <v>39</v>
      </c>
      <c r="O137" s="189" t="str">
        <f>IF(All[[#This Row],[Student]], _xlfn.IFNA(INDEX(captured[Grade],MATCH(All[[#This Row],[Student No.]],captured[ID_TEXT],0)), "Cannot find student!") &amp; "","No student!")</f>
        <v>FAL</v>
      </c>
      <c r="P137"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37" s="18" t="str">
        <f>IF(All[[#This Row],[My Grade]]&lt;&gt;"",IF(All[[#This Row],[My Grade]]&lt;&gt;All[[#This Row],[Cap Grade]],TRUE,FALSE),"")</f>
        <v/>
      </c>
      <c r="R137" s="18" t="b">
        <f>IF(NOT(ISBLANK(All[[#This Row],[Student No.]])),OR(ISNUMBER(FIND("FSB",All[[#This Row],[My Grade]])),ISNUMBER(FIND("PAS", All[[#This Row],[My Grade]])),ISNUMBER(FIND("FAL",All[[#This Row],[My Grade]])),ISNUMBER(FIND("FAB", All[[#This Row],[My Grade]])),COUNTBLANK(All[[#This Row],[My Grade]])=1),FALSE)</f>
        <v>1</v>
      </c>
      <c r="S137" s="18" t="b">
        <f>IF(All[[#This Row],[Student No.]]&lt;&gt;"", TRUE, FALSE)</f>
        <v>1</v>
      </c>
      <c r="T137" s="18" t="b">
        <f>IF(COUNTBLANK(All[[#This Row],[Engagement]:[Exam/Def]])=0,TRUE, FALSE)</f>
        <v>0</v>
      </c>
      <c r="U137" s="18" t="b">
        <f>IF(ISNUMBER(All[[#This Row],[Test]]),TRUE,FALSE)</f>
        <v>0</v>
      </c>
      <c r="V137" s="18" t="b">
        <f>IF((INDEX(Test[Total (%)],MATCH(All[[#This Row],[Student No.]],Test[Student No.],0)))="ABS", TRUE, FALSE)</f>
        <v>0</v>
      </c>
      <c r="W137" s="18" t="b">
        <f>IF(ISNUMBER(INDEX(Exam[Total (%)],MATCH(All[[#This Row],[Student No.]],Exam[Student No.],0))), TRUE, FALSE)</f>
        <v>1</v>
      </c>
      <c r="X137" s="18" t="b">
        <f>IF(ISNUMBER(INDEX(#REF!,MATCH(All[[#This Row],[Student No.]],#REF!,0))),TRUE,FALSE)</f>
        <v>0</v>
      </c>
      <c r="Y137" s="18" t="b">
        <f>IF(ISNUMBER(INDEX(#REF!,MATCH(All[[#This Row],[Student No.]],#REF!,0))),TRUE,FALSE)</f>
        <v>0</v>
      </c>
      <c r="Z137" s="18" t="b">
        <f>IF(All[[#This Row],[Wrote Def]],
IF(INDEX(#REF!, MATCH(All[[#This Row],[Student No.]],#REF!,0))&lt;&gt;All[[#This Row],[Exam/Def]], TRUE, FALSE),
  IF(All[[#This Row],[Wrote Exam]], IF(INDEX(Exam[Total (%)], MATCH(All[[#This Row],[Student No.]],Exam[Student No.],0))&lt;&gt;All[[#This Row],[Exam/Def]],TRUE,FALSE), FALSE))</f>
        <v>0</v>
      </c>
      <c r="AA137" s="18" t="b">
        <f xml:space="preserve">    IF(AND(All[[#This Row],[Exam/Def]]&lt;35,OR(All[[#This Row],[Wrote Exam]],All[[#This Row],[Wrote Def]])), TRUE,FALSE)</f>
        <v>0</v>
      </c>
      <c r="AB137" s="18" t="b">
        <f>IF(AND(All[[#This Row],[Exam &lt; 35%]],All[[#This Row],[Final]]&gt;=50),TRUE,FALSE)</f>
        <v>0</v>
      </c>
      <c r="AC137" s="18"/>
    </row>
    <row r="138" spans="1:29" ht="43.2">
      <c r="A138" s="17" t="s">
        <v>406</v>
      </c>
      <c r="B138" s="17" t="s">
        <v>579</v>
      </c>
      <c r="C138" s="100" t="e">
        <f>IF(All[[#This Row],[Student]],
  IF(ISNA(INDEX(#REF!,MATCH(All[[#This Row],[Student No.]],#REF!,0))),
    "Cannot find student!",
    IF(INDEX(#REF!,MATCH(All[[#This Row],[Student No.]],#REF!,0))="",
      "",
      INDEX(#REF!,MATCH(All[[#This Row],[Student No.]],#REF!,0)))
    ),
  "No student!")</f>
        <v>#REF!</v>
      </c>
      <c r="D138"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38" s="18" t="str">
        <f>IF(All[[#This Row],[Student]],
  IF(ISNA(INDEX(Project[Total (%)],MATCH(All[[#This Row],[Student No.]],Project[Student No.],0))),
    "Cannot find student!",
    IF(INDEX(Project[Total (%)],MATCH(All[[#This Row],[Student No.]],Project[Student No.],0))="",
      "",
      INDEX(Project[Total (%)],MATCH(All[[#This Row],[Student No.]],Project[Student No.],0)))
    ),
  "No student!")</f>
        <v/>
      </c>
      <c r="F138" s="201">
        <f>IF(All[[#This Row],[Wrote Def]], INDEX(#REF!, MATCH(All[[#This Row],[Student No.]],#REF!,0)),
  IF(All[[#This Row],[Wrote Exam]], INDEX(Exam[Total (%)], MATCH(All[[#This Row],[Student No.]], Exam[Student No.],0)),
    ""))</f>
        <v>61</v>
      </c>
      <c r="G138" s="18" t="str">
        <f>IF(AND(All[[#This Row],[Student]], All[[#This Row],[All Components]]),
    IF(NOT(All[Has Test Mark]),ROUND((All[[#This Row],[Engagement]]*$C$5+All[[#This Row],[Project]]*$E$5+All[[#This Row],[Exam/Def]]*$F$5)/($C$5+$E$5+$F$5),0),
      ROUND((All[[#This Row],[Engagement]]*$C$5+All[[#This Row],[Test]]*$D$5+All[[#This Row],[Project]]*$E$5+All[[#This Row],[Exam/Def]]*$F$5)/($C$5+$D$5+$E$5+$F$5),0)
  ),
  "")</f>
        <v/>
      </c>
      <c r="H138" s="18" t="str">
        <f>All[[#This Row],[Course Mark]]</f>
        <v/>
      </c>
      <c r="I138" s="18" t="str">
        <f>IF(All[[#This Row],[Wrote Sup]], INDEX(#REF!,MATCH(All[[#This Row],[Student No.]],#REF!,0)), "")</f>
        <v/>
      </c>
      <c r="J138" s="18" t="str">
        <f>IF(AND(All[[#This Row],[Student]],ISNUMBER(All[[#This Row],[Final]])),_xlfn.RANK.EQ(All[[#This Row],[Final]],All[Final]),"")</f>
        <v/>
      </c>
      <c r="K138" s="31"/>
      <c r="L138" s="18" t="str">
        <f>IF(All[[#This Row],[Student]], IF(All[Wrote Sup],All[Sup],All[[#This Row],[Final]]),"No student")</f>
        <v/>
      </c>
      <c r="M138" s="18" t="str">
        <f>IF(All[[#This Row],[Final]]="","",
  IF(All[[#This Row],[Wrote Sup]],
    IF(All[[#This Row],[Sup]]&lt;50,"FAL","PAS"),
  IF(All[[#This Row],[Exam/Def]]&lt;35, "FSB",
    IF(All[[#This Row],[Final]]&lt;50,"FAL",
    IF(All[[#This Row],[Final]]&gt;=50,"PAS",
  "Error!")))))</f>
        <v/>
      </c>
      <c r="N138" s="18">
        <f>IF(All[[#This Row],[Student]], _xlfn.IFNA(INDEX(captured[Course Mark],MATCH(All[[#This Row],[Student No.]],captured[ID_TEXT],0) &amp; ""), "Cannot find student!"),"No student!")</f>
        <v>70</v>
      </c>
      <c r="O138" s="189" t="str">
        <f>IF(All[[#This Row],[Student]], _xlfn.IFNA(INDEX(captured[Grade],MATCH(All[[#This Row],[Student No.]],captured[ID_TEXT],0)), "Cannot find student!") &amp; "","No student!")</f>
        <v>PAS</v>
      </c>
      <c r="P138"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38" s="18" t="str">
        <f>IF(All[[#This Row],[My Grade]]&lt;&gt;"",IF(All[[#This Row],[My Grade]]&lt;&gt;All[[#This Row],[Cap Grade]],TRUE,FALSE),"")</f>
        <v/>
      </c>
      <c r="R138" s="18" t="b">
        <f>IF(NOT(ISBLANK(All[[#This Row],[Student No.]])),OR(ISNUMBER(FIND("FSB",All[[#This Row],[My Grade]])),ISNUMBER(FIND("PAS", All[[#This Row],[My Grade]])),ISNUMBER(FIND("FAL",All[[#This Row],[My Grade]])),ISNUMBER(FIND("FAB", All[[#This Row],[My Grade]])),COUNTBLANK(All[[#This Row],[My Grade]])=1),FALSE)</f>
        <v>1</v>
      </c>
      <c r="S138" s="18" t="b">
        <f>IF(All[[#This Row],[Student No.]]&lt;&gt;"", TRUE, FALSE)</f>
        <v>1</v>
      </c>
      <c r="T138" s="18" t="b">
        <f>IF(COUNTBLANK(All[[#This Row],[Engagement]:[Exam/Def]])=0,TRUE, FALSE)</f>
        <v>0</v>
      </c>
      <c r="U138" s="18" t="b">
        <f>IF(ISNUMBER(All[[#This Row],[Test]]),TRUE,FALSE)</f>
        <v>0</v>
      </c>
      <c r="V138" s="18" t="e">
        <f>IF((INDEX(Test[Total (%)],MATCH(All[[#This Row],[Student No.]],Test[Student No.],0)))="ABS", TRUE, FALSE)</f>
        <v>#N/A</v>
      </c>
      <c r="W138" s="18" t="b">
        <f>IF(ISNUMBER(INDEX(Exam[Total (%)],MATCH(All[[#This Row],[Student No.]],Exam[Student No.],0))), TRUE, FALSE)</f>
        <v>1</v>
      </c>
      <c r="X138" s="18" t="b">
        <f>IF(ISNUMBER(INDEX(#REF!,MATCH(All[[#This Row],[Student No.]],#REF!,0))),TRUE,FALSE)</f>
        <v>0</v>
      </c>
      <c r="Y138" s="18" t="b">
        <f>IF(ISNUMBER(INDEX(#REF!,MATCH(All[[#This Row],[Student No.]],#REF!,0))),TRUE,FALSE)</f>
        <v>0</v>
      </c>
      <c r="Z138" s="18" t="b">
        <f>IF(All[[#This Row],[Wrote Def]],
IF(INDEX(#REF!, MATCH(All[[#This Row],[Student No.]],#REF!,0))&lt;&gt;All[[#This Row],[Exam/Def]], TRUE, FALSE),
  IF(All[[#This Row],[Wrote Exam]], IF(INDEX(Exam[Total (%)], MATCH(All[[#This Row],[Student No.]],Exam[Student No.],0))&lt;&gt;All[[#This Row],[Exam/Def]],TRUE,FALSE), FALSE))</f>
        <v>0</v>
      </c>
      <c r="AA138" s="18" t="b">
        <f xml:space="preserve">    IF(AND(All[[#This Row],[Exam/Def]]&lt;35,OR(All[[#This Row],[Wrote Exam]],All[[#This Row],[Wrote Def]])), TRUE,FALSE)</f>
        <v>0</v>
      </c>
      <c r="AB138" s="18" t="b">
        <f>IF(AND(All[[#This Row],[Exam &lt; 35%]],All[[#This Row],[Final]]&gt;=50),TRUE,FALSE)</f>
        <v>0</v>
      </c>
      <c r="AC138" s="18"/>
    </row>
    <row r="139" spans="1:29">
      <c r="A139" s="17" t="s">
        <v>407</v>
      </c>
      <c r="B139" s="17" t="s">
        <v>580</v>
      </c>
      <c r="C139" s="100" t="e">
        <f>IF(All[[#This Row],[Student]],
  IF(ISNA(INDEX(#REF!,MATCH(All[[#This Row],[Student No.]],#REF!,0))),
    "Cannot find student!",
    IF(INDEX(#REF!,MATCH(All[[#This Row],[Student No.]],#REF!,0))="",
      "",
      INDEX(#REF!,MATCH(All[[#This Row],[Student No.]],#REF!,0)))
    ),
  "No student!")</f>
        <v>#REF!</v>
      </c>
      <c r="D139"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39" s="18" t="str">
        <f>IF(All[[#This Row],[Student]],
  IF(ISNA(INDEX(Project[Total (%)],MATCH(All[[#This Row],[Student No.]],Project[Student No.],0))),
    "Cannot find student!",
    IF(INDEX(Project[Total (%)],MATCH(All[[#This Row],[Student No.]],Project[Student No.],0))="",
      "",
      INDEX(Project[Total (%)],MATCH(All[[#This Row],[Student No.]],Project[Student No.],0)))
    ),
  "No student!")</f>
        <v/>
      </c>
      <c r="F139" s="201">
        <f>IF(All[[#This Row],[Wrote Def]], INDEX(#REF!, MATCH(All[[#This Row],[Student No.]],#REF!,0)),
  IF(All[[#This Row],[Wrote Exam]], INDEX(Exam[Total (%)], MATCH(All[[#This Row],[Student No.]], Exam[Student No.],0)),
    ""))</f>
        <v>39</v>
      </c>
      <c r="G139" s="18" t="str">
        <f>IF(AND(All[[#This Row],[Student]], All[[#This Row],[All Components]]),
    IF(NOT(All[Has Test Mark]),ROUND((All[[#This Row],[Engagement]]*$C$5+All[[#This Row],[Project]]*$E$5+All[[#This Row],[Exam/Def]]*$F$5)/($C$5+$E$5+$F$5),0),
      ROUND((All[[#This Row],[Engagement]]*$C$5+All[[#This Row],[Test]]*$D$5+All[[#This Row],[Project]]*$E$5+All[[#This Row],[Exam/Def]]*$F$5)/($C$5+$D$5+$E$5+$F$5),0)
  ),
  "")</f>
        <v/>
      </c>
      <c r="H139" s="18" t="str">
        <f>All[[#This Row],[Course Mark]]</f>
        <v/>
      </c>
      <c r="I139" s="18" t="str">
        <f>IF(All[[#This Row],[Wrote Sup]], INDEX(#REF!,MATCH(All[[#This Row],[Student No.]],#REF!,0)), "")</f>
        <v/>
      </c>
      <c r="J139" s="18" t="str">
        <f>IF(AND(All[[#This Row],[Student]],ISNUMBER(All[[#This Row],[Final]])),_xlfn.RANK.EQ(All[[#This Row],[Final]],All[Final]),"")</f>
        <v/>
      </c>
      <c r="K139" s="31"/>
      <c r="L139" s="18" t="str">
        <f>IF(All[[#This Row],[Student]], IF(All[Wrote Sup],All[Sup],All[[#This Row],[Final]]),"No student")</f>
        <v/>
      </c>
      <c r="M139" s="18" t="str">
        <f>IF(All[[#This Row],[Final]]="","",
  IF(All[[#This Row],[Wrote Sup]],
    IF(All[[#This Row],[Sup]]&lt;50,"FAL","PAS"),
  IF(All[[#This Row],[Exam/Def]]&lt;35, "FSB",
    IF(All[[#This Row],[Final]]&lt;50,"FAL",
    IF(All[[#This Row],[Final]]&gt;=50,"PAS",
  "Error!")))))</f>
        <v/>
      </c>
      <c r="N139" s="18">
        <f>IF(All[[#This Row],[Student]], _xlfn.IFNA(INDEX(captured[Course Mark],MATCH(All[[#This Row],[Student No.]],captured[ID_TEXT],0) &amp; ""), "Cannot find student!"),"No student!")</f>
        <v>34</v>
      </c>
      <c r="O139" s="189" t="str">
        <f>IF(All[[#This Row],[Student]], _xlfn.IFNA(INDEX(captured[Grade],MATCH(All[[#This Row],[Student No.]],captured[ID_TEXT],0)), "Cannot find student!") &amp; "","No student!")</f>
        <v>FAL</v>
      </c>
      <c r="P139"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39" s="18" t="str">
        <f>IF(All[[#This Row],[My Grade]]&lt;&gt;"",IF(All[[#This Row],[My Grade]]&lt;&gt;All[[#This Row],[Cap Grade]],TRUE,FALSE),"")</f>
        <v/>
      </c>
      <c r="R139" s="18" t="b">
        <f>IF(NOT(ISBLANK(All[[#This Row],[Student No.]])),OR(ISNUMBER(FIND("FSB",All[[#This Row],[My Grade]])),ISNUMBER(FIND("PAS", All[[#This Row],[My Grade]])),ISNUMBER(FIND("FAL",All[[#This Row],[My Grade]])),ISNUMBER(FIND("FAB", All[[#This Row],[My Grade]])),COUNTBLANK(All[[#This Row],[My Grade]])=1),FALSE)</f>
        <v>1</v>
      </c>
      <c r="S139" s="18" t="b">
        <f>IF(All[[#This Row],[Student No.]]&lt;&gt;"", TRUE, FALSE)</f>
        <v>1</v>
      </c>
      <c r="T139" s="18" t="b">
        <f>IF(COUNTBLANK(All[[#This Row],[Engagement]:[Exam/Def]])=0,TRUE, FALSE)</f>
        <v>0</v>
      </c>
      <c r="U139" s="18" t="b">
        <f>IF(ISNUMBER(All[[#This Row],[Test]]),TRUE,FALSE)</f>
        <v>0</v>
      </c>
      <c r="V139" s="18" t="b">
        <f>IF((INDEX(Test[Total (%)],MATCH(All[[#This Row],[Student No.]],Test[Student No.],0)))="ABS", TRUE, FALSE)</f>
        <v>0</v>
      </c>
      <c r="W139" s="18" t="b">
        <f>IF(ISNUMBER(INDEX(Exam[Total (%)],MATCH(All[[#This Row],[Student No.]],Exam[Student No.],0))), TRUE, FALSE)</f>
        <v>1</v>
      </c>
      <c r="X139" s="18" t="b">
        <f>IF(ISNUMBER(INDEX(#REF!,MATCH(All[[#This Row],[Student No.]],#REF!,0))),TRUE,FALSE)</f>
        <v>0</v>
      </c>
      <c r="Y139" s="18" t="b">
        <f>IF(ISNUMBER(INDEX(#REF!,MATCH(All[[#This Row],[Student No.]],#REF!,0))),TRUE,FALSE)</f>
        <v>0</v>
      </c>
      <c r="Z139" s="18" t="b">
        <f>IF(All[[#This Row],[Wrote Def]],
IF(INDEX(#REF!, MATCH(All[[#This Row],[Student No.]],#REF!,0))&lt;&gt;All[[#This Row],[Exam/Def]], TRUE, FALSE),
  IF(All[[#This Row],[Wrote Exam]], IF(INDEX(Exam[Total (%)], MATCH(All[[#This Row],[Student No.]],Exam[Student No.],0))&lt;&gt;All[[#This Row],[Exam/Def]],TRUE,FALSE), FALSE))</f>
        <v>0</v>
      </c>
      <c r="AA139" s="18" t="b">
        <f xml:space="preserve">    IF(AND(All[[#This Row],[Exam/Def]]&lt;35,OR(All[[#This Row],[Wrote Exam]],All[[#This Row],[Wrote Def]])), TRUE,FALSE)</f>
        <v>0</v>
      </c>
      <c r="AB139" s="18" t="b">
        <f>IF(AND(All[[#This Row],[Exam &lt; 35%]],All[[#This Row],[Final]]&gt;=50),TRUE,FALSE)</f>
        <v>0</v>
      </c>
      <c r="AC139" s="18"/>
    </row>
    <row r="140" spans="1:29" ht="43.2">
      <c r="A140" s="17" t="s">
        <v>408</v>
      </c>
      <c r="B140" s="17" t="s">
        <v>581</v>
      </c>
      <c r="C140" s="100" t="e">
        <f>IF(All[[#This Row],[Student]],
  IF(ISNA(INDEX(#REF!,MATCH(All[[#This Row],[Student No.]],#REF!,0))),
    "Cannot find student!",
    IF(INDEX(#REF!,MATCH(All[[#This Row],[Student No.]],#REF!,0))="",
      "",
      INDEX(#REF!,MATCH(All[[#This Row],[Student No.]],#REF!,0)))
    ),
  "No student!")</f>
        <v>#REF!</v>
      </c>
      <c r="D140"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40" s="18" t="str">
        <f>IF(All[[#This Row],[Student]],
  IF(ISNA(INDEX(Project[Total (%)],MATCH(All[[#This Row],[Student No.]],Project[Student No.],0))),
    "Cannot find student!",
    IF(INDEX(Project[Total (%)],MATCH(All[[#This Row],[Student No.]],Project[Student No.],0))="",
      "",
      INDEX(Project[Total (%)],MATCH(All[[#This Row],[Student No.]],Project[Student No.],0)))
    ),
  "No student!")</f>
        <v/>
      </c>
      <c r="F140" s="201">
        <f>IF(All[[#This Row],[Wrote Def]], INDEX(#REF!, MATCH(All[[#This Row],[Student No.]],#REF!,0)),
  IF(All[[#This Row],[Wrote Exam]], INDEX(Exam[Total (%)], MATCH(All[[#This Row],[Student No.]], Exam[Student No.],0)),
    ""))</f>
        <v>41</v>
      </c>
      <c r="G140" s="18" t="str">
        <f>IF(AND(All[[#This Row],[Student]], All[[#This Row],[All Components]]),
    IF(NOT(All[Has Test Mark]),ROUND((All[[#This Row],[Engagement]]*$C$5+All[[#This Row],[Project]]*$E$5+All[[#This Row],[Exam/Def]]*$F$5)/($C$5+$E$5+$F$5),0),
      ROUND((All[[#This Row],[Engagement]]*$C$5+All[[#This Row],[Test]]*$D$5+All[[#This Row],[Project]]*$E$5+All[[#This Row],[Exam/Def]]*$F$5)/($C$5+$D$5+$E$5+$F$5),0)
  ),
  "")</f>
        <v/>
      </c>
      <c r="H140" s="18" t="str">
        <f>All[[#This Row],[Course Mark]]</f>
        <v/>
      </c>
      <c r="I140" s="18" t="str">
        <f>IF(All[[#This Row],[Wrote Sup]], INDEX(#REF!,MATCH(All[[#This Row],[Student No.]],#REF!,0)), "")</f>
        <v/>
      </c>
      <c r="J140" s="18" t="str">
        <f>IF(AND(All[[#This Row],[Student]],ISNUMBER(All[[#This Row],[Final]])),_xlfn.RANK.EQ(All[[#This Row],[Final]],All[Final]),"")</f>
        <v/>
      </c>
      <c r="K140" s="31"/>
      <c r="L140" s="18" t="str">
        <f>IF(All[[#This Row],[Student]], IF(All[Wrote Sup],All[Sup],All[[#This Row],[Final]]),"No student")</f>
        <v/>
      </c>
      <c r="M140" s="18" t="str">
        <f>IF(All[[#This Row],[Final]]="","",
  IF(All[[#This Row],[Wrote Sup]],
    IF(All[[#This Row],[Sup]]&lt;50,"FAL","PAS"),
  IF(All[[#This Row],[Exam/Def]]&lt;35, "FSB",
    IF(All[[#This Row],[Final]]&lt;50,"FAL",
    IF(All[[#This Row],[Final]]&gt;=50,"PAS",
  "Error!")))))</f>
        <v/>
      </c>
      <c r="N140" s="18">
        <f>IF(All[[#This Row],[Student]], _xlfn.IFNA(INDEX(captured[Course Mark],MATCH(All[[#This Row],[Student No.]],captured[ID_TEXT],0) &amp; ""), "Cannot find student!"),"No student!")</f>
        <v>50</v>
      </c>
      <c r="O140" s="189" t="str">
        <f>IF(All[[#This Row],[Student]], _xlfn.IFNA(INDEX(captured[Grade],MATCH(All[[#This Row],[Student No.]],captured[ID_TEXT],0)), "Cannot find student!") &amp; "","No student!")</f>
        <v>PAS</v>
      </c>
      <c r="P140"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40" s="18" t="str">
        <f>IF(All[[#This Row],[My Grade]]&lt;&gt;"",IF(All[[#This Row],[My Grade]]&lt;&gt;All[[#This Row],[Cap Grade]],TRUE,FALSE),"")</f>
        <v/>
      </c>
      <c r="R140" s="18" t="b">
        <f>IF(NOT(ISBLANK(All[[#This Row],[Student No.]])),OR(ISNUMBER(FIND("FSB",All[[#This Row],[My Grade]])),ISNUMBER(FIND("PAS", All[[#This Row],[My Grade]])),ISNUMBER(FIND("FAL",All[[#This Row],[My Grade]])),ISNUMBER(FIND("FAB", All[[#This Row],[My Grade]])),COUNTBLANK(All[[#This Row],[My Grade]])=1),FALSE)</f>
        <v>1</v>
      </c>
      <c r="S140" s="18" t="b">
        <f>IF(All[[#This Row],[Student No.]]&lt;&gt;"", TRUE, FALSE)</f>
        <v>1</v>
      </c>
      <c r="T140" s="18" t="b">
        <f>IF(COUNTBLANK(All[[#This Row],[Engagement]:[Exam/Def]])=0,TRUE, FALSE)</f>
        <v>0</v>
      </c>
      <c r="U140" s="18" t="b">
        <f>IF(ISNUMBER(All[[#This Row],[Test]]),TRUE,FALSE)</f>
        <v>0</v>
      </c>
      <c r="V140" s="18" t="e">
        <f>IF((INDEX(Test[Total (%)],MATCH(All[[#This Row],[Student No.]],Test[Student No.],0)))="ABS", TRUE, FALSE)</f>
        <v>#N/A</v>
      </c>
      <c r="W140" s="18" t="b">
        <f>IF(ISNUMBER(INDEX(Exam[Total (%)],MATCH(All[[#This Row],[Student No.]],Exam[Student No.],0))), TRUE, FALSE)</f>
        <v>1</v>
      </c>
      <c r="X140" s="18" t="b">
        <f>IF(ISNUMBER(INDEX(#REF!,MATCH(All[[#This Row],[Student No.]],#REF!,0))),TRUE,FALSE)</f>
        <v>0</v>
      </c>
      <c r="Y140" s="18" t="b">
        <f>IF(ISNUMBER(INDEX(#REF!,MATCH(All[[#This Row],[Student No.]],#REF!,0))),TRUE,FALSE)</f>
        <v>0</v>
      </c>
      <c r="Z140" s="18" t="b">
        <f>IF(All[[#This Row],[Wrote Def]],
IF(INDEX(#REF!, MATCH(All[[#This Row],[Student No.]],#REF!,0))&lt;&gt;All[[#This Row],[Exam/Def]], TRUE, FALSE),
  IF(All[[#This Row],[Wrote Exam]], IF(INDEX(Exam[Total (%)], MATCH(All[[#This Row],[Student No.]],Exam[Student No.],0))&lt;&gt;All[[#This Row],[Exam/Def]],TRUE,FALSE), FALSE))</f>
        <v>0</v>
      </c>
      <c r="AA140" s="18" t="b">
        <f xml:space="preserve">    IF(AND(All[[#This Row],[Exam/Def]]&lt;35,OR(All[[#This Row],[Wrote Exam]],All[[#This Row],[Wrote Def]])), TRUE,FALSE)</f>
        <v>0</v>
      </c>
      <c r="AB140" s="18" t="b">
        <f>IF(AND(All[[#This Row],[Exam &lt; 35%]],All[[#This Row],[Final]]&gt;=50),TRUE,FALSE)</f>
        <v>0</v>
      </c>
      <c r="AC140" s="18"/>
    </row>
    <row r="141" spans="1:29">
      <c r="A141" s="17" t="s">
        <v>409</v>
      </c>
      <c r="B141" s="17" t="s">
        <v>582</v>
      </c>
      <c r="C141" s="100" t="e">
        <f>IF(All[[#This Row],[Student]],
  IF(ISNA(INDEX(#REF!,MATCH(All[[#This Row],[Student No.]],#REF!,0))),
    "Cannot find student!",
    IF(INDEX(#REF!,MATCH(All[[#This Row],[Student No.]],#REF!,0))="",
      "",
      INDEX(#REF!,MATCH(All[[#This Row],[Student No.]],#REF!,0)))
    ),
  "No student!")</f>
        <v>#REF!</v>
      </c>
      <c r="D141"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41" s="18" t="str">
        <f>IF(All[[#This Row],[Student]],
  IF(ISNA(INDEX(Project[Total (%)],MATCH(All[[#This Row],[Student No.]],Project[Student No.],0))),
    "Cannot find student!",
    IF(INDEX(Project[Total (%)],MATCH(All[[#This Row],[Student No.]],Project[Student No.],0))="",
      "",
      INDEX(Project[Total (%)],MATCH(All[[#This Row],[Student No.]],Project[Student No.],0)))
    ),
  "No student!")</f>
        <v/>
      </c>
      <c r="F141" s="201">
        <f>IF(All[[#This Row],[Wrote Def]], INDEX(#REF!, MATCH(All[[#This Row],[Student No.]],#REF!,0)),
  IF(All[[#This Row],[Wrote Exam]], INDEX(Exam[Total (%)], MATCH(All[[#This Row],[Student No.]], Exam[Student No.],0)),
    ""))</f>
        <v>19</v>
      </c>
      <c r="G141" s="18" t="str">
        <f>IF(AND(All[[#This Row],[Student]], All[[#This Row],[All Components]]),
    IF(NOT(All[Has Test Mark]),ROUND((All[[#This Row],[Engagement]]*$C$5+All[[#This Row],[Project]]*$E$5+All[[#This Row],[Exam/Def]]*$F$5)/($C$5+$E$5+$F$5),0),
      ROUND((All[[#This Row],[Engagement]]*$C$5+All[[#This Row],[Test]]*$D$5+All[[#This Row],[Project]]*$E$5+All[[#This Row],[Exam/Def]]*$F$5)/($C$5+$D$5+$E$5+$F$5),0)
  ),
  "")</f>
        <v/>
      </c>
      <c r="H141" s="18" t="str">
        <f>All[[#This Row],[Course Mark]]</f>
        <v/>
      </c>
      <c r="I141" s="18" t="str">
        <f>IF(All[[#This Row],[Wrote Sup]], INDEX(#REF!,MATCH(All[[#This Row],[Student No.]],#REF!,0)), "")</f>
        <v/>
      </c>
      <c r="J141" s="18" t="str">
        <f>IF(AND(All[[#This Row],[Student]],ISNUMBER(All[[#This Row],[Final]])),_xlfn.RANK.EQ(All[[#This Row],[Final]],All[Final]),"")</f>
        <v/>
      </c>
      <c r="K141" s="31"/>
      <c r="L141" s="18" t="str">
        <f>IF(All[[#This Row],[Student]], IF(All[Wrote Sup],All[Sup],All[[#This Row],[Final]]),"No student")</f>
        <v/>
      </c>
      <c r="M141" s="18" t="str">
        <f>IF(All[[#This Row],[Final]]="","",
  IF(All[[#This Row],[Wrote Sup]],
    IF(All[[#This Row],[Sup]]&lt;50,"FAL","PAS"),
  IF(All[[#This Row],[Exam/Def]]&lt;35, "FSB",
    IF(All[[#This Row],[Final]]&lt;50,"FAL",
    IF(All[[#This Row],[Final]]&gt;=50,"PAS",
  "Error!")))))</f>
        <v/>
      </c>
      <c r="N141" s="18">
        <f>IF(All[[#This Row],[Student]], _xlfn.IFNA(INDEX(captured[Course Mark],MATCH(All[[#This Row],[Student No.]],captured[ID_TEXT],0) &amp; ""), "Cannot find student!"),"No student!")</f>
        <v>33</v>
      </c>
      <c r="O141" s="189" t="str">
        <f>IF(All[[#This Row],[Student]], _xlfn.IFNA(INDEX(captured[Grade],MATCH(All[[#This Row],[Student No.]],captured[ID_TEXT],0)), "Cannot find student!") &amp; "","No student!")</f>
        <v>FSB</v>
      </c>
      <c r="P141"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41" s="18" t="str">
        <f>IF(All[[#This Row],[My Grade]]&lt;&gt;"",IF(All[[#This Row],[My Grade]]&lt;&gt;All[[#This Row],[Cap Grade]],TRUE,FALSE),"")</f>
        <v/>
      </c>
      <c r="R141" s="18" t="b">
        <f>IF(NOT(ISBLANK(All[[#This Row],[Student No.]])),OR(ISNUMBER(FIND("FSB",All[[#This Row],[My Grade]])),ISNUMBER(FIND("PAS", All[[#This Row],[My Grade]])),ISNUMBER(FIND("FAL",All[[#This Row],[My Grade]])),ISNUMBER(FIND("FAB", All[[#This Row],[My Grade]])),COUNTBLANK(All[[#This Row],[My Grade]])=1),FALSE)</f>
        <v>1</v>
      </c>
      <c r="S141" s="18" t="b">
        <f>IF(All[[#This Row],[Student No.]]&lt;&gt;"", TRUE, FALSE)</f>
        <v>1</v>
      </c>
      <c r="T141" s="18" t="b">
        <f>IF(COUNTBLANK(All[[#This Row],[Engagement]:[Exam/Def]])=0,TRUE, FALSE)</f>
        <v>0</v>
      </c>
      <c r="U141" s="18" t="b">
        <f>IF(ISNUMBER(All[[#This Row],[Test]]),TRUE,FALSE)</f>
        <v>0</v>
      </c>
      <c r="V141" s="18" t="b">
        <f>IF((INDEX(Test[Total (%)],MATCH(All[[#This Row],[Student No.]],Test[Student No.],0)))="ABS", TRUE, FALSE)</f>
        <v>0</v>
      </c>
      <c r="W141" s="18" t="b">
        <f>IF(ISNUMBER(INDEX(Exam[Total (%)],MATCH(All[[#This Row],[Student No.]],Exam[Student No.],0))), TRUE, FALSE)</f>
        <v>1</v>
      </c>
      <c r="X141" s="18" t="b">
        <f>IF(ISNUMBER(INDEX(#REF!,MATCH(All[[#This Row],[Student No.]],#REF!,0))),TRUE,FALSE)</f>
        <v>0</v>
      </c>
      <c r="Y141" s="18" t="b">
        <f>IF(ISNUMBER(INDEX(#REF!,MATCH(All[[#This Row],[Student No.]],#REF!,0))),TRUE,FALSE)</f>
        <v>0</v>
      </c>
      <c r="Z141" s="18" t="b">
        <f>IF(All[[#This Row],[Wrote Def]],
IF(INDEX(#REF!, MATCH(All[[#This Row],[Student No.]],#REF!,0))&lt;&gt;All[[#This Row],[Exam/Def]], TRUE, FALSE),
  IF(All[[#This Row],[Wrote Exam]], IF(INDEX(Exam[Total (%)], MATCH(All[[#This Row],[Student No.]],Exam[Student No.],0))&lt;&gt;All[[#This Row],[Exam/Def]],TRUE,FALSE), FALSE))</f>
        <v>0</v>
      </c>
      <c r="AA141" s="18" t="b">
        <f xml:space="preserve">    IF(AND(All[[#This Row],[Exam/Def]]&lt;35,OR(All[[#This Row],[Wrote Exam]],All[[#This Row],[Wrote Def]])), TRUE,FALSE)</f>
        <v>1</v>
      </c>
      <c r="AB141" s="18" t="b">
        <f>IF(AND(All[[#This Row],[Exam &lt; 35%]],All[[#This Row],[Final]]&gt;=50),TRUE,FALSE)</f>
        <v>1</v>
      </c>
      <c r="AC141" s="18"/>
    </row>
    <row r="142" spans="1:29" ht="43.2">
      <c r="A142" s="17" t="s">
        <v>410</v>
      </c>
      <c r="B142" s="17" t="s">
        <v>583</v>
      </c>
      <c r="C142" s="100" t="e">
        <f>IF(All[[#This Row],[Student]],
  IF(ISNA(INDEX(#REF!,MATCH(All[[#This Row],[Student No.]],#REF!,0))),
    "Cannot find student!",
    IF(INDEX(#REF!,MATCH(All[[#This Row],[Student No.]],#REF!,0))="",
      "",
      INDEX(#REF!,MATCH(All[[#This Row],[Student No.]],#REF!,0)))
    ),
  "No student!")</f>
        <v>#REF!</v>
      </c>
      <c r="D142"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42" s="18" t="str">
        <f>IF(All[[#This Row],[Student]],
  IF(ISNA(INDEX(Project[Total (%)],MATCH(All[[#This Row],[Student No.]],Project[Student No.],0))),
    "Cannot find student!",
    IF(INDEX(Project[Total (%)],MATCH(All[[#This Row],[Student No.]],Project[Student No.],0))="",
      "",
      INDEX(Project[Total (%)],MATCH(All[[#This Row],[Student No.]],Project[Student No.],0)))
    ),
  "No student!")</f>
        <v/>
      </c>
      <c r="F142" s="201">
        <f>IF(All[[#This Row],[Wrote Def]], INDEX(#REF!, MATCH(All[[#This Row],[Student No.]],#REF!,0)),
  IF(All[[#This Row],[Wrote Exam]], INDEX(Exam[Total (%)], MATCH(All[[#This Row],[Student No.]], Exam[Student No.],0)),
    ""))</f>
        <v>58</v>
      </c>
      <c r="G142" s="18" t="str">
        <f>IF(AND(All[[#This Row],[Student]], All[[#This Row],[All Components]]),
    IF(NOT(All[Has Test Mark]),ROUND((All[[#This Row],[Engagement]]*$C$5+All[[#This Row],[Project]]*$E$5+All[[#This Row],[Exam/Def]]*$F$5)/($C$5+$E$5+$F$5),0),
      ROUND((All[[#This Row],[Engagement]]*$C$5+All[[#This Row],[Test]]*$D$5+All[[#This Row],[Project]]*$E$5+All[[#This Row],[Exam/Def]]*$F$5)/($C$5+$D$5+$E$5+$F$5),0)
  ),
  "")</f>
        <v/>
      </c>
      <c r="H142" s="18" t="str">
        <f>All[[#This Row],[Course Mark]]</f>
        <v/>
      </c>
      <c r="I142" s="18" t="str">
        <f>IF(All[[#This Row],[Wrote Sup]], INDEX(#REF!,MATCH(All[[#This Row],[Student No.]],#REF!,0)), "")</f>
        <v/>
      </c>
      <c r="J142" s="18" t="str">
        <f>IF(AND(All[[#This Row],[Student]],ISNUMBER(All[[#This Row],[Final]])),_xlfn.RANK.EQ(All[[#This Row],[Final]],All[Final]),"")</f>
        <v/>
      </c>
      <c r="K142" s="31"/>
      <c r="L142" s="18" t="str">
        <f>IF(All[[#This Row],[Student]], IF(All[Wrote Sup],All[Sup],All[[#This Row],[Final]]),"No student")</f>
        <v/>
      </c>
      <c r="M142" s="18" t="str">
        <f>IF(All[[#This Row],[Final]]="","",
  IF(All[[#This Row],[Wrote Sup]],
    IF(All[[#This Row],[Sup]]&lt;50,"FAL","PAS"),
  IF(All[[#This Row],[Exam/Def]]&lt;35, "FSB",
    IF(All[[#This Row],[Final]]&lt;50,"FAL",
    IF(All[[#This Row],[Final]]&gt;=50,"PAS",
  "Error!")))))</f>
        <v/>
      </c>
      <c r="N142" s="18">
        <f>IF(All[[#This Row],[Student]], _xlfn.IFNA(INDEX(captured[Course Mark],MATCH(All[[#This Row],[Student No.]],captured[ID_TEXT],0) &amp; ""), "Cannot find student!"),"No student!")</f>
        <v>63</v>
      </c>
      <c r="O142" s="189" t="str">
        <f>IF(All[[#This Row],[Student]], _xlfn.IFNA(INDEX(captured[Grade],MATCH(All[[#This Row],[Student No.]],captured[ID_TEXT],0)), "Cannot find student!") &amp; "","No student!")</f>
        <v>PAS</v>
      </c>
      <c r="P142"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42" s="18" t="str">
        <f>IF(All[[#This Row],[My Grade]]&lt;&gt;"",IF(All[[#This Row],[My Grade]]&lt;&gt;All[[#This Row],[Cap Grade]],TRUE,FALSE),"")</f>
        <v/>
      </c>
      <c r="R142" s="18" t="b">
        <f>IF(NOT(ISBLANK(All[[#This Row],[Student No.]])),OR(ISNUMBER(FIND("FSB",All[[#This Row],[My Grade]])),ISNUMBER(FIND("PAS", All[[#This Row],[My Grade]])),ISNUMBER(FIND("FAL",All[[#This Row],[My Grade]])),ISNUMBER(FIND("FAB", All[[#This Row],[My Grade]])),COUNTBLANK(All[[#This Row],[My Grade]])=1),FALSE)</f>
        <v>1</v>
      </c>
      <c r="S142" s="18" t="b">
        <f>IF(All[[#This Row],[Student No.]]&lt;&gt;"", TRUE, FALSE)</f>
        <v>1</v>
      </c>
      <c r="T142" s="18" t="b">
        <f>IF(COUNTBLANK(All[[#This Row],[Engagement]:[Exam/Def]])=0,TRUE, FALSE)</f>
        <v>0</v>
      </c>
      <c r="U142" s="18" t="b">
        <f>IF(ISNUMBER(All[[#This Row],[Test]]),TRUE,FALSE)</f>
        <v>0</v>
      </c>
      <c r="V142" s="18" t="e">
        <f>IF((INDEX(Test[Total (%)],MATCH(All[[#This Row],[Student No.]],Test[Student No.],0)))="ABS", TRUE, FALSE)</f>
        <v>#N/A</v>
      </c>
      <c r="W142" s="18" t="b">
        <f>IF(ISNUMBER(INDEX(Exam[Total (%)],MATCH(All[[#This Row],[Student No.]],Exam[Student No.],0))), TRUE, FALSE)</f>
        <v>1</v>
      </c>
      <c r="X142" s="18" t="b">
        <f>IF(ISNUMBER(INDEX(#REF!,MATCH(All[[#This Row],[Student No.]],#REF!,0))),TRUE,FALSE)</f>
        <v>0</v>
      </c>
      <c r="Y142" s="18" t="b">
        <f>IF(ISNUMBER(INDEX(#REF!,MATCH(All[[#This Row],[Student No.]],#REF!,0))),TRUE,FALSE)</f>
        <v>0</v>
      </c>
      <c r="Z142" s="18" t="b">
        <f>IF(All[[#This Row],[Wrote Def]],
IF(INDEX(#REF!, MATCH(All[[#This Row],[Student No.]],#REF!,0))&lt;&gt;All[[#This Row],[Exam/Def]], TRUE, FALSE),
  IF(All[[#This Row],[Wrote Exam]], IF(INDEX(Exam[Total (%)], MATCH(All[[#This Row],[Student No.]],Exam[Student No.],0))&lt;&gt;All[[#This Row],[Exam/Def]],TRUE,FALSE), FALSE))</f>
        <v>0</v>
      </c>
      <c r="AA142" s="18" t="b">
        <f xml:space="preserve">    IF(AND(All[[#This Row],[Exam/Def]]&lt;35,OR(All[[#This Row],[Wrote Exam]],All[[#This Row],[Wrote Def]])), TRUE,FALSE)</f>
        <v>0</v>
      </c>
      <c r="AB142" s="18" t="b">
        <f>IF(AND(All[[#This Row],[Exam &lt; 35%]],All[[#This Row],[Final]]&gt;=50),TRUE,FALSE)</f>
        <v>0</v>
      </c>
      <c r="AC142" s="18"/>
    </row>
    <row r="143" spans="1:29">
      <c r="A143" s="17" t="s">
        <v>411</v>
      </c>
      <c r="B143" s="17" t="s">
        <v>584</v>
      </c>
      <c r="C143" s="100" t="e">
        <f>IF(All[[#This Row],[Student]],
  IF(ISNA(INDEX(#REF!,MATCH(All[[#This Row],[Student No.]],#REF!,0))),
    "Cannot find student!",
    IF(INDEX(#REF!,MATCH(All[[#This Row],[Student No.]],#REF!,0))="",
      "",
      INDEX(#REF!,MATCH(All[[#This Row],[Student No.]],#REF!,0)))
    ),
  "No student!")</f>
        <v>#REF!</v>
      </c>
      <c r="D143"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43" s="18" t="str">
        <f>IF(All[[#This Row],[Student]],
  IF(ISNA(INDEX(Project[Total (%)],MATCH(All[[#This Row],[Student No.]],Project[Student No.],0))),
    "Cannot find student!",
    IF(INDEX(Project[Total (%)],MATCH(All[[#This Row],[Student No.]],Project[Student No.],0))="",
      "",
      INDEX(Project[Total (%)],MATCH(All[[#This Row],[Student No.]],Project[Student No.],0)))
    ),
  "No student!")</f>
        <v/>
      </c>
      <c r="F143" s="201">
        <f>IF(All[[#This Row],[Wrote Def]], INDEX(#REF!, MATCH(All[[#This Row],[Student No.]],#REF!,0)),
  IF(All[[#This Row],[Wrote Exam]], INDEX(Exam[Total (%)], MATCH(All[[#This Row],[Student No.]], Exam[Student No.],0)),
    ""))</f>
        <v>33</v>
      </c>
      <c r="G143" s="18" t="str">
        <f>IF(AND(All[[#This Row],[Student]], All[[#This Row],[All Components]]),
    IF(NOT(All[Has Test Mark]),ROUND((All[[#This Row],[Engagement]]*$C$5+All[[#This Row],[Project]]*$E$5+All[[#This Row],[Exam/Def]]*$F$5)/($C$5+$E$5+$F$5),0),
      ROUND((All[[#This Row],[Engagement]]*$C$5+All[[#This Row],[Test]]*$D$5+All[[#This Row],[Project]]*$E$5+All[[#This Row],[Exam/Def]]*$F$5)/($C$5+$D$5+$E$5+$F$5),0)
  ),
  "")</f>
        <v/>
      </c>
      <c r="H143" s="18" t="str">
        <f>All[[#This Row],[Course Mark]]</f>
        <v/>
      </c>
      <c r="I143" s="18" t="str">
        <f>IF(All[[#This Row],[Wrote Sup]], INDEX(#REF!,MATCH(All[[#This Row],[Student No.]],#REF!,0)), "")</f>
        <v/>
      </c>
      <c r="J143" s="18" t="str">
        <f>IF(AND(All[[#This Row],[Student]],ISNUMBER(All[[#This Row],[Final]])),_xlfn.RANK.EQ(All[[#This Row],[Final]],All[Final]),"")</f>
        <v/>
      </c>
      <c r="K143" s="31"/>
      <c r="L143" s="18" t="str">
        <f>IF(All[[#This Row],[Student]], IF(All[Wrote Sup],All[Sup],All[[#This Row],[Final]]),"No student")</f>
        <v/>
      </c>
      <c r="M143" s="18" t="str">
        <f>IF(All[[#This Row],[Final]]="","",
  IF(All[[#This Row],[Wrote Sup]],
    IF(All[[#This Row],[Sup]]&lt;50,"FAL","PAS"),
  IF(All[[#This Row],[Exam/Def]]&lt;35, "FSB",
    IF(All[[#This Row],[Final]]&lt;50,"FAL",
    IF(All[[#This Row],[Final]]&gt;=50,"PAS",
  "Error!")))))</f>
        <v/>
      </c>
      <c r="N143" s="18">
        <f>IF(All[[#This Row],[Student]], _xlfn.IFNA(INDEX(captured[Course Mark],MATCH(All[[#This Row],[Student No.]],captured[ID_TEXT],0) &amp; ""), "Cannot find student!"),"No student!")</f>
        <v>41</v>
      </c>
      <c r="O143" s="189" t="str">
        <f>IF(All[[#This Row],[Student]], _xlfn.IFNA(INDEX(captured[Grade],MATCH(All[[#This Row],[Student No.]],captured[ID_TEXT],0)), "Cannot find student!") &amp; "","No student!")</f>
        <v>FSB</v>
      </c>
      <c r="P143"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43" s="18" t="str">
        <f>IF(All[[#This Row],[My Grade]]&lt;&gt;"",IF(All[[#This Row],[My Grade]]&lt;&gt;All[[#This Row],[Cap Grade]],TRUE,FALSE),"")</f>
        <v/>
      </c>
      <c r="R143" s="18" t="b">
        <f>IF(NOT(ISBLANK(All[[#This Row],[Student No.]])),OR(ISNUMBER(FIND("FSB",All[[#This Row],[My Grade]])),ISNUMBER(FIND("PAS", All[[#This Row],[My Grade]])),ISNUMBER(FIND("FAL",All[[#This Row],[My Grade]])),ISNUMBER(FIND("FAB", All[[#This Row],[My Grade]])),COUNTBLANK(All[[#This Row],[My Grade]])=1),FALSE)</f>
        <v>1</v>
      </c>
      <c r="S143" s="18" t="b">
        <f>IF(All[[#This Row],[Student No.]]&lt;&gt;"", TRUE, FALSE)</f>
        <v>1</v>
      </c>
      <c r="T143" s="18" t="b">
        <f>IF(COUNTBLANK(All[[#This Row],[Engagement]:[Exam/Def]])=0,TRUE, FALSE)</f>
        <v>0</v>
      </c>
      <c r="U143" s="18" t="b">
        <f>IF(ISNUMBER(All[[#This Row],[Test]]),TRUE,FALSE)</f>
        <v>0</v>
      </c>
      <c r="V143" s="18" t="b">
        <f>IF((INDEX(Test[Total (%)],MATCH(All[[#This Row],[Student No.]],Test[Student No.],0)))="ABS", TRUE, FALSE)</f>
        <v>0</v>
      </c>
      <c r="W143" s="18" t="b">
        <f>IF(ISNUMBER(INDEX(Exam[Total (%)],MATCH(All[[#This Row],[Student No.]],Exam[Student No.],0))), TRUE, FALSE)</f>
        <v>1</v>
      </c>
      <c r="X143" s="18" t="b">
        <f>IF(ISNUMBER(INDEX(#REF!,MATCH(All[[#This Row],[Student No.]],#REF!,0))),TRUE,FALSE)</f>
        <v>0</v>
      </c>
      <c r="Y143" s="18" t="b">
        <f>IF(ISNUMBER(INDEX(#REF!,MATCH(All[[#This Row],[Student No.]],#REF!,0))),TRUE,FALSE)</f>
        <v>0</v>
      </c>
      <c r="Z143" s="18" t="b">
        <f>IF(All[[#This Row],[Wrote Def]],
IF(INDEX(#REF!, MATCH(All[[#This Row],[Student No.]],#REF!,0))&lt;&gt;All[[#This Row],[Exam/Def]], TRUE, FALSE),
  IF(All[[#This Row],[Wrote Exam]], IF(INDEX(Exam[Total (%)], MATCH(All[[#This Row],[Student No.]],Exam[Student No.],0))&lt;&gt;All[[#This Row],[Exam/Def]],TRUE,FALSE), FALSE))</f>
        <v>0</v>
      </c>
      <c r="AA143" s="18" t="b">
        <f xml:space="preserve">    IF(AND(All[[#This Row],[Exam/Def]]&lt;35,OR(All[[#This Row],[Wrote Exam]],All[[#This Row],[Wrote Def]])), TRUE,FALSE)</f>
        <v>1</v>
      </c>
      <c r="AB143" s="18" t="b">
        <f>IF(AND(All[[#This Row],[Exam &lt; 35%]],All[[#This Row],[Final]]&gt;=50),TRUE,FALSE)</f>
        <v>1</v>
      </c>
      <c r="AC143" s="18"/>
    </row>
    <row r="144" spans="1:29" ht="43.2">
      <c r="A144" s="17" t="s">
        <v>412</v>
      </c>
      <c r="B144" s="17" t="s">
        <v>585</v>
      </c>
      <c r="C144" s="100" t="e">
        <f>IF(All[[#This Row],[Student]],
  IF(ISNA(INDEX(#REF!,MATCH(All[[#This Row],[Student No.]],#REF!,0))),
    "Cannot find student!",
    IF(INDEX(#REF!,MATCH(All[[#This Row],[Student No.]],#REF!,0))="",
      "",
      INDEX(#REF!,MATCH(All[[#This Row],[Student No.]],#REF!,0)))
    ),
  "No student!")</f>
        <v>#REF!</v>
      </c>
      <c r="D144"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44" s="18" t="str">
        <f>IF(All[[#This Row],[Student]],
  IF(ISNA(INDEX(Project[Total (%)],MATCH(All[[#This Row],[Student No.]],Project[Student No.],0))),
    "Cannot find student!",
    IF(INDEX(Project[Total (%)],MATCH(All[[#This Row],[Student No.]],Project[Student No.],0))="",
      "",
      INDEX(Project[Total (%)],MATCH(All[[#This Row],[Student No.]],Project[Student No.],0)))
    ),
  "No student!")</f>
        <v/>
      </c>
      <c r="F144" s="201">
        <f>IF(All[[#This Row],[Wrote Def]], INDEX(#REF!, MATCH(All[[#This Row],[Student No.]],#REF!,0)),
  IF(All[[#This Row],[Wrote Exam]], INDEX(Exam[Total (%)], MATCH(All[[#This Row],[Student No.]], Exam[Student No.],0)),
    ""))</f>
        <v>51</v>
      </c>
      <c r="G144" s="18" t="str">
        <f>IF(AND(All[[#This Row],[Student]], All[[#This Row],[All Components]]),
    IF(NOT(All[Has Test Mark]),ROUND((All[[#This Row],[Engagement]]*$C$5+All[[#This Row],[Project]]*$E$5+All[[#This Row],[Exam/Def]]*$F$5)/($C$5+$E$5+$F$5),0),
      ROUND((All[[#This Row],[Engagement]]*$C$5+All[[#This Row],[Test]]*$D$5+All[[#This Row],[Project]]*$E$5+All[[#This Row],[Exam/Def]]*$F$5)/($C$5+$D$5+$E$5+$F$5),0)
  ),
  "")</f>
        <v/>
      </c>
      <c r="H144" s="18" t="str">
        <f>All[[#This Row],[Course Mark]]</f>
        <v/>
      </c>
      <c r="I144" s="18" t="str">
        <f>IF(All[[#This Row],[Wrote Sup]], INDEX(#REF!,MATCH(All[[#This Row],[Student No.]],#REF!,0)), "")</f>
        <v/>
      </c>
      <c r="J144" s="18" t="str">
        <f>IF(AND(All[[#This Row],[Student]],ISNUMBER(All[[#This Row],[Final]])),_xlfn.RANK.EQ(All[[#This Row],[Final]],All[Final]),"")</f>
        <v/>
      </c>
      <c r="K144" s="31"/>
      <c r="L144" s="18" t="str">
        <f>IF(All[[#This Row],[Student]], IF(All[Wrote Sup],All[Sup],All[[#This Row],[Final]]),"No student")</f>
        <v/>
      </c>
      <c r="M144" s="18" t="str">
        <f>IF(All[[#This Row],[Final]]="","",
  IF(All[[#This Row],[Wrote Sup]],
    IF(All[[#This Row],[Sup]]&lt;50,"FAL","PAS"),
  IF(All[[#This Row],[Exam/Def]]&lt;35, "FSB",
    IF(All[[#This Row],[Final]]&lt;50,"FAL",
    IF(All[[#This Row],[Final]]&gt;=50,"PAS",
  "Error!")))))</f>
        <v/>
      </c>
      <c r="N144" s="18">
        <f>IF(All[[#This Row],[Student]], _xlfn.IFNA(INDEX(captured[Course Mark],MATCH(All[[#This Row],[Student No.]],captured[ID_TEXT],0) &amp; ""), "Cannot find student!"),"No student!")</f>
        <v>56</v>
      </c>
      <c r="O144" s="189" t="str">
        <f>IF(All[[#This Row],[Student]], _xlfn.IFNA(INDEX(captured[Grade],MATCH(All[[#This Row],[Student No.]],captured[ID_TEXT],0)), "Cannot find student!") &amp; "","No student!")</f>
        <v>PAS</v>
      </c>
      <c r="P144"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44" s="18" t="str">
        <f>IF(All[[#This Row],[My Grade]]&lt;&gt;"",IF(All[[#This Row],[My Grade]]&lt;&gt;All[[#This Row],[Cap Grade]],TRUE,FALSE),"")</f>
        <v/>
      </c>
      <c r="R144" s="18" t="b">
        <f>IF(NOT(ISBLANK(All[[#This Row],[Student No.]])),OR(ISNUMBER(FIND("FSB",All[[#This Row],[My Grade]])),ISNUMBER(FIND("PAS", All[[#This Row],[My Grade]])),ISNUMBER(FIND("FAL",All[[#This Row],[My Grade]])),ISNUMBER(FIND("FAB", All[[#This Row],[My Grade]])),COUNTBLANK(All[[#This Row],[My Grade]])=1),FALSE)</f>
        <v>1</v>
      </c>
      <c r="S144" s="18" t="b">
        <f>IF(All[[#This Row],[Student No.]]&lt;&gt;"", TRUE, FALSE)</f>
        <v>1</v>
      </c>
      <c r="T144" s="18" t="b">
        <f>IF(COUNTBLANK(All[[#This Row],[Engagement]:[Exam/Def]])=0,TRUE, FALSE)</f>
        <v>0</v>
      </c>
      <c r="U144" s="18" t="b">
        <f>IF(ISNUMBER(All[[#This Row],[Test]]),TRUE,FALSE)</f>
        <v>0</v>
      </c>
      <c r="V144" s="18" t="e">
        <f>IF((INDEX(Test[Total (%)],MATCH(All[[#This Row],[Student No.]],Test[Student No.],0)))="ABS", TRUE, FALSE)</f>
        <v>#N/A</v>
      </c>
      <c r="W144" s="18" t="b">
        <f>IF(ISNUMBER(INDEX(Exam[Total (%)],MATCH(All[[#This Row],[Student No.]],Exam[Student No.],0))), TRUE, FALSE)</f>
        <v>1</v>
      </c>
      <c r="X144" s="18" t="b">
        <f>IF(ISNUMBER(INDEX(#REF!,MATCH(All[[#This Row],[Student No.]],#REF!,0))),TRUE,FALSE)</f>
        <v>0</v>
      </c>
      <c r="Y144" s="18" t="b">
        <f>IF(ISNUMBER(INDEX(#REF!,MATCH(All[[#This Row],[Student No.]],#REF!,0))),TRUE,FALSE)</f>
        <v>0</v>
      </c>
      <c r="Z144" s="18" t="b">
        <f>IF(All[[#This Row],[Wrote Def]],
IF(INDEX(#REF!, MATCH(All[[#This Row],[Student No.]],#REF!,0))&lt;&gt;All[[#This Row],[Exam/Def]], TRUE, FALSE),
  IF(All[[#This Row],[Wrote Exam]], IF(INDEX(Exam[Total (%)], MATCH(All[[#This Row],[Student No.]],Exam[Student No.],0))&lt;&gt;All[[#This Row],[Exam/Def]],TRUE,FALSE), FALSE))</f>
        <v>0</v>
      </c>
      <c r="AA144" s="18" t="b">
        <f xml:space="preserve">    IF(AND(All[[#This Row],[Exam/Def]]&lt;35,OR(All[[#This Row],[Wrote Exam]],All[[#This Row],[Wrote Def]])), TRUE,FALSE)</f>
        <v>0</v>
      </c>
      <c r="AB144" s="18" t="b">
        <f>IF(AND(All[[#This Row],[Exam &lt; 35%]],All[[#This Row],[Final]]&gt;=50),TRUE,FALSE)</f>
        <v>0</v>
      </c>
      <c r="AC144" s="18"/>
    </row>
    <row r="145" spans="1:29" ht="43.2">
      <c r="A145" s="17" t="s">
        <v>413</v>
      </c>
      <c r="B145" s="17" t="s">
        <v>586</v>
      </c>
      <c r="C145" s="100" t="e">
        <f>IF(All[[#This Row],[Student]],
  IF(ISNA(INDEX(#REF!,MATCH(All[[#This Row],[Student No.]],#REF!,0))),
    "Cannot find student!",
    IF(INDEX(#REF!,MATCH(All[[#This Row],[Student No.]],#REF!,0))="",
      "",
      INDEX(#REF!,MATCH(All[[#This Row],[Student No.]],#REF!,0)))
    ),
  "No student!")</f>
        <v>#REF!</v>
      </c>
      <c r="D145"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45" s="18" t="str">
        <f>IF(All[[#This Row],[Student]],
  IF(ISNA(INDEX(Project[Total (%)],MATCH(All[[#This Row],[Student No.]],Project[Student No.],0))),
    "Cannot find student!",
    IF(INDEX(Project[Total (%)],MATCH(All[[#This Row],[Student No.]],Project[Student No.],0))="",
      "",
      INDEX(Project[Total (%)],MATCH(All[[#This Row],[Student No.]],Project[Student No.],0)))
    ),
  "No student!")</f>
        <v/>
      </c>
      <c r="F145" s="201">
        <f>IF(All[[#This Row],[Wrote Def]], INDEX(#REF!, MATCH(All[[#This Row],[Student No.]],#REF!,0)),
  IF(All[[#This Row],[Wrote Exam]], INDEX(Exam[Total (%)], MATCH(All[[#This Row],[Student No.]], Exam[Student No.],0)),
    ""))</f>
        <v>57</v>
      </c>
      <c r="G145" s="18" t="str">
        <f>IF(AND(All[[#This Row],[Student]], All[[#This Row],[All Components]]),
    IF(NOT(All[Has Test Mark]),ROUND((All[[#This Row],[Engagement]]*$C$5+All[[#This Row],[Project]]*$E$5+All[[#This Row],[Exam/Def]]*$F$5)/($C$5+$E$5+$F$5),0),
      ROUND((All[[#This Row],[Engagement]]*$C$5+All[[#This Row],[Test]]*$D$5+All[[#This Row],[Project]]*$E$5+All[[#This Row],[Exam/Def]]*$F$5)/($C$5+$D$5+$E$5+$F$5),0)
  ),
  "")</f>
        <v/>
      </c>
      <c r="H145" s="18" t="str">
        <f>All[[#This Row],[Course Mark]]</f>
        <v/>
      </c>
      <c r="I145" s="18" t="str">
        <f>IF(All[[#This Row],[Wrote Sup]], INDEX(#REF!,MATCH(All[[#This Row],[Student No.]],#REF!,0)), "")</f>
        <v/>
      </c>
      <c r="J145" s="18" t="str">
        <f>IF(AND(All[[#This Row],[Student]],ISNUMBER(All[[#This Row],[Final]])),_xlfn.RANK.EQ(All[[#This Row],[Final]],All[Final]),"")</f>
        <v/>
      </c>
      <c r="K145" s="31"/>
      <c r="L145" s="18" t="str">
        <f>IF(All[[#This Row],[Student]], IF(All[Wrote Sup],All[Sup],All[[#This Row],[Final]]),"No student")</f>
        <v/>
      </c>
      <c r="M145" s="18" t="str">
        <f>IF(All[[#This Row],[Final]]="","",
  IF(All[[#This Row],[Wrote Sup]],
    IF(All[[#This Row],[Sup]]&lt;50,"FAL","PAS"),
  IF(All[[#This Row],[Exam/Def]]&lt;35, "FSB",
    IF(All[[#This Row],[Final]]&lt;50,"FAL",
    IF(All[[#This Row],[Final]]&gt;=50,"PAS",
  "Error!")))))</f>
        <v/>
      </c>
      <c r="N145" s="18">
        <f>IF(All[[#This Row],[Student]], _xlfn.IFNA(INDEX(captured[Course Mark],MATCH(All[[#This Row],[Student No.]],captured[ID_TEXT],0) &amp; ""), "Cannot find student!"),"No student!")</f>
        <v>70</v>
      </c>
      <c r="O145" s="189" t="str">
        <f>IF(All[[#This Row],[Student]], _xlfn.IFNA(INDEX(captured[Grade],MATCH(All[[#This Row],[Student No.]],captured[ID_TEXT],0)), "Cannot find student!") &amp; "","No student!")</f>
        <v>PAS</v>
      </c>
      <c r="P145"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45" s="18" t="str">
        <f>IF(All[[#This Row],[My Grade]]&lt;&gt;"",IF(All[[#This Row],[My Grade]]&lt;&gt;All[[#This Row],[Cap Grade]],TRUE,FALSE),"")</f>
        <v/>
      </c>
      <c r="R145" s="18" t="b">
        <f>IF(NOT(ISBLANK(All[[#This Row],[Student No.]])),OR(ISNUMBER(FIND("FSB",All[[#This Row],[My Grade]])),ISNUMBER(FIND("PAS", All[[#This Row],[My Grade]])),ISNUMBER(FIND("FAL",All[[#This Row],[My Grade]])),ISNUMBER(FIND("FAB", All[[#This Row],[My Grade]])),COUNTBLANK(All[[#This Row],[My Grade]])=1),FALSE)</f>
        <v>1</v>
      </c>
      <c r="S145" s="18" t="b">
        <f>IF(All[[#This Row],[Student No.]]&lt;&gt;"", TRUE, FALSE)</f>
        <v>1</v>
      </c>
      <c r="T145" s="18" t="b">
        <f>IF(COUNTBLANK(All[[#This Row],[Engagement]:[Exam/Def]])=0,TRUE, FALSE)</f>
        <v>0</v>
      </c>
      <c r="U145" s="18" t="b">
        <f>IF(ISNUMBER(All[[#This Row],[Test]]),TRUE,FALSE)</f>
        <v>0</v>
      </c>
      <c r="V145" s="18" t="e">
        <f>IF((INDEX(Test[Total (%)],MATCH(All[[#This Row],[Student No.]],Test[Student No.],0)))="ABS", TRUE, FALSE)</f>
        <v>#N/A</v>
      </c>
      <c r="W145" s="18" t="b">
        <f>IF(ISNUMBER(INDEX(Exam[Total (%)],MATCH(All[[#This Row],[Student No.]],Exam[Student No.],0))), TRUE, FALSE)</f>
        <v>1</v>
      </c>
      <c r="X145" s="18" t="b">
        <f>IF(ISNUMBER(INDEX(#REF!,MATCH(All[[#This Row],[Student No.]],#REF!,0))),TRUE,FALSE)</f>
        <v>0</v>
      </c>
      <c r="Y145" s="18" t="b">
        <f>IF(ISNUMBER(INDEX(#REF!,MATCH(All[[#This Row],[Student No.]],#REF!,0))),TRUE,FALSE)</f>
        <v>0</v>
      </c>
      <c r="Z145" s="18" t="b">
        <f>IF(All[[#This Row],[Wrote Def]],
IF(INDEX(#REF!, MATCH(All[[#This Row],[Student No.]],#REF!,0))&lt;&gt;All[[#This Row],[Exam/Def]], TRUE, FALSE),
  IF(All[[#This Row],[Wrote Exam]], IF(INDEX(Exam[Total (%)], MATCH(All[[#This Row],[Student No.]],Exam[Student No.],0))&lt;&gt;All[[#This Row],[Exam/Def]],TRUE,FALSE), FALSE))</f>
        <v>0</v>
      </c>
      <c r="AA145" s="18" t="b">
        <f xml:space="preserve">    IF(AND(All[[#This Row],[Exam/Def]]&lt;35,OR(All[[#This Row],[Wrote Exam]],All[[#This Row],[Wrote Def]])), TRUE,FALSE)</f>
        <v>0</v>
      </c>
      <c r="AB145" s="18" t="b">
        <f>IF(AND(All[[#This Row],[Exam &lt; 35%]],All[[#This Row],[Final]]&gt;=50),TRUE,FALSE)</f>
        <v>0</v>
      </c>
      <c r="AC145" s="18"/>
    </row>
    <row r="146" spans="1:29" ht="43.2">
      <c r="A146" s="17" t="s">
        <v>414</v>
      </c>
      <c r="B146" s="17" t="s">
        <v>587</v>
      </c>
      <c r="C146" s="100" t="e">
        <f>IF(All[[#This Row],[Student]],
  IF(ISNA(INDEX(#REF!,MATCH(All[[#This Row],[Student No.]],#REF!,0))),
    "Cannot find student!",
    IF(INDEX(#REF!,MATCH(All[[#This Row],[Student No.]],#REF!,0))="",
      "",
      INDEX(#REF!,MATCH(All[[#This Row],[Student No.]],#REF!,0)))
    ),
  "No student!")</f>
        <v>#REF!</v>
      </c>
      <c r="D146"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46" s="18" t="str">
        <f>IF(All[[#This Row],[Student]],
  IF(ISNA(INDEX(Project[Total (%)],MATCH(All[[#This Row],[Student No.]],Project[Student No.],0))),
    "Cannot find student!",
    IF(INDEX(Project[Total (%)],MATCH(All[[#This Row],[Student No.]],Project[Student No.],0))="",
      "",
      INDEX(Project[Total (%)],MATCH(All[[#This Row],[Student No.]],Project[Student No.],0)))
    ),
  "No student!")</f>
        <v/>
      </c>
      <c r="F146" s="201" t="str">
        <f>IF(All[[#This Row],[Wrote Def]], INDEX(#REF!, MATCH(All[[#This Row],[Student No.]],#REF!,0)),
  IF(All[[#This Row],[Wrote Exam]], INDEX(Exam[Total (%)], MATCH(All[[#This Row],[Student No.]], Exam[Student No.],0)),
    ""))</f>
        <v/>
      </c>
      <c r="G146" s="18" t="str">
        <f>IF(AND(All[[#This Row],[Student]], All[[#This Row],[All Components]]),
    IF(NOT(All[Has Test Mark]),ROUND((All[[#This Row],[Engagement]]*$C$5+All[[#This Row],[Project]]*$E$5+All[[#This Row],[Exam/Def]]*$F$5)/($C$5+$E$5+$F$5),0),
      ROUND((All[[#This Row],[Engagement]]*$C$5+All[[#This Row],[Test]]*$D$5+All[[#This Row],[Project]]*$E$5+All[[#This Row],[Exam/Def]]*$F$5)/($C$5+$D$5+$E$5+$F$5),0)
  ),
  "")</f>
        <v/>
      </c>
      <c r="H146" s="18" t="str">
        <f>All[[#This Row],[Course Mark]]</f>
        <v/>
      </c>
      <c r="I146" s="18" t="str">
        <f>IF(All[[#This Row],[Wrote Sup]], INDEX(#REF!,MATCH(All[[#This Row],[Student No.]],#REF!,0)), "")</f>
        <v/>
      </c>
      <c r="J146" s="18" t="str">
        <f>IF(AND(All[[#This Row],[Student]],ISNUMBER(All[[#This Row],[Final]])),_xlfn.RANK.EQ(All[[#This Row],[Final]],All[Final]),"")</f>
        <v/>
      </c>
      <c r="K146" s="31"/>
      <c r="L146" s="18" t="str">
        <f>IF(All[[#This Row],[Student]], IF(All[Wrote Sup],All[Sup],All[[#This Row],[Final]]),"No student")</f>
        <v/>
      </c>
      <c r="M146" s="18" t="str">
        <f>IF(All[[#This Row],[Final]]="","",
  IF(All[[#This Row],[Wrote Sup]],
    IF(All[[#This Row],[Sup]]&lt;50,"FAL","PAS"),
  IF(All[[#This Row],[Exam/Def]]&lt;35, "FSB",
    IF(All[[#This Row],[Final]]&lt;50,"FAL",
    IF(All[[#This Row],[Final]]&gt;=50,"PAS",
  "Error!")))))</f>
        <v/>
      </c>
      <c r="N146" s="18" t="str">
        <f>IF(All[[#This Row],[Student]], _xlfn.IFNA(INDEX(captured[Course Mark],MATCH(All[[#This Row],[Student No.]],captured[ID_TEXT],0) &amp; ""), "Cannot find student!"),"No student!")</f>
        <v>FABS</v>
      </c>
      <c r="O146" s="189" t="str">
        <f>IF(All[[#This Row],[Student]], _xlfn.IFNA(INDEX(captured[Grade],MATCH(All[[#This Row],[Student No.]],captured[ID_TEXT],0)), "Cannot find student!") &amp; "","No student!")</f>
        <v>FSB</v>
      </c>
      <c r="P146" s="18" t="b">
        <f xml:space="preserve"> IF(AND(ISNUMBER(All[[#This Row],[Cap Mark]]), ISNUMBER(All[[#This Row],[My Mark]])), ABS(All[[#This Row],[Cap Mark]] - All[[#This Row],[My Mark]]) &lt;&gt; 0,
    IF(AND(ISNUMBER(All[[#This Row],[My Mark]]),NOT(ISNUMBER(All[[#This Row],[Cap Mark]]))),TRUE,
    IF(AND(ISNUMBER(All[[#This Row],[Cap Mark]]),NOT(ISNUMBER(All[[#This Row],[My Mark]]))),TRUE,FALSE)
    ))</f>
        <v>0</v>
      </c>
      <c r="Q146" s="18" t="str">
        <f>IF(All[[#This Row],[My Grade]]&lt;&gt;"",IF(All[[#This Row],[My Grade]]&lt;&gt;All[[#This Row],[Cap Grade]],TRUE,FALSE),"")</f>
        <v/>
      </c>
      <c r="R146" s="18" t="b">
        <f>IF(NOT(ISBLANK(All[[#This Row],[Student No.]])),OR(ISNUMBER(FIND("FSB",All[[#This Row],[My Grade]])),ISNUMBER(FIND("PAS", All[[#This Row],[My Grade]])),ISNUMBER(FIND("FAL",All[[#This Row],[My Grade]])),ISNUMBER(FIND("FAB", All[[#This Row],[My Grade]])),COUNTBLANK(All[[#This Row],[My Grade]])=1),FALSE)</f>
        <v>1</v>
      </c>
      <c r="S146" s="18" t="b">
        <f>IF(All[[#This Row],[Student No.]]&lt;&gt;"", TRUE, FALSE)</f>
        <v>1</v>
      </c>
      <c r="T146" s="18" t="b">
        <f>IF(COUNTBLANK(All[[#This Row],[Engagement]:[Exam/Def]])=0,TRUE, FALSE)</f>
        <v>0</v>
      </c>
      <c r="U146" s="18" t="b">
        <f>IF(ISNUMBER(All[[#This Row],[Test]]),TRUE,FALSE)</f>
        <v>0</v>
      </c>
      <c r="V146" s="18" t="e">
        <f>IF((INDEX(Test[Total (%)],MATCH(All[[#This Row],[Student No.]],Test[Student No.],0)))="ABS", TRUE, FALSE)</f>
        <v>#N/A</v>
      </c>
      <c r="W146" s="18" t="b">
        <f>IF(ISNUMBER(INDEX(Exam[Total (%)],MATCH(All[[#This Row],[Student No.]],Exam[Student No.],0))), TRUE, FALSE)</f>
        <v>0</v>
      </c>
      <c r="X146" s="18" t="b">
        <f>IF(ISNUMBER(INDEX(#REF!,MATCH(All[[#This Row],[Student No.]],#REF!,0))),TRUE,FALSE)</f>
        <v>0</v>
      </c>
      <c r="Y146" s="18" t="b">
        <f>IF(ISNUMBER(INDEX(#REF!,MATCH(All[[#This Row],[Student No.]],#REF!,0))),TRUE,FALSE)</f>
        <v>0</v>
      </c>
      <c r="Z146" s="18" t="b">
        <f>IF(All[[#This Row],[Wrote Def]],
IF(INDEX(#REF!, MATCH(All[[#This Row],[Student No.]],#REF!,0))&lt;&gt;All[[#This Row],[Exam/Def]], TRUE, FALSE),
  IF(All[[#This Row],[Wrote Exam]], IF(INDEX(Exam[Total (%)], MATCH(All[[#This Row],[Student No.]],Exam[Student No.],0))&lt;&gt;All[[#This Row],[Exam/Def]],TRUE,FALSE), FALSE))</f>
        <v>0</v>
      </c>
      <c r="AA146" s="18" t="b">
        <f xml:space="preserve">    IF(AND(All[[#This Row],[Exam/Def]]&lt;35,OR(All[[#This Row],[Wrote Exam]],All[[#This Row],[Wrote Def]])), TRUE,FALSE)</f>
        <v>0</v>
      </c>
      <c r="AB146" s="18" t="b">
        <f>IF(AND(All[[#This Row],[Exam &lt; 35%]],All[[#This Row],[Final]]&gt;=50),TRUE,FALSE)</f>
        <v>0</v>
      </c>
      <c r="AC146" s="18"/>
    </row>
    <row r="147" spans="1:29" ht="43.2">
      <c r="A147" s="17" t="s">
        <v>415</v>
      </c>
      <c r="B147" s="17" t="s">
        <v>588</v>
      </c>
      <c r="C147" s="100" t="e">
        <f>IF(All[[#This Row],[Student]],
  IF(ISNA(INDEX(#REF!,MATCH(All[[#This Row],[Student No.]],#REF!,0))),
    "Cannot find student!",
    IF(INDEX(#REF!,MATCH(All[[#This Row],[Student No.]],#REF!,0))="",
      "",
      INDEX(#REF!,MATCH(All[[#This Row],[Student No.]],#REF!,0)))
    ),
  "No student!")</f>
        <v>#REF!</v>
      </c>
      <c r="D147"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47" s="18" t="str">
        <f>IF(All[[#This Row],[Student]],
  IF(ISNA(INDEX(Project[Total (%)],MATCH(All[[#This Row],[Student No.]],Project[Student No.],0))),
    "Cannot find student!",
    IF(INDEX(Project[Total (%)],MATCH(All[[#This Row],[Student No.]],Project[Student No.],0))="",
      "",
      INDEX(Project[Total (%)],MATCH(All[[#This Row],[Student No.]],Project[Student No.],0)))
    ),
  "No student!")</f>
        <v/>
      </c>
      <c r="F147" s="201">
        <f>IF(All[[#This Row],[Wrote Def]], INDEX(#REF!, MATCH(All[[#This Row],[Student No.]],#REF!,0)),
  IF(All[[#This Row],[Wrote Exam]], INDEX(Exam[Total (%)], MATCH(All[[#This Row],[Student No.]], Exam[Student No.],0)),
    ""))</f>
        <v>72</v>
      </c>
      <c r="G147" s="18" t="str">
        <f>IF(AND(All[[#This Row],[Student]], All[[#This Row],[All Components]]),
    IF(NOT(All[Has Test Mark]),ROUND((All[[#This Row],[Engagement]]*$C$5+All[[#This Row],[Project]]*$E$5+All[[#This Row],[Exam/Def]]*$F$5)/($C$5+$E$5+$F$5),0),
      ROUND((All[[#This Row],[Engagement]]*$C$5+All[[#This Row],[Test]]*$D$5+All[[#This Row],[Project]]*$E$5+All[[#This Row],[Exam/Def]]*$F$5)/($C$5+$D$5+$E$5+$F$5),0)
  ),
  "")</f>
        <v/>
      </c>
      <c r="H147" s="18" t="str">
        <f>All[[#This Row],[Course Mark]]</f>
        <v/>
      </c>
      <c r="I147" s="18" t="str">
        <f>IF(All[[#This Row],[Wrote Sup]], INDEX(#REF!,MATCH(All[[#This Row],[Student No.]],#REF!,0)), "")</f>
        <v/>
      </c>
      <c r="J147" s="18" t="str">
        <f>IF(AND(All[[#This Row],[Student]],ISNUMBER(All[[#This Row],[Final]])),_xlfn.RANK.EQ(All[[#This Row],[Final]],All[Final]),"")</f>
        <v/>
      </c>
      <c r="K147" s="31"/>
      <c r="L147" s="18" t="str">
        <f>IF(All[[#This Row],[Student]], IF(All[Wrote Sup],All[Sup],All[[#This Row],[Final]]),"No student")</f>
        <v/>
      </c>
      <c r="M147" s="18" t="str">
        <f>IF(All[[#This Row],[Final]]="","",
  IF(All[[#This Row],[Wrote Sup]],
    IF(All[[#This Row],[Sup]]&lt;50,"FAL","PAS"),
  IF(All[[#This Row],[Exam/Def]]&lt;35, "FSB",
    IF(All[[#This Row],[Final]]&lt;50,"FAL",
    IF(All[[#This Row],[Final]]&gt;=50,"PAS",
  "Error!")))))</f>
        <v/>
      </c>
      <c r="N147" s="18">
        <f>IF(All[[#This Row],[Student]], _xlfn.IFNA(INDEX(captured[Course Mark],MATCH(All[[#This Row],[Student No.]],captured[ID_TEXT],0) &amp; ""), "Cannot find student!"),"No student!")</f>
        <v>76</v>
      </c>
      <c r="O147" s="189" t="str">
        <f>IF(All[[#This Row],[Student]], _xlfn.IFNA(INDEX(captured[Grade],MATCH(All[[#This Row],[Student No.]],captured[ID_TEXT],0)), "Cannot find student!") &amp; "","No student!")</f>
        <v>PAS</v>
      </c>
      <c r="P147"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47" s="18" t="str">
        <f>IF(All[[#This Row],[My Grade]]&lt;&gt;"",IF(All[[#This Row],[My Grade]]&lt;&gt;All[[#This Row],[Cap Grade]],TRUE,FALSE),"")</f>
        <v/>
      </c>
      <c r="R147" s="18" t="b">
        <f>IF(NOT(ISBLANK(All[[#This Row],[Student No.]])),OR(ISNUMBER(FIND("FSB",All[[#This Row],[My Grade]])),ISNUMBER(FIND("PAS", All[[#This Row],[My Grade]])),ISNUMBER(FIND("FAL",All[[#This Row],[My Grade]])),ISNUMBER(FIND("FAB", All[[#This Row],[My Grade]])),COUNTBLANK(All[[#This Row],[My Grade]])=1),FALSE)</f>
        <v>1</v>
      </c>
      <c r="S147" s="18" t="b">
        <f>IF(All[[#This Row],[Student No.]]&lt;&gt;"", TRUE, FALSE)</f>
        <v>1</v>
      </c>
      <c r="T147" s="18" t="b">
        <f>IF(COUNTBLANK(All[[#This Row],[Engagement]:[Exam/Def]])=0,TRUE, FALSE)</f>
        <v>0</v>
      </c>
      <c r="U147" s="18" t="b">
        <f>IF(ISNUMBER(All[[#This Row],[Test]]),TRUE,FALSE)</f>
        <v>0</v>
      </c>
      <c r="V147" s="18" t="e">
        <f>IF((INDEX(Test[Total (%)],MATCH(All[[#This Row],[Student No.]],Test[Student No.],0)))="ABS", TRUE, FALSE)</f>
        <v>#N/A</v>
      </c>
      <c r="W147" s="18" t="b">
        <f>IF(ISNUMBER(INDEX(Exam[Total (%)],MATCH(All[[#This Row],[Student No.]],Exam[Student No.],0))), TRUE, FALSE)</f>
        <v>1</v>
      </c>
      <c r="X147" s="18" t="b">
        <f>IF(ISNUMBER(INDEX(#REF!,MATCH(All[[#This Row],[Student No.]],#REF!,0))),TRUE,FALSE)</f>
        <v>0</v>
      </c>
      <c r="Y147" s="18" t="b">
        <f>IF(ISNUMBER(INDEX(#REF!,MATCH(All[[#This Row],[Student No.]],#REF!,0))),TRUE,FALSE)</f>
        <v>0</v>
      </c>
      <c r="Z147" s="18" t="b">
        <f>IF(All[[#This Row],[Wrote Def]],
IF(INDEX(#REF!, MATCH(All[[#This Row],[Student No.]],#REF!,0))&lt;&gt;All[[#This Row],[Exam/Def]], TRUE, FALSE),
  IF(All[[#This Row],[Wrote Exam]], IF(INDEX(Exam[Total (%)], MATCH(All[[#This Row],[Student No.]],Exam[Student No.],0))&lt;&gt;All[[#This Row],[Exam/Def]],TRUE,FALSE), FALSE))</f>
        <v>0</v>
      </c>
      <c r="AA147" s="18" t="b">
        <f xml:space="preserve">    IF(AND(All[[#This Row],[Exam/Def]]&lt;35,OR(All[[#This Row],[Wrote Exam]],All[[#This Row],[Wrote Def]])), TRUE,FALSE)</f>
        <v>0</v>
      </c>
      <c r="AB147" s="18" t="b">
        <f>IF(AND(All[[#This Row],[Exam &lt; 35%]],All[[#This Row],[Final]]&gt;=50),TRUE,FALSE)</f>
        <v>0</v>
      </c>
      <c r="AC147" s="18"/>
    </row>
    <row r="148" spans="1:29" ht="43.2">
      <c r="A148" s="17" t="s">
        <v>416</v>
      </c>
      <c r="B148" s="17" t="s">
        <v>589</v>
      </c>
      <c r="C148" s="100" t="e">
        <f>IF(All[[#This Row],[Student]],
  IF(ISNA(INDEX(#REF!,MATCH(All[[#This Row],[Student No.]],#REF!,0))),
    "Cannot find student!",
    IF(INDEX(#REF!,MATCH(All[[#This Row],[Student No.]],#REF!,0))="",
      "",
      INDEX(#REF!,MATCH(All[[#This Row],[Student No.]],#REF!,0)))
    ),
  "No student!")</f>
        <v>#REF!</v>
      </c>
      <c r="D148"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48" s="18" t="str">
        <f>IF(All[[#This Row],[Student]],
  IF(ISNA(INDEX(Project[Total (%)],MATCH(All[[#This Row],[Student No.]],Project[Student No.],0))),
    "Cannot find student!",
    IF(INDEX(Project[Total (%)],MATCH(All[[#This Row],[Student No.]],Project[Student No.],0))="",
      "",
      INDEX(Project[Total (%)],MATCH(All[[#This Row],[Student No.]],Project[Student No.],0)))
    ),
  "No student!")</f>
        <v/>
      </c>
      <c r="F148" s="201">
        <f>IF(All[[#This Row],[Wrote Def]], INDEX(#REF!, MATCH(All[[#This Row],[Student No.]],#REF!,0)),
  IF(All[[#This Row],[Wrote Exam]], INDEX(Exam[Total (%)], MATCH(All[[#This Row],[Student No.]], Exam[Student No.],0)),
    ""))</f>
        <v>65</v>
      </c>
      <c r="G148" s="18" t="str">
        <f>IF(AND(All[[#This Row],[Student]], All[[#This Row],[All Components]]),
    IF(NOT(All[Has Test Mark]),ROUND((All[[#This Row],[Engagement]]*$C$5+All[[#This Row],[Project]]*$E$5+All[[#This Row],[Exam/Def]]*$F$5)/($C$5+$E$5+$F$5),0),
      ROUND((All[[#This Row],[Engagement]]*$C$5+All[[#This Row],[Test]]*$D$5+All[[#This Row],[Project]]*$E$5+All[[#This Row],[Exam/Def]]*$F$5)/($C$5+$D$5+$E$5+$F$5),0)
  ),
  "")</f>
        <v/>
      </c>
      <c r="H148" s="18" t="str">
        <f>All[[#This Row],[Course Mark]]</f>
        <v/>
      </c>
      <c r="I148" s="18" t="str">
        <f>IF(All[[#This Row],[Wrote Sup]], INDEX(#REF!,MATCH(All[[#This Row],[Student No.]],#REF!,0)), "")</f>
        <v/>
      </c>
      <c r="J148" s="18" t="str">
        <f>IF(AND(All[[#This Row],[Student]],ISNUMBER(All[[#This Row],[Final]])),_xlfn.RANK.EQ(All[[#This Row],[Final]],All[Final]),"")</f>
        <v/>
      </c>
      <c r="K148" s="31"/>
      <c r="L148" s="18" t="str">
        <f>IF(All[[#This Row],[Student]], IF(All[Wrote Sup],All[Sup],All[[#This Row],[Final]]),"No student")</f>
        <v/>
      </c>
      <c r="M148" s="18" t="str">
        <f>IF(All[[#This Row],[Final]]="","",
  IF(All[[#This Row],[Wrote Sup]],
    IF(All[[#This Row],[Sup]]&lt;50,"FAL","PAS"),
  IF(All[[#This Row],[Exam/Def]]&lt;35, "FSB",
    IF(All[[#This Row],[Final]]&lt;50,"FAL",
    IF(All[[#This Row],[Final]]&gt;=50,"PAS",
  "Error!")))))</f>
        <v/>
      </c>
      <c r="N148" s="18">
        <f>IF(All[[#This Row],[Student]], _xlfn.IFNA(INDEX(captured[Course Mark],MATCH(All[[#This Row],[Student No.]],captured[ID_TEXT],0) &amp; ""), "Cannot find student!"),"No student!")</f>
        <v>69</v>
      </c>
      <c r="O148" s="189" t="str">
        <f>IF(All[[#This Row],[Student]], _xlfn.IFNA(INDEX(captured[Grade],MATCH(All[[#This Row],[Student No.]],captured[ID_TEXT],0)), "Cannot find student!") &amp; "","No student!")</f>
        <v>PAS</v>
      </c>
      <c r="P148"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48" s="18" t="str">
        <f>IF(All[[#This Row],[My Grade]]&lt;&gt;"",IF(All[[#This Row],[My Grade]]&lt;&gt;All[[#This Row],[Cap Grade]],TRUE,FALSE),"")</f>
        <v/>
      </c>
      <c r="R148" s="18" t="b">
        <f>IF(NOT(ISBLANK(All[[#This Row],[Student No.]])),OR(ISNUMBER(FIND("FSB",All[[#This Row],[My Grade]])),ISNUMBER(FIND("PAS", All[[#This Row],[My Grade]])),ISNUMBER(FIND("FAL",All[[#This Row],[My Grade]])),ISNUMBER(FIND("FAB", All[[#This Row],[My Grade]])),COUNTBLANK(All[[#This Row],[My Grade]])=1),FALSE)</f>
        <v>1</v>
      </c>
      <c r="S148" s="18" t="b">
        <f>IF(All[[#This Row],[Student No.]]&lt;&gt;"", TRUE, FALSE)</f>
        <v>1</v>
      </c>
      <c r="T148" s="18" t="b">
        <f>IF(COUNTBLANK(All[[#This Row],[Engagement]:[Exam/Def]])=0,TRUE, FALSE)</f>
        <v>0</v>
      </c>
      <c r="U148" s="18" t="b">
        <f>IF(ISNUMBER(All[[#This Row],[Test]]),TRUE,FALSE)</f>
        <v>0</v>
      </c>
      <c r="V148" s="18" t="e">
        <f>IF((INDEX(Test[Total (%)],MATCH(All[[#This Row],[Student No.]],Test[Student No.],0)))="ABS", TRUE, FALSE)</f>
        <v>#N/A</v>
      </c>
      <c r="W148" s="18" t="b">
        <f>IF(ISNUMBER(INDEX(Exam[Total (%)],MATCH(All[[#This Row],[Student No.]],Exam[Student No.],0))), TRUE, FALSE)</f>
        <v>1</v>
      </c>
      <c r="X148" s="18" t="b">
        <f>IF(ISNUMBER(INDEX(#REF!,MATCH(All[[#This Row],[Student No.]],#REF!,0))),TRUE,FALSE)</f>
        <v>0</v>
      </c>
      <c r="Y148" s="18" t="b">
        <f>IF(ISNUMBER(INDEX(#REF!,MATCH(All[[#This Row],[Student No.]],#REF!,0))),TRUE,FALSE)</f>
        <v>0</v>
      </c>
      <c r="Z148" s="18" t="b">
        <f>IF(All[[#This Row],[Wrote Def]],
IF(INDEX(#REF!, MATCH(All[[#This Row],[Student No.]],#REF!,0))&lt;&gt;All[[#This Row],[Exam/Def]], TRUE, FALSE),
  IF(All[[#This Row],[Wrote Exam]], IF(INDEX(Exam[Total (%)], MATCH(All[[#This Row],[Student No.]],Exam[Student No.],0))&lt;&gt;All[[#This Row],[Exam/Def]],TRUE,FALSE), FALSE))</f>
        <v>0</v>
      </c>
      <c r="AA148" s="18" t="b">
        <f xml:space="preserve">    IF(AND(All[[#This Row],[Exam/Def]]&lt;35,OR(All[[#This Row],[Wrote Exam]],All[[#This Row],[Wrote Def]])), TRUE,FALSE)</f>
        <v>0</v>
      </c>
      <c r="AB148" s="18" t="b">
        <f>IF(AND(All[[#This Row],[Exam &lt; 35%]],All[[#This Row],[Final]]&gt;=50),TRUE,FALSE)</f>
        <v>0</v>
      </c>
      <c r="AC148" s="18"/>
    </row>
    <row r="149" spans="1:29">
      <c r="A149" s="17" t="s">
        <v>417</v>
      </c>
      <c r="B149" s="17" t="s">
        <v>590</v>
      </c>
      <c r="C149" s="100" t="e">
        <f>IF(All[[#This Row],[Student]],
  IF(ISNA(INDEX(#REF!,MATCH(All[[#This Row],[Student No.]],#REF!,0))),
    "Cannot find student!",
    IF(INDEX(#REF!,MATCH(All[[#This Row],[Student No.]],#REF!,0))="",
      "",
      INDEX(#REF!,MATCH(All[[#This Row],[Student No.]],#REF!,0)))
    ),
  "No student!")</f>
        <v>#REF!</v>
      </c>
      <c r="D149"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49" s="18" t="str">
        <f>IF(All[[#This Row],[Student]],
  IF(ISNA(INDEX(Project[Total (%)],MATCH(All[[#This Row],[Student No.]],Project[Student No.],0))),
    "Cannot find student!",
    IF(INDEX(Project[Total (%)],MATCH(All[[#This Row],[Student No.]],Project[Student No.],0))="",
      "",
      INDEX(Project[Total (%)],MATCH(All[[#This Row],[Student No.]],Project[Student No.],0)))
    ),
  "No student!")</f>
        <v/>
      </c>
      <c r="F149" s="201" t="str">
        <f>IF(All[[#This Row],[Wrote Def]], INDEX(#REF!, MATCH(All[[#This Row],[Student No.]],#REF!,0)),
  IF(All[[#This Row],[Wrote Exam]], INDEX(Exam[Total (%)], MATCH(All[[#This Row],[Student No.]], Exam[Student No.],0)),
    ""))</f>
        <v/>
      </c>
      <c r="G149" s="18" t="str">
        <f>IF(AND(All[[#This Row],[Student]], All[[#This Row],[All Components]]),
    IF(NOT(All[Has Test Mark]),ROUND((All[[#This Row],[Engagement]]*$C$5+All[[#This Row],[Project]]*$E$5+All[[#This Row],[Exam/Def]]*$F$5)/($C$5+$E$5+$F$5),0),
      ROUND((All[[#This Row],[Engagement]]*$C$5+All[[#This Row],[Test]]*$D$5+All[[#This Row],[Project]]*$E$5+All[[#This Row],[Exam/Def]]*$F$5)/($C$5+$D$5+$E$5+$F$5),0)
  ),
  "")</f>
        <v/>
      </c>
      <c r="H149" s="18" t="str">
        <f>All[[#This Row],[Course Mark]]</f>
        <v/>
      </c>
      <c r="I149" s="18" t="str">
        <f>IF(All[[#This Row],[Wrote Sup]], INDEX(#REF!,MATCH(All[[#This Row],[Student No.]],#REF!,0)), "")</f>
        <v/>
      </c>
      <c r="J149" s="18" t="str">
        <f>IF(AND(All[[#This Row],[Student]],ISNUMBER(All[[#This Row],[Final]])),_xlfn.RANK.EQ(All[[#This Row],[Final]],All[Final]),"")</f>
        <v/>
      </c>
      <c r="K149" s="31"/>
      <c r="L149" s="18" t="str">
        <f>IF(All[[#This Row],[Student]], IF(All[Wrote Sup],All[Sup],All[[#This Row],[Final]]),"No student")</f>
        <v/>
      </c>
      <c r="M149" s="18" t="str">
        <f>IF(All[[#This Row],[Final]]="","",
  IF(All[[#This Row],[Wrote Sup]],
    IF(All[[#This Row],[Sup]]&lt;50,"FAL","PAS"),
  IF(All[[#This Row],[Exam/Def]]&lt;35, "FSB",
    IF(All[[#This Row],[Final]]&lt;50,"FAL",
    IF(All[[#This Row],[Final]]&gt;=50,"PAS",
  "Error!")))))</f>
        <v/>
      </c>
      <c r="N149" s="18">
        <f>IF(All[[#This Row],[Student]], _xlfn.IFNA(INDEX(captured[Course Mark],MATCH(All[[#This Row],[Student No.]],captured[ID_TEXT],0) &amp; ""), "Cannot find student!"),"No student!")</f>
        <v>44</v>
      </c>
      <c r="O149" s="189" t="str">
        <f>IF(All[[#This Row],[Student]], _xlfn.IFNA(INDEX(captured[Grade],MATCH(All[[#This Row],[Student No.]],captured[ID_TEXT],0)), "Cannot find student!") &amp; "","No student!")</f>
        <v>FSB</v>
      </c>
      <c r="P149"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49" s="18" t="str">
        <f>IF(All[[#This Row],[My Grade]]&lt;&gt;"",IF(All[[#This Row],[My Grade]]&lt;&gt;All[[#This Row],[Cap Grade]],TRUE,FALSE),"")</f>
        <v/>
      </c>
      <c r="R149" s="18" t="b">
        <f>IF(NOT(ISBLANK(All[[#This Row],[Student No.]])),OR(ISNUMBER(FIND("FSB",All[[#This Row],[My Grade]])),ISNUMBER(FIND("PAS", All[[#This Row],[My Grade]])),ISNUMBER(FIND("FAL",All[[#This Row],[My Grade]])),ISNUMBER(FIND("FAB", All[[#This Row],[My Grade]])),COUNTBLANK(All[[#This Row],[My Grade]])=1),FALSE)</f>
        <v>1</v>
      </c>
      <c r="S149" s="18" t="b">
        <f>IF(All[[#This Row],[Student No.]]&lt;&gt;"", TRUE, FALSE)</f>
        <v>1</v>
      </c>
      <c r="T149" s="18" t="b">
        <f>IF(COUNTBLANK(All[[#This Row],[Engagement]:[Exam/Def]])=0,TRUE, FALSE)</f>
        <v>0</v>
      </c>
      <c r="U149" s="18" t="b">
        <f>IF(ISNUMBER(All[[#This Row],[Test]]),TRUE,FALSE)</f>
        <v>0</v>
      </c>
      <c r="V149" s="18" t="b">
        <f>IF((INDEX(Test[Total (%)],MATCH(All[[#This Row],[Student No.]],Test[Student No.],0)))="ABS", TRUE, FALSE)</f>
        <v>0</v>
      </c>
      <c r="W149" s="18" t="b">
        <f>IF(ISNUMBER(INDEX(Exam[Total (%)],MATCH(All[[#This Row],[Student No.]],Exam[Student No.],0))), TRUE, FALSE)</f>
        <v>0</v>
      </c>
      <c r="X149" s="18" t="b">
        <f>IF(ISNUMBER(INDEX(#REF!,MATCH(All[[#This Row],[Student No.]],#REF!,0))),TRUE,FALSE)</f>
        <v>0</v>
      </c>
      <c r="Y149" s="18" t="b">
        <f>IF(ISNUMBER(INDEX(#REF!,MATCH(All[[#This Row],[Student No.]],#REF!,0))),TRUE,FALSE)</f>
        <v>0</v>
      </c>
      <c r="Z149" s="18" t="b">
        <f>IF(All[[#This Row],[Wrote Def]],
IF(INDEX(#REF!, MATCH(All[[#This Row],[Student No.]],#REF!,0))&lt;&gt;All[[#This Row],[Exam/Def]], TRUE, FALSE),
  IF(All[[#This Row],[Wrote Exam]], IF(INDEX(Exam[Total (%)], MATCH(All[[#This Row],[Student No.]],Exam[Student No.],0))&lt;&gt;All[[#This Row],[Exam/Def]],TRUE,FALSE), FALSE))</f>
        <v>0</v>
      </c>
      <c r="AA149" s="18" t="b">
        <f xml:space="preserve">    IF(AND(All[[#This Row],[Exam/Def]]&lt;35,OR(All[[#This Row],[Wrote Exam]],All[[#This Row],[Wrote Def]])), TRUE,FALSE)</f>
        <v>0</v>
      </c>
      <c r="AB149" s="18" t="b">
        <f>IF(AND(All[[#This Row],[Exam &lt; 35%]],All[[#This Row],[Final]]&gt;=50),TRUE,FALSE)</f>
        <v>0</v>
      </c>
      <c r="AC149" s="18"/>
    </row>
    <row r="150" spans="1:29" ht="43.2">
      <c r="A150" s="17" t="s">
        <v>418</v>
      </c>
      <c r="B150" s="17" t="s">
        <v>591</v>
      </c>
      <c r="C150" s="100" t="e">
        <f>IF(All[[#This Row],[Student]],
  IF(ISNA(INDEX(#REF!,MATCH(All[[#This Row],[Student No.]],#REF!,0))),
    "Cannot find student!",
    IF(INDEX(#REF!,MATCH(All[[#This Row],[Student No.]],#REF!,0))="",
      "",
      INDEX(#REF!,MATCH(All[[#This Row],[Student No.]],#REF!,0)))
    ),
  "No student!")</f>
        <v>#REF!</v>
      </c>
      <c r="D150"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50" s="18" t="str">
        <f>IF(All[[#This Row],[Student]],
  IF(ISNA(INDEX(Project[Total (%)],MATCH(All[[#This Row],[Student No.]],Project[Student No.],0))),
    "Cannot find student!",
    IF(INDEX(Project[Total (%)],MATCH(All[[#This Row],[Student No.]],Project[Student No.],0))="",
      "",
      INDEX(Project[Total (%)],MATCH(All[[#This Row],[Student No.]],Project[Student No.],0)))
    ),
  "No student!")</f>
        <v/>
      </c>
      <c r="F150" s="201" t="str">
        <f>IF(All[[#This Row],[Wrote Def]], INDEX(#REF!, MATCH(All[[#This Row],[Student No.]],#REF!,0)),
  IF(All[[#This Row],[Wrote Exam]], INDEX(Exam[Total (%)], MATCH(All[[#This Row],[Student No.]], Exam[Student No.],0)),
    ""))</f>
        <v/>
      </c>
      <c r="G150" s="18" t="str">
        <f>IF(AND(All[[#This Row],[Student]], All[[#This Row],[All Components]]),
    IF(NOT(All[Has Test Mark]),ROUND((All[[#This Row],[Engagement]]*$C$5+All[[#This Row],[Project]]*$E$5+All[[#This Row],[Exam/Def]]*$F$5)/($C$5+$E$5+$F$5),0),
      ROUND((All[[#This Row],[Engagement]]*$C$5+All[[#This Row],[Test]]*$D$5+All[[#This Row],[Project]]*$E$5+All[[#This Row],[Exam/Def]]*$F$5)/($C$5+$D$5+$E$5+$F$5),0)
  ),
  "")</f>
        <v/>
      </c>
      <c r="H150" s="18" t="str">
        <f>All[[#This Row],[Course Mark]]</f>
        <v/>
      </c>
      <c r="I150" s="18" t="str">
        <f>IF(All[[#This Row],[Wrote Sup]], INDEX(#REF!,MATCH(All[[#This Row],[Student No.]],#REF!,0)), "")</f>
        <v/>
      </c>
      <c r="J150" s="18" t="str">
        <f>IF(AND(All[[#This Row],[Student]],ISNUMBER(All[[#This Row],[Final]])),_xlfn.RANK.EQ(All[[#This Row],[Final]],All[Final]),"")</f>
        <v/>
      </c>
      <c r="K150" s="31"/>
      <c r="L150" s="18" t="str">
        <f>IF(All[[#This Row],[Student]], IF(All[Wrote Sup],All[Sup],All[[#This Row],[Final]]),"No student")</f>
        <v/>
      </c>
      <c r="M150" s="18" t="str">
        <f>IF(All[[#This Row],[Final]]="","",
  IF(All[[#This Row],[Wrote Sup]],
    IF(All[[#This Row],[Sup]]&lt;50,"FAL","PAS"),
  IF(All[[#This Row],[Exam/Def]]&lt;35, "FSB",
    IF(All[[#This Row],[Final]]&lt;50,"FAL",
    IF(All[[#This Row],[Final]]&gt;=50,"PAS",
  "Error!")))))</f>
        <v/>
      </c>
      <c r="N150" s="18" t="str">
        <f>IF(All[[#This Row],[Student]], _xlfn.IFNA(INDEX(captured[Course Mark],MATCH(All[[#This Row],[Student No.]],captured[ID_TEXT],0) &amp; ""), "Cannot find student!"),"No student!")</f>
        <v>FABS</v>
      </c>
      <c r="O150" s="189" t="str">
        <f>IF(All[[#This Row],[Student]], _xlfn.IFNA(INDEX(captured[Grade],MATCH(All[[#This Row],[Student No.]],captured[ID_TEXT],0)), "Cannot find student!") &amp; "","No student!")</f>
        <v>FAB</v>
      </c>
      <c r="P150" s="18" t="b">
        <f xml:space="preserve"> IF(AND(ISNUMBER(All[[#This Row],[Cap Mark]]), ISNUMBER(All[[#This Row],[My Mark]])), ABS(All[[#This Row],[Cap Mark]] - All[[#This Row],[My Mark]]) &lt;&gt; 0,
    IF(AND(ISNUMBER(All[[#This Row],[My Mark]]),NOT(ISNUMBER(All[[#This Row],[Cap Mark]]))),TRUE,
    IF(AND(ISNUMBER(All[[#This Row],[Cap Mark]]),NOT(ISNUMBER(All[[#This Row],[My Mark]]))),TRUE,FALSE)
    ))</f>
        <v>0</v>
      </c>
      <c r="Q150" s="18" t="str">
        <f>IF(All[[#This Row],[My Grade]]&lt;&gt;"",IF(All[[#This Row],[My Grade]]&lt;&gt;All[[#This Row],[Cap Grade]],TRUE,FALSE),"")</f>
        <v/>
      </c>
      <c r="R150" s="18" t="b">
        <f>IF(NOT(ISBLANK(All[[#This Row],[Student No.]])),OR(ISNUMBER(FIND("FSB",All[[#This Row],[My Grade]])),ISNUMBER(FIND("PAS", All[[#This Row],[My Grade]])),ISNUMBER(FIND("FAL",All[[#This Row],[My Grade]])),ISNUMBER(FIND("FAB", All[[#This Row],[My Grade]])),COUNTBLANK(All[[#This Row],[My Grade]])=1),FALSE)</f>
        <v>1</v>
      </c>
      <c r="S150" s="18" t="b">
        <f>IF(All[[#This Row],[Student No.]]&lt;&gt;"", TRUE, FALSE)</f>
        <v>1</v>
      </c>
      <c r="T150" s="18" t="b">
        <f>IF(COUNTBLANK(All[[#This Row],[Engagement]:[Exam/Def]])=0,TRUE, FALSE)</f>
        <v>0</v>
      </c>
      <c r="U150" s="18" t="b">
        <f>IF(ISNUMBER(All[[#This Row],[Test]]),TRUE,FALSE)</f>
        <v>0</v>
      </c>
      <c r="V150" s="18" t="e">
        <f>IF((INDEX(Test[Total (%)],MATCH(All[[#This Row],[Student No.]],Test[Student No.],0)))="ABS", TRUE, FALSE)</f>
        <v>#N/A</v>
      </c>
      <c r="W150" s="18" t="b">
        <f>IF(ISNUMBER(INDEX(Exam[Total (%)],MATCH(All[[#This Row],[Student No.]],Exam[Student No.],0))), TRUE, FALSE)</f>
        <v>0</v>
      </c>
      <c r="X150" s="18" t="b">
        <f>IF(ISNUMBER(INDEX(#REF!,MATCH(All[[#This Row],[Student No.]],#REF!,0))),TRUE,FALSE)</f>
        <v>0</v>
      </c>
      <c r="Y150" s="18" t="b">
        <f>IF(ISNUMBER(INDEX(#REF!,MATCH(All[[#This Row],[Student No.]],#REF!,0))),TRUE,FALSE)</f>
        <v>0</v>
      </c>
      <c r="Z150" s="18" t="b">
        <f>IF(All[[#This Row],[Wrote Def]],
IF(INDEX(#REF!, MATCH(All[[#This Row],[Student No.]],#REF!,0))&lt;&gt;All[[#This Row],[Exam/Def]], TRUE, FALSE),
  IF(All[[#This Row],[Wrote Exam]], IF(INDEX(Exam[Total (%)], MATCH(All[[#This Row],[Student No.]],Exam[Student No.],0))&lt;&gt;All[[#This Row],[Exam/Def]],TRUE,FALSE), FALSE))</f>
        <v>0</v>
      </c>
      <c r="AA150" s="18" t="b">
        <f xml:space="preserve">    IF(AND(All[[#This Row],[Exam/Def]]&lt;35,OR(All[[#This Row],[Wrote Exam]],All[[#This Row],[Wrote Def]])), TRUE,FALSE)</f>
        <v>0</v>
      </c>
      <c r="AB150" s="18" t="b">
        <f>IF(AND(All[[#This Row],[Exam &lt; 35%]],All[[#This Row],[Final]]&gt;=50),TRUE,FALSE)</f>
        <v>0</v>
      </c>
      <c r="AC150" s="18"/>
    </row>
    <row r="151" spans="1:29">
      <c r="A151" s="17" t="s">
        <v>419</v>
      </c>
      <c r="B151" s="17" t="s">
        <v>592</v>
      </c>
      <c r="C151" s="100" t="e">
        <f>IF(All[[#This Row],[Student]],
  IF(ISNA(INDEX(#REF!,MATCH(All[[#This Row],[Student No.]],#REF!,0))),
    "Cannot find student!",
    IF(INDEX(#REF!,MATCH(All[[#This Row],[Student No.]],#REF!,0))="",
      "",
      INDEX(#REF!,MATCH(All[[#This Row],[Student No.]],#REF!,0)))
    ),
  "No student!")</f>
        <v>#REF!</v>
      </c>
      <c r="D151"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51" s="18" t="str">
        <f>IF(All[[#This Row],[Student]],
  IF(ISNA(INDEX(Project[Total (%)],MATCH(All[[#This Row],[Student No.]],Project[Student No.],0))),
    "Cannot find student!",
    IF(INDEX(Project[Total (%)],MATCH(All[[#This Row],[Student No.]],Project[Student No.],0))="",
      "",
      INDEX(Project[Total (%)],MATCH(All[[#This Row],[Student No.]],Project[Student No.],0)))
    ),
  "No student!")</f>
        <v/>
      </c>
      <c r="F151" s="201">
        <f>IF(All[[#This Row],[Wrote Def]], INDEX(#REF!, MATCH(All[[#This Row],[Student No.]],#REF!,0)),
  IF(All[[#This Row],[Wrote Exam]], INDEX(Exam[Total (%)], MATCH(All[[#This Row],[Student No.]], Exam[Student No.],0)),
    ""))</f>
        <v>21</v>
      </c>
      <c r="G151" s="18" t="str">
        <f>IF(AND(All[[#This Row],[Student]], All[[#This Row],[All Components]]),
    IF(NOT(All[Has Test Mark]),ROUND((All[[#This Row],[Engagement]]*$C$5+All[[#This Row],[Project]]*$E$5+All[[#This Row],[Exam/Def]]*$F$5)/($C$5+$E$5+$F$5),0),
      ROUND((All[[#This Row],[Engagement]]*$C$5+All[[#This Row],[Test]]*$D$5+All[[#This Row],[Project]]*$E$5+All[[#This Row],[Exam/Def]]*$F$5)/($C$5+$D$5+$E$5+$F$5),0)
  ),
  "")</f>
        <v/>
      </c>
      <c r="H151" s="18" t="str">
        <f>All[[#This Row],[Course Mark]]</f>
        <v/>
      </c>
      <c r="I151" s="18" t="str">
        <f>IF(All[[#This Row],[Wrote Sup]], INDEX(#REF!,MATCH(All[[#This Row],[Student No.]],#REF!,0)), "")</f>
        <v/>
      </c>
      <c r="J151" s="18" t="str">
        <f>IF(AND(All[[#This Row],[Student]],ISNUMBER(All[[#This Row],[Final]])),_xlfn.RANK.EQ(All[[#This Row],[Final]],All[Final]),"")</f>
        <v/>
      </c>
      <c r="K151" s="31"/>
      <c r="L151" s="18" t="str">
        <f>IF(All[[#This Row],[Student]], IF(All[Wrote Sup],All[Sup],All[[#This Row],[Final]]),"No student")</f>
        <v/>
      </c>
      <c r="M151" s="18" t="str">
        <f>IF(All[[#This Row],[Final]]="","",
  IF(All[[#This Row],[Wrote Sup]],
    IF(All[[#This Row],[Sup]]&lt;50,"FAL","PAS"),
  IF(All[[#This Row],[Exam/Def]]&lt;35, "FSB",
    IF(All[[#This Row],[Final]]&lt;50,"FAL",
    IF(All[[#This Row],[Final]]&gt;=50,"PAS",
  "Error!")))))</f>
        <v/>
      </c>
      <c r="N151" s="18">
        <f>IF(All[[#This Row],[Student]], _xlfn.IFNA(INDEX(captured[Course Mark],MATCH(All[[#This Row],[Student No.]],captured[ID_TEXT],0) &amp; ""), "Cannot find student!"),"No student!")</f>
        <v>21</v>
      </c>
      <c r="O151" s="189" t="str">
        <f>IF(All[[#This Row],[Student]], _xlfn.IFNA(INDEX(captured[Grade],MATCH(All[[#This Row],[Student No.]],captured[ID_TEXT],0)), "Cannot find student!") &amp; "","No student!")</f>
        <v/>
      </c>
      <c r="P151"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51" s="18" t="str">
        <f>IF(All[[#This Row],[My Grade]]&lt;&gt;"",IF(All[[#This Row],[My Grade]]&lt;&gt;All[[#This Row],[Cap Grade]],TRUE,FALSE),"")</f>
        <v/>
      </c>
      <c r="R151" s="18" t="b">
        <f>IF(NOT(ISBLANK(All[[#This Row],[Student No.]])),OR(ISNUMBER(FIND("FSB",All[[#This Row],[My Grade]])),ISNUMBER(FIND("PAS", All[[#This Row],[My Grade]])),ISNUMBER(FIND("FAL",All[[#This Row],[My Grade]])),ISNUMBER(FIND("FAB", All[[#This Row],[My Grade]])),COUNTBLANK(All[[#This Row],[My Grade]])=1),FALSE)</f>
        <v>1</v>
      </c>
      <c r="S151" s="18" t="b">
        <f>IF(All[[#This Row],[Student No.]]&lt;&gt;"", TRUE, FALSE)</f>
        <v>1</v>
      </c>
      <c r="T151" s="18" t="b">
        <f>IF(COUNTBLANK(All[[#This Row],[Engagement]:[Exam/Def]])=0,TRUE, FALSE)</f>
        <v>0</v>
      </c>
      <c r="U151" s="18" t="b">
        <f>IF(ISNUMBER(All[[#This Row],[Test]]),TRUE,FALSE)</f>
        <v>0</v>
      </c>
      <c r="V151" s="18" t="b">
        <f>IF((INDEX(Test[Total (%)],MATCH(All[[#This Row],[Student No.]],Test[Student No.],0)))="ABS", TRUE, FALSE)</f>
        <v>0</v>
      </c>
      <c r="W151" s="18" t="b">
        <f>IF(ISNUMBER(INDEX(Exam[Total (%)],MATCH(All[[#This Row],[Student No.]],Exam[Student No.],0))), TRUE, FALSE)</f>
        <v>1</v>
      </c>
      <c r="X151" s="18" t="b">
        <f>IF(ISNUMBER(INDEX(#REF!,MATCH(All[[#This Row],[Student No.]],#REF!,0))),TRUE,FALSE)</f>
        <v>0</v>
      </c>
      <c r="Y151" s="18" t="b">
        <f>IF(ISNUMBER(INDEX(#REF!,MATCH(All[[#This Row],[Student No.]],#REF!,0))),TRUE,FALSE)</f>
        <v>0</v>
      </c>
      <c r="Z151" s="18" t="b">
        <f>IF(All[[#This Row],[Wrote Def]],
IF(INDEX(#REF!, MATCH(All[[#This Row],[Student No.]],#REF!,0))&lt;&gt;All[[#This Row],[Exam/Def]], TRUE, FALSE),
  IF(All[[#This Row],[Wrote Exam]], IF(INDEX(Exam[Total (%)], MATCH(All[[#This Row],[Student No.]],Exam[Student No.],0))&lt;&gt;All[[#This Row],[Exam/Def]],TRUE,FALSE), FALSE))</f>
        <v>0</v>
      </c>
      <c r="AA151" s="18" t="b">
        <f xml:space="preserve">    IF(AND(All[[#This Row],[Exam/Def]]&lt;35,OR(All[[#This Row],[Wrote Exam]],All[[#This Row],[Wrote Def]])), TRUE,FALSE)</f>
        <v>1</v>
      </c>
      <c r="AB151" s="18" t="b">
        <f>IF(AND(All[[#This Row],[Exam &lt; 35%]],All[[#This Row],[Final]]&gt;=50),TRUE,FALSE)</f>
        <v>1</v>
      </c>
      <c r="AC151" s="18"/>
    </row>
    <row r="152" spans="1:29" ht="43.2">
      <c r="A152" s="17" t="s">
        <v>420</v>
      </c>
      <c r="B152" s="17" t="s">
        <v>593</v>
      </c>
      <c r="C152" s="100" t="e">
        <f>IF(All[[#This Row],[Student]],
  IF(ISNA(INDEX(#REF!,MATCH(All[[#This Row],[Student No.]],#REF!,0))),
    "Cannot find student!",
    IF(INDEX(#REF!,MATCH(All[[#This Row],[Student No.]],#REF!,0))="",
      "",
      INDEX(#REF!,MATCH(All[[#This Row],[Student No.]],#REF!,0)))
    ),
  "No student!")</f>
        <v>#REF!</v>
      </c>
      <c r="D152"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52" s="18" t="str">
        <f>IF(All[[#This Row],[Student]],
  IF(ISNA(INDEX(Project[Total (%)],MATCH(All[[#This Row],[Student No.]],Project[Student No.],0))),
    "Cannot find student!",
    IF(INDEX(Project[Total (%)],MATCH(All[[#This Row],[Student No.]],Project[Student No.],0))="",
      "",
      INDEX(Project[Total (%)],MATCH(All[[#This Row],[Student No.]],Project[Student No.],0)))
    ),
  "No student!")</f>
        <v/>
      </c>
      <c r="F152" s="201">
        <f>IF(All[[#This Row],[Wrote Def]], INDEX(#REF!, MATCH(All[[#This Row],[Student No.]],#REF!,0)),
  IF(All[[#This Row],[Wrote Exam]], INDEX(Exam[Total (%)], MATCH(All[[#This Row],[Student No.]], Exam[Student No.],0)),
    ""))</f>
        <v>56</v>
      </c>
      <c r="G152" s="18" t="str">
        <f>IF(AND(All[[#This Row],[Student]], All[[#This Row],[All Components]]),
    IF(NOT(All[Has Test Mark]),ROUND((All[[#This Row],[Engagement]]*$C$5+All[[#This Row],[Project]]*$E$5+All[[#This Row],[Exam/Def]]*$F$5)/($C$5+$E$5+$F$5),0),
      ROUND((All[[#This Row],[Engagement]]*$C$5+All[[#This Row],[Test]]*$D$5+All[[#This Row],[Project]]*$E$5+All[[#This Row],[Exam/Def]]*$F$5)/($C$5+$D$5+$E$5+$F$5),0)
  ),
  "")</f>
        <v/>
      </c>
      <c r="H152" s="18" t="str">
        <f>All[[#This Row],[Course Mark]]</f>
        <v/>
      </c>
      <c r="I152" s="18" t="str">
        <f>IF(All[[#This Row],[Wrote Sup]], INDEX(#REF!,MATCH(All[[#This Row],[Student No.]],#REF!,0)), "")</f>
        <v/>
      </c>
      <c r="J152" s="18" t="str">
        <f>IF(AND(All[[#This Row],[Student]],ISNUMBER(All[[#This Row],[Final]])),_xlfn.RANK.EQ(All[[#This Row],[Final]],All[Final]),"")</f>
        <v/>
      </c>
      <c r="K152" s="31"/>
      <c r="L152" s="18" t="str">
        <f>IF(All[[#This Row],[Student]], IF(All[Wrote Sup],All[Sup],All[[#This Row],[Final]]),"No student")</f>
        <v/>
      </c>
      <c r="M152" s="18" t="str">
        <f>IF(All[[#This Row],[Final]]="","",
  IF(All[[#This Row],[Wrote Sup]],
    IF(All[[#This Row],[Sup]]&lt;50,"FAL","PAS"),
  IF(All[[#This Row],[Exam/Def]]&lt;35, "FSB",
    IF(All[[#This Row],[Final]]&lt;50,"FAL",
    IF(All[[#This Row],[Final]]&gt;=50,"PAS",
  "Error!")))))</f>
        <v/>
      </c>
      <c r="N152" s="18">
        <f>IF(All[[#This Row],[Student]], _xlfn.IFNA(INDEX(captured[Course Mark],MATCH(All[[#This Row],[Student No.]],captured[ID_TEXT],0) &amp; ""), "Cannot find student!"),"No student!")</f>
        <v>70</v>
      </c>
      <c r="O152" s="189" t="str">
        <f>IF(All[[#This Row],[Student]], _xlfn.IFNA(INDEX(captured[Grade],MATCH(All[[#This Row],[Student No.]],captured[ID_TEXT],0)), "Cannot find student!") &amp; "","No student!")</f>
        <v>PAS</v>
      </c>
      <c r="P152"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52" s="18" t="str">
        <f>IF(All[[#This Row],[My Grade]]&lt;&gt;"",IF(All[[#This Row],[My Grade]]&lt;&gt;All[[#This Row],[Cap Grade]],TRUE,FALSE),"")</f>
        <v/>
      </c>
      <c r="R152" s="18" t="b">
        <f>IF(NOT(ISBLANK(All[[#This Row],[Student No.]])),OR(ISNUMBER(FIND("FSB",All[[#This Row],[My Grade]])),ISNUMBER(FIND("PAS", All[[#This Row],[My Grade]])),ISNUMBER(FIND("FAL",All[[#This Row],[My Grade]])),ISNUMBER(FIND("FAB", All[[#This Row],[My Grade]])),COUNTBLANK(All[[#This Row],[My Grade]])=1),FALSE)</f>
        <v>1</v>
      </c>
      <c r="S152" s="18" t="b">
        <f>IF(All[[#This Row],[Student No.]]&lt;&gt;"", TRUE, FALSE)</f>
        <v>1</v>
      </c>
      <c r="T152" s="18" t="b">
        <f>IF(COUNTBLANK(All[[#This Row],[Engagement]:[Exam/Def]])=0,TRUE, FALSE)</f>
        <v>0</v>
      </c>
      <c r="U152" s="18" t="b">
        <f>IF(ISNUMBER(All[[#This Row],[Test]]),TRUE,FALSE)</f>
        <v>0</v>
      </c>
      <c r="V152" s="18" t="e">
        <f>IF((INDEX(Test[Total (%)],MATCH(All[[#This Row],[Student No.]],Test[Student No.],0)))="ABS", TRUE, FALSE)</f>
        <v>#N/A</v>
      </c>
      <c r="W152" s="18" t="b">
        <f>IF(ISNUMBER(INDEX(Exam[Total (%)],MATCH(All[[#This Row],[Student No.]],Exam[Student No.],0))), TRUE, FALSE)</f>
        <v>1</v>
      </c>
      <c r="X152" s="18" t="b">
        <f>IF(ISNUMBER(INDEX(#REF!,MATCH(All[[#This Row],[Student No.]],#REF!,0))),TRUE,FALSE)</f>
        <v>0</v>
      </c>
      <c r="Y152" s="18" t="b">
        <f>IF(ISNUMBER(INDEX(#REF!,MATCH(All[[#This Row],[Student No.]],#REF!,0))),TRUE,FALSE)</f>
        <v>0</v>
      </c>
      <c r="Z152" s="18" t="b">
        <f>IF(All[[#This Row],[Wrote Def]],
IF(INDEX(#REF!, MATCH(All[[#This Row],[Student No.]],#REF!,0))&lt;&gt;All[[#This Row],[Exam/Def]], TRUE, FALSE),
  IF(All[[#This Row],[Wrote Exam]], IF(INDEX(Exam[Total (%)], MATCH(All[[#This Row],[Student No.]],Exam[Student No.],0))&lt;&gt;All[[#This Row],[Exam/Def]],TRUE,FALSE), FALSE))</f>
        <v>0</v>
      </c>
      <c r="AA152" s="18" t="b">
        <f xml:space="preserve">    IF(AND(All[[#This Row],[Exam/Def]]&lt;35,OR(All[[#This Row],[Wrote Exam]],All[[#This Row],[Wrote Def]])), TRUE,FALSE)</f>
        <v>0</v>
      </c>
      <c r="AB152" s="18" t="b">
        <f>IF(AND(All[[#This Row],[Exam &lt; 35%]],All[[#This Row],[Final]]&gt;=50),TRUE,FALSE)</f>
        <v>0</v>
      </c>
      <c r="AC152" s="18"/>
    </row>
    <row r="153" spans="1:29">
      <c r="A153" s="17" t="s">
        <v>421</v>
      </c>
      <c r="B153" s="17" t="s">
        <v>594</v>
      </c>
      <c r="C153" s="100" t="e">
        <f>IF(All[[#This Row],[Student]],
  IF(ISNA(INDEX(#REF!,MATCH(All[[#This Row],[Student No.]],#REF!,0))),
    "Cannot find student!",
    IF(INDEX(#REF!,MATCH(All[[#This Row],[Student No.]],#REF!,0))="",
      "",
      INDEX(#REF!,MATCH(All[[#This Row],[Student No.]],#REF!,0)))
    ),
  "No student!")</f>
        <v>#REF!</v>
      </c>
      <c r="D153"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53" s="18" t="str">
        <f>IF(All[[#This Row],[Student]],
  IF(ISNA(INDEX(Project[Total (%)],MATCH(All[[#This Row],[Student No.]],Project[Student No.],0))),
    "Cannot find student!",
    IF(INDEX(Project[Total (%)],MATCH(All[[#This Row],[Student No.]],Project[Student No.],0))="",
      "",
      INDEX(Project[Total (%)],MATCH(All[[#This Row],[Student No.]],Project[Student No.],0)))
    ),
  "No student!")</f>
        <v/>
      </c>
      <c r="F153" s="201">
        <f>IF(All[[#This Row],[Wrote Def]], INDEX(#REF!, MATCH(All[[#This Row],[Student No.]],#REF!,0)),
  IF(All[[#This Row],[Wrote Exam]], INDEX(Exam[Total (%)], MATCH(All[[#This Row],[Student No.]], Exam[Student No.],0)),
    ""))</f>
        <v>26</v>
      </c>
      <c r="G153" s="18" t="str">
        <f>IF(AND(All[[#This Row],[Student]], All[[#This Row],[All Components]]),
    IF(NOT(All[Has Test Mark]),ROUND((All[[#This Row],[Engagement]]*$C$5+All[[#This Row],[Project]]*$E$5+All[[#This Row],[Exam/Def]]*$F$5)/($C$5+$E$5+$F$5),0),
      ROUND((All[[#This Row],[Engagement]]*$C$5+All[[#This Row],[Test]]*$D$5+All[[#This Row],[Project]]*$E$5+All[[#This Row],[Exam/Def]]*$F$5)/($C$5+$D$5+$E$5+$F$5),0)
  ),
  "")</f>
        <v/>
      </c>
      <c r="H153" s="18" t="str">
        <f>All[[#This Row],[Course Mark]]</f>
        <v/>
      </c>
      <c r="I153" s="18" t="str">
        <f>IF(All[[#This Row],[Wrote Sup]], INDEX(#REF!,MATCH(All[[#This Row],[Student No.]],#REF!,0)), "")</f>
        <v/>
      </c>
      <c r="J153" s="18" t="str">
        <f>IF(AND(All[[#This Row],[Student]],ISNUMBER(All[[#This Row],[Final]])),_xlfn.RANK.EQ(All[[#This Row],[Final]],All[Final]),"")</f>
        <v/>
      </c>
      <c r="K153" s="31"/>
      <c r="L153" s="18" t="str">
        <f>IF(All[[#This Row],[Student]], IF(All[Wrote Sup],All[Sup],All[[#This Row],[Final]]),"No student")</f>
        <v/>
      </c>
      <c r="M153" s="18" t="str">
        <f>IF(All[[#This Row],[Final]]="","",
  IF(All[[#This Row],[Wrote Sup]],
    IF(All[[#This Row],[Sup]]&lt;50,"FAL","PAS"),
  IF(All[[#This Row],[Exam/Def]]&lt;35, "FSB",
    IF(All[[#This Row],[Final]]&lt;50,"FAL",
    IF(All[[#This Row],[Final]]&gt;=50,"PAS",
  "Error!")))))</f>
        <v/>
      </c>
      <c r="N153" s="18">
        <f>IF(All[[#This Row],[Student]], _xlfn.IFNA(INDEX(captured[Course Mark],MATCH(All[[#This Row],[Student No.]],captured[ID_TEXT],0) &amp; ""), "Cannot find student!"),"No student!")</f>
        <v>35</v>
      </c>
      <c r="O153" s="189" t="str">
        <f>IF(All[[#This Row],[Student]], _xlfn.IFNA(INDEX(captured[Grade],MATCH(All[[#This Row],[Student No.]],captured[ID_TEXT],0)), "Cannot find student!") &amp; "","No student!")</f>
        <v>FSB</v>
      </c>
      <c r="P153"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53" s="18" t="str">
        <f>IF(All[[#This Row],[My Grade]]&lt;&gt;"",IF(All[[#This Row],[My Grade]]&lt;&gt;All[[#This Row],[Cap Grade]],TRUE,FALSE),"")</f>
        <v/>
      </c>
      <c r="R153" s="18" t="b">
        <f>IF(NOT(ISBLANK(All[[#This Row],[Student No.]])),OR(ISNUMBER(FIND("FSB",All[[#This Row],[My Grade]])),ISNUMBER(FIND("PAS", All[[#This Row],[My Grade]])),ISNUMBER(FIND("FAL",All[[#This Row],[My Grade]])),ISNUMBER(FIND("FAB", All[[#This Row],[My Grade]])),COUNTBLANK(All[[#This Row],[My Grade]])=1),FALSE)</f>
        <v>1</v>
      </c>
      <c r="S153" s="18" t="b">
        <f>IF(All[[#This Row],[Student No.]]&lt;&gt;"", TRUE, FALSE)</f>
        <v>1</v>
      </c>
      <c r="T153" s="18" t="b">
        <f>IF(COUNTBLANK(All[[#This Row],[Engagement]:[Exam/Def]])=0,TRUE, FALSE)</f>
        <v>0</v>
      </c>
      <c r="U153" s="18" t="b">
        <f>IF(ISNUMBER(All[[#This Row],[Test]]),TRUE,FALSE)</f>
        <v>0</v>
      </c>
      <c r="V153" s="18" t="b">
        <f>IF((INDEX(Test[Total (%)],MATCH(All[[#This Row],[Student No.]],Test[Student No.],0)))="ABS", TRUE, FALSE)</f>
        <v>0</v>
      </c>
      <c r="W153" s="18" t="b">
        <f>IF(ISNUMBER(INDEX(Exam[Total (%)],MATCH(All[[#This Row],[Student No.]],Exam[Student No.],0))), TRUE, FALSE)</f>
        <v>1</v>
      </c>
      <c r="X153" s="18" t="b">
        <f>IF(ISNUMBER(INDEX(#REF!,MATCH(All[[#This Row],[Student No.]],#REF!,0))),TRUE,FALSE)</f>
        <v>0</v>
      </c>
      <c r="Y153" s="18" t="b">
        <f>IF(ISNUMBER(INDEX(#REF!,MATCH(All[[#This Row],[Student No.]],#REF!,0))),TRUE,FALSE)</f>
        <v>0</v>
      </c>
      <c r="Z153" s="18" t="b">
        <f>IF(All[[#This Row],[Wrote Def]],
IF(INDEX(#REF!, MATCH(All[[#This Row],[Student No.]],#REF!,0))&lt;&gt;All[[#This Row],[Exam/Def]], TRUE, FALSE),
  IF(All[[#This Row],[Wrote Exam]], IF(INDEX(Exam[Total (%)], MATCH(All[[#This Row],[Student No.]],Exam[Student No.],0))&lt;&gt;All[[#This Row],[Exam/Def]],TRUE,FALSE), FALSE))</f>
        <v>0</v>
      </c>
      <c r="AA153" s="18" t="b">
        <f xml:space="preserve">    IF(AND(All[[#This Row],[Exam/Def]]&lt;35,OR(All[[#This Row],[Wrote Exam]],All[[#This Row],[Wrote Def]])), TRUE,FALSE)</f>
        <v>1</v>
      </c>
      <c r="AB153" s="18" t="b">
        <f>IF(AND(All[[#This Row],[Exam &lt; 35%]],All[[#This Row],[Final]]&gt;=50),TRUE,FALSE)</f>
        <v>1</v>
      </c>
      <c r="AC153" s="18"/>
    </row>
    <row r="154" spans="1:29" ht="43.2">
      <c r="A154" s="17" t="s">
        <v>422</v>
      </c>
      <c r="B154" s="17" t="s">
        <v>595</v>
      </c>
      <c r="C154" s="100" t="e">
        <f>IF(All[[#This Row],[Student]],
  IF(ISNA(INDEX(#REF!,MATCH(All[[#This Row],[Student No.]],#REF!,0))),
    "Cannot find student!",
    IF(INDEX(#REF!,MATCH(All[[#This Row],[Student No.]],#REF!,0))="",
      "",
      INDEX(#REF!,MATCH(All[[#This Row],[Student No.]],#REF!,0)))
    ),
  "No student!")</f>
        <v>#REF!</v>
      </c>
      <c r="D154"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54" s="18" t="str">
        <f>IF(All[[#This Row],[Student]],
  IF(ISNA(INDEX(Project[Total (%)],MATCH(All[[#This Row],[Student No.]],Project[Student No.],0))),
    "Cannot find student!",
    IF(INDEX(Project[Total (%)],MATCH(All[[#This Row],[Student No.]],Project[Student No.],0))="",
      "",
      INDEX(Project[Total (%)],MATCH(All[[#This Row],[Student No.]],Project[Student No.],0)))
    ),
  "No student!")</f>
        <v/>
      </c>
      <c r="F154" s="201">
        <f>IF(All[[#This Row],[Wrote Def]], INDEX(#REF!, MATCH(All[[#This Row],[Student No.]],#REF!,0)),
  IF(All[[#This Row],[Wrote Exam]], INDEX(Exam[Total (%)], MATCH(All[[#This Row],[Student No.]], Exam[Student No.],0)),
    ""))</f>
        <v>34</v>
      </c>
      <c r="G154" s="18" t="str">
        <f>IF(AND(All[[#This Row],[Student]], All[[#This Row],[All Components]]),
    IF(NOT(All[Has Test Mark]),ROUND((All[[#This Row],[Engagement]]*$C$5+All[[#This Row],[Project]]*$E$5+All[[#This Row],[Exam/Def]]*$F$5)/($C$5+$E$5+$F$5),0),
      ROUND((All[[#This Row],[Engagement]]*$C$5+All[[#This Row],[Test]]*$D$5+All[[#This Row],[Project]]*$E$5+All[[#This Row],[Exam/Def]]*$F$5)/($C$5+$D$5+$E$5+$F$5),0)
  ),
  "")</f>
        <v/>
      </c>
      <c r="H154" s="18" t="str">
        <f>All[[#This Row],[Course Mark]]</f>
        <v/>
      </c>
      <c r="I154" s="18" t="str">
        <f>IF(All[[#This Row],[Wrote Sup]], INDEX(#REF!,MATCH(All[[#This Row],[Student No.]],#REF!,0)), "")</f>
        <v/>
      </c>
      <c r="J154" s="18" t="str">
        <f>IF(AND(All[[#This Row],[Student]],ISNUMBER(All[[#This Row],[Final]])),_xlfn.RANK.EQ(All[[#This Row],[Final]],All[Final]),"")</f>
        <v/>
      </c>
      <c r="K154" s="31"/>
      <c r="L154" s="18" t="str">
        <f>IF(All[[#This Row],[Student]], IF(All[Wrote Sup],All[Sup],All[[#This Row],[Final]]),"No student")</f>
        <v/>
      </c>
      <c r="M154" s="18" t="str">
        <f>IF(All[[#This Row],[Final]]="","",
  IF(All[[#This Row],[Wrote Sup]],
    IF(All[[#This Row],[Sup]]&lt;50,"FAL","PAS"),
  IF(All[[#This Row],[Exam/Def]]&lt;35, "FSB",
    IF(All[[#This Row],[Final]]&lt;50,"FAL",
    IF(All[[#This Row],[Final]]&gt;=50,"PAS",
  "Error!")))))</f>
        <v/>
      </c>
      <c r="N154" s="18">
        <f>IF(All[[#This Row],[Student]], _xlfn.IFNA(INDEX(captured[Course Mark],MATCH(All[[#This Row],[Student No.]],captured[ID_TEXT],0) &amp; ""), "Cannot find student!"),"No student!")</f>
        <v>50</v>
      </c>
      <c r="O154" s="189" t="str">
        <f>IF(All[[#This Row],[Student]], _xlfn.IFNA(INDEX(captured[Grade],MATCH(All[[#This Row],[Student No.]],captured[ID_TEXT],0)), "Cannot find student!") &amp; "","No student!")</f>
        <v/>
      </c>
      <c r="P154"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54" s="18" t="str">
        <f>IF(All[[#This Row],[My Grade]]&lt;&gt;"",IF(All[[#This Row],[My Grade]]&lt;&gt;All[[#This Row],[Cap Grade]],TRUE,FALSE),"")</f>
        <v/>
      </c>
      <c r="R154" s="18" t="b">
        <f>IF(NOT(ISBLANK(All[[#This Row],[Student No.]])),OR(ISNUMBER(FIND("FSB",All[[#This Row],[My Grade]])),ISNUMBER(FIND("PAS", All[[#This Row],[My Grade]])),ISNUMBER(FIND("FAL",All[[#This Row],[My Grade]])),ISNUMBER(FIND("FAB", All[[#This Row],[My Grade]])),COUNTBLANK(All[[#This Row],[My Grade]])=1),FALSE)</f>
        <v>1</v>
      </c>
      <c r="S154" s="18" t="b">
        <f>IF(All[[#This Row],[Student No.]]&lt;&gt;"", TRUE, FALSE)</f>
        <v>1</v>
      </c>
      <c r="T154" s="18" t="b">
        <f>IF(COUNTBLANK(All[[#This Row],[Engagement]:[Exam/Def]])=0,TRUE, FALSE)</f>
        <v>0</v>
      </c>
      <c r="U154" s="18" t="b">
        <f>IF(ISNUMBER(All[[#This Row],[Test]]),TRUE,FALSE)</f>
        <v>0</v>
      </c>
      <c r="V154" s="18" t="e">
        <f>IF((INDEX(Test[Total (%)],MATCH(All[[#This Row],[Student No.]],Test[Student No.],0)))="ABS", TRUE, FALSE)</f>
        <v>#N/A</v>
      </c>
      <c r="W154" s="18" t="b">
        <f>IF(ISNUMBER(INDEX(Exam[Total (%)],MATCH(All[[#This Row],[Student No.]],Exam[Student No.],0))), TRUE, FALSE)</f>
        <v>1</v>
      </c>
      <c r="X154" s="18" t="b">
        <f>IF(ISNUMBER(INDEX(#REF!,MATCH(All[[#This Row],[Student No.]],#REF!,0))),TRUE,FALSE)</f>
        <v>0</v>
      </c>
      <c r="Y154" s="18" t="b">
        <f>IF(ISNUMBER(INDEX(#REF!,MATCH(All[[#This Row],[Student No.]],#REF!,0))),TRUE,FALSE)</f>
        <v>0</v>
      </c>
      <c r="Z154" s="18" t="b">
        <f>IF(All[[#This Row],[Wrote Def]],
IF(INDEX(#REF!, MATCH(All[[#This Row],[Student No.]],#REF!,0))&lt;&gt;All[[#This Row],[Exam/Def]], TRUE, FALSE),
  IF(All[[#This Row],[Wrote Exam]], IF(INDEX(Exam[Total (%)], MATCH(All[[#This Row],[Student No.]],Exam[Student No.],0))&lt;&gt;All[[#This Row],[Exam/Def]],TRUE,FALSE), FALSE))</f>
        <v>0</v>
      </c>
      <c r="AA154" s="18" t="b">
        <f xml:space="preserve">    IF(AND(All[[#This Row],[Exam/Def]]&lt;35,OR(All[[#This Row],[Wrote Exam]],All[[#This Row],[Wrote Def]])), TRUE,FALSE)</f>
        <v>1</v>
      </c>
      <c r="AB154" s="18" t="b">
        <f>IF(AND(All[[#This Row],[Exam &lt; 35%]],All[[#This Row],[Final]]&gt;=50),TRUE,FALSE)</f>
        <v>1</v>
      </c>
      <c r="AC154" s="18"/>
    </row>
    <row r="155" spans="1:29" ht="43.2">
      <c r="A155" s="17" t="s">
        <v>423</v>
      </c>
      <c r="B155" s="17" t="s">
        <v>596</v>
      </c>
      <c r="C155" s="100" t="e">
        <f>IF(All[[#This Row],[Student]],
  IF(ISNA(INDEX(#REF!,MATCH(All[[#This Row],[Student No.]],#REF!,0))),
    "Cannot find student!",
    IF(INDEX(#REF!,MATCH(All[[#This Row],[Student No.]],#REF!,0))="",
      "",
      INDEX(#REF!,MATCH(All[[#This Row],[Student No.]],#REF!,0)))
    ),
  "No student!")</f>
        <v>#REF!</v>
      </c>
      <c r="D155"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55" s="18" t="str">
        <f>IF(All[[#This Row],[Student]],
  IF(ISNA(INDEX(Project[Total (%)],MATCH(All[[#This Row],[Student No.]],Project[Student No.],0))),
    "Cannot find student!",
    IF(INDEX(Project[Total (%)],MATCH(All[[#This Row],[Student No.]],Project[Student No.],0))="",
      "",
      INDEX(Project[Total (%)],MATCH(All[[#This Row],[Student No.]],Project[Student No.],0)))
    ),
  "No student!")</f>
        <v/>
      </c>
      <c r="F155" s="201">
        <f>IF(All[[#This Row],[Wrote Def]], INDEX(#REF!, MATCH(All[[#This Row],[Student No.]],#REF!,0)),
  IF(All[[#This Row],[Wrote Exam]], INDEX(Exam[Total (%)], MATCH(All[[#This Row],[Student No.]], Exam[Student No.],0)),
    ""))</f>
        <v>62</v>
      </c>
      <c r="G155" s="18" t="str">
        <f>IF(AND(All[[#This Row],[Student]], All[[#This Row],[All Components]]),
    IF(NOT(All[Has Test Mark]),ROUND((All[[#This Row],[Engagement]]*$C$5+All[[#This Row],[Project]]*$E$5+All[[#This Row],[Exam/Def]]*$F$5)/($C$5+$E$5+$F$5),0),
      ROUND((All[[#This Row],[Engagement]]*$C$5+All[[#This Row],[Test]]*$D$5+All[[#This Row],[Project]]*$E$5+All[[#This Row],[Exam/Def]]*$F$5)/($C$5+$D$5+$E$5+$F$5),0)
  ),
  "")</f>
        <v/>
      </c>
      <c r="H155" s="18" t="str">
        <f>All[[#This Row],[Course Mark]]</f>
        <v/>
      </c>
      <c r="I155" s="18" t="str">
        <f>IF(All[[#This Row],[Wrote Sup]], INDEX(#REF!,MATCH(All[[#This Row],[Student No.]],#REF!,0)), "")</f>
        <v/>
      </c>
      <c r="J155" s="18" t="str">
        <f>IF(AND(All[[#This Row],[Student]],ISNUMBER(All[[#This Row],[Final]])),_xlfn.RANK.EQ(All[[#This Row],[Final]],All[Final]),"")</f>
        <v/>
      </c>
      <c r="K155" s="31"/>
      <c r="L155" s="18" t="str">
        <f>IF(All[[#This Row],[Student]], IF(All[Wrote Sup],All[Sup],All[[#This Row],[Final]]),"No student")</f>
        <v/>
      </c>
      <c r="M155" s="18" t="str">
        <f>IF(All[[#This Row],[Final]]="","",
  IF(All[[#This Row],[Wrote Sup]],
    IF(All[[#This Row],[Sup]]&lt;50,"FAL","PAS"),
  IF(All[[#This Row],[Exam/Def]]&lt;35, "FSB",
    IF(All[[#This Row],[Final]]&lt;50,"FAL",
    IF(All[[#This Row],[Final]]&gt;=50,"PAS",
  "Error!")))))</f>
        <v/>
      </c>
      <c r="N155" s="18">
        <f>IF(All[[#This Row],[Student]], _xlfn.IFNA(INDEX(captured[Course Mark],MATCH(All[[#This Row],[Student No.]],captured[ID_TEXT],0) &amp; ""), "Cannot find student!"),"No student!")</f>
        <v>59</v>
      </c>
      <c r="O155" s="189" t="str">
        <f>IF(All[[#This Row],[Student]], _xlfn.IFNA(INDEX(captured[Grade],MATCH(All[[#This Row],[Student No.]],captured[ID_TEXT],0)), "Cannot find student!") &amp; "","No student!")</f>
        <v>PAS</v>
      </c>
      <c r="P155"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55" s="18" t="str">
        <f>IF(All[[#This Row],[My Grade]]&lt;&gt;"",IF(All[[#This Row],[My Grade]]&lt;&gt;All[[#This Row],[Cap Grade]],TRUE,FALSE),"")</f>
        <v/>
      </c>
      <c r="R155" s="18" t="b">
        <f>IF(NOT(ISBLANK(All[[#This Row],[Student No.]])),OR(ISNUMBER(FIND("FSB",All[[#This Row],[My Grade]])),ISNUMBER(FIND("PAS", All[[#This Row],[My Grade]])),ISNUMBER(FIND("FAL",All[[#This Row],[My Grade]])),ISNUMBER(FIND("FAB", All[[#This Row],[My Grade]])),COUNTBLANK(All[[#This Row],[My Grade]])=1),FALSE)</f>
        <v>1</v>
      </c>
      <c r="S155" s="18" t="b">
        <f>IF(All[[#This Row],[Student No.]]&lt;&gt;"", TRUE, FALSE)</f>
        <v>1</v>
      </c>
      <c r="T155" s="18" t="b">
        <f>IF(COUNTBLANK(All[[#This Row],[Engagement]:[Exam/Def]])=0,TRUE, FALSE)</f>
        <v>0</v>
      </c>
      <c r="U155" s="18" t="b">
        <f>IF(ISNUMBER(All[[#This Row],[Test]]),TRUE,FALSE)</f>
        <v>0</v>
      </c>
      <c r="V155" s="18" t="e">
        <f>IF((INDEX(Test[Total (%)],MATCH(All[[#This Row],[Student No.]],Test[Student No.],0)))="ABS", TRUE, FALSE)</f>
        <v>#N/A</v>
      </c>
      <c r="W155" s="18" t="b">
        <f>IF(ISNUMBER(INDEX(Exam[Total (%)],MATCH(All[[#This Row],[Student No.]],Exam[Student No.],0))), TRUE, FALSE)</f>
        <v>1</v>
      </c>
      <c r="X155" s="18" t="b">
        <f>IF(ISNUMBER(INDEX(#REF!,MATCH(All[[#This Row],[Student No.]],#REF!,0))),TRUE,FALSE)</f>
        <v>0</v>
      </c>
      <c r="Y155" s="18" t="b">
        <f>IF(ISNUMBER(INDEX(#REF!,MATCH(All[[#This Row],[Student No.]],#REF!,0))),TRUE,FALSE)</f>
        <v>0</v>
      </c>
      <c r="Z155" s="18" t="b">
        <f>IF(All[[#This Row],[Wrote Def]],
IF(INDEX(#REF!, MATCH(All[[#This Row],[Student No.]],#REF!,0))&lt;&gt;All[[#This Row],[Exam/Def]], TRUE, FALSE),
  IF(All[[#This Row],[Wrote Exam]], IF(INDEX(Exam[Total (%)], MATCH(All[[#This Row],[Student No.]],Exam[Student No.],0))&lt;&gt;All[[#This Row],[Exam/Def]],TRUE,FALSE), FALSE))</f>
        <v>0</v>
      </c>
      <c r="AA155" s="18" t="b">
        <f xml:space="preserve">    IF(AND(All[[#This Row],[Exam/Def]]&lt;35,OR(All[[#This Row],[Wrote Exam]],All[[#This Row],[Wrote Def]])), TRUE,FALSE)</f>
        <v>0</v>
      </c>
      <c r="AB155" s="18" t="b">
        <f>IF(AND(All[[#This Row],[Exam &lt; 35%]],All[[#This Row],[Final]]&gt;=50),TRUE,FALSE)</f>
        <v>0</v>
      </c>
      <c r="AC155" s="18"/>
    </row>
    <row r="156" spans="1:29" ht="43.2">
      <c r="A156" s="17" t="s">
        <v>424</v>
      </c>
      <c r="B156" s="17" t="s">
        <v>597</v>
      </c>
      <c r="C156" s="100" t="e">
        <f>IF(All[[#This Row],[Student]],
  IF(ISNA(INDEX(#REF!,MATCH(All[[#This Row],[Student No.]],#REF!,0))),
    "Cannot find student!",
    IF(INDEX(#REF!,MATCH(All[[#This Row],[Student No.]],#REF!,0))="",
      "",
      INDEX(#REF!,MATCH(All[[#This Row],[Student No.]],#REF!,0)))
    ),
  "No student!")</f>
        <v>#REF!</v>
      </c>
      <c r="D156"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56" s="18" t="str">
        <f>IF(All[[#This Row],[Student]],
  IF(ISNA(INDEX(Project[Total (%)],MATCH(All[[#This Row],[Student No.]],Project[Student No.],0))),
    "Cannot find student!",
    IF(INDEX(Project[Total (%)],MATCH(All[[#This Row],[Student No.]],Project[Student No.],0))="",
      "",
      INDEX(Project[Total (%)],MATCH(All[[#This Row],[Student No.]],Project[Student No.],0)))
    ),
  "No student!")</f>
        <v/>
      </c>
      <c r="F156" s="201">
        <f>IF(All[[#This Row],[Wrote Def]], INDEX(#REF!, MATCH(All[[#This Row],[Student No.]],#REF!,0)),
  IF(All[[#This Row],[Wrote Exam]], INDEX(Exam[Total (%)], MATCH(All[[#This Row],[Student No.]], Exam[Student No.],0)),
    ""))</f>
        <v>26</v>
      </c>
      <c r="G156" s="18" t="str">
        <f>IF(AND(All[[#This Row],[Student]], All[[#This Row],[All Components]]),
    IF(NOT(All[Has Test Mark]),ROUND((All[[#This Row],[Engagement]]*$C$5+All[[#This Row],[Project]]*$E$5+All[[#This Row],[Exam/Def]]*$F$5)/($C$5+$E$5+$F$5),0),
      ROUND((All[[#This Row],[Engagement]]*$C$5+All[[#This Row],[Test]]*$D$5+All[[#This Row],[Project]]*$E$5+All[[#This Row],[Exam/Def]]*$F$5)/($C$5+$D$5+$E$5+$F$5),0)
  ),
  "")</f>
        <v/>
      </c>
      <c r="H156" s="18" t="str">
        <f>All[[#This Row],[Course Mark]]</f>
        <v/>
      </c>
      <c r="I156" s="18" t="str">
        <f>IF(All[[#This Row],[Wrote Sup]], INDEX(#REF!,MATCH(All[[#This Row],[Student No.]],#REF!,0)), "")</f>
        <v/>
      </c>
      <c r="J156" s="18" t="str">
        <f>IF(AND(All[[#This Row],[Student]],ISNUMBER(All[[#This Row],[Final]])),_xlfn.RANK.EQ(All[[#This Row],[Final]],All[Final]),"")</f>
        <v/>
      </c>
      <c r="K156" s="31"/>
      <c r="L156" s="18" t="str">
        <f>IF(All[[#This Row],[Student]], IF(All[Wrote Sup],All[Sup],All[[#This Row],[Final]]),"No student")</f>
        <v/>
      </c>
      <c r="M156" s="18" t="str">
        <f>IF(All[[#This Row],[Final]]="","",
  IF(All[[#This Row],[Wrote Sup]],
    IF(All[[#This Row],[Sup]]&lt;50,"FAL","PAS"),
  IF(All[[#This Row],[Exam/Def]]&lt;35, "FSB",
    IF(All[[#This Row],[Final]]&lt;50,"FAL",
    IF(All[[#This Row],[Final]]&gt;=50,"PAS",
  "Error!")))))</f>
        <v/>
      </c>
      <c r="N156" s="18">
        <f>IF(All[[#This Row],[Student]], _xlfn.IFNA(INDEX(captured[Course Mark],MATCH(All[[#This Row],[Student No.]],captured[ID_TEXT],0) &amp; ""), "Cannot find student!"),"No student!")</f>
        <v>50</v>
      </c>
      <c r="O156" s="189" t="str">
        <f>IF(All[[#This Row],[Student]], _xlfn.IFNA(INDEX(captured[Grade],MATCH(All[[#This Row],[Student No.]],captured[ID_TEXT],0)), "Cannot find student!") &amp; "","No student!")</f>
        <v/>
      </c>
      <c r="P156"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56" s="18" t="str">
        <f>IF(All[[#This Row],[My Grade]]&lt;&gt;"",IF(All[[#This Row],[My Grade]]&lt;&gt;All[[#This Row],[Cap Grade]],TRUE,FALSE),"")</f>
        <v/>
      </c>
      <c r="R156" s="18" t="b">
        <f>IF(NOT(ISBLANK(All[[#This Row],[Student No.]])),OR(ISNUMBER(FIND("FSB",All[[#This Row],[My Grade]])),ISNUMBER(FIND("PAS", All[[#This Row],[My Grade]])),ISNUMBER(FIND("FAL",All[[#This Row],[My Grade]])),ISNUMBER(FIND("FAB", All[[#This Row],[My Grade]])),COUNTBLANK(All[[#This Row],[My Grade]])=1),FALSE)</f>
        <v>1</v>
      </c>
      <c r="S156" s="18" t="b">
        <f>IF(All[[#This Row],[Student No.]]&lt;&gt;"", TRUE, FALSE)</f>
        <v>1</v>
      </c>
      <c r="T156" s="18" t="b">
        <f>IF(COUNTBLANK(All[[#This Row],[Engagement]:[Exam/Def]])=0,TRUE, FALSE)</f>
        <v>0</v>
      </c>
      <c r="U156" s="18" t="b">
        <f>IF(ISNUMBER(All[[#This Row],[Test]]),TRUE,FALSE)</f>
        <v>0</v>
      </c>
      <c r="V156" s="18" t="e">
        <f>IF((INDEX(Test[Total (%)],MATCH(All[[#This Row],[Student No.]],Test[Student No.],0)))="ABS", TRUE, FALSE)</f>
        <v>#N/A</v>
      </c>
      <c r="W156" s="18" t="b">
        <f>IF(ISNUMBER(INDEX(Exam[Total (%)],MATCH(All[[#This Row],[Student No.]],Exam[Student No.],0))), TRUE, FALSE)</f>
        <v>1</v>
      </c>
      <c r="X156" s="18" t="b">
        <f>IF(ISNUMBER(INDEX(#REF!,MATCH(All[[#This Row],[Student No.]],#REF!,0))),TRUE,FALSE)</f>
        <v>0</v>
      </c>
      <c r="Y156" s="18" t="b">
        <f>IF(ISNUMBER(INDEX(#REF!,MATCH(All[[#This Row],[Student No.]],#REF!,0))),TRUE,FALSE)</f>
        <v>0</v>
      </c>
      <c r="Z156" s="18" t="b">
        <f>IF(All[[#This Row],[Wrote Def]],
IF(INDEX(#REF!, MATCH(All[[#This Row],[Student No.]],#REF!,0))&lt;&gt;All[[#This Row],[Exam/Def]], TRUE, FALSE),
  IF(All[[#This Row],[Wrote Exam]], IF(INDEX(Exam[Total (%)], MATCH(All[[#This Row],[Student No.]],Exam[Student No.],0))&lt;&gt;All[[#This Row],[Exam/Def]],TRUE,FALSE), FALSE))</f>
        <v>0</v>
      </c>
      <c r="AA156" s="18" t="b">
        <f xml:space="preserve">    IF(AND(All[[#This Row],[Exam/Def]]&lt;35,OR(All[[#This Row],[Wrote Exam]],All[[#This Row],[Wrote Def]])), TRUE,FALSE)</f>
        <v>1</v>
      </c>
      <c r="AB156" s="18" t="b">
        <f>IF(AND(All[[#This Row],[Exam &lt; 35%]],All[[#This Row],[Final]]&gt;=50),TRUE,FALSE)</f>
        <v>1</v>
      </c>
      <c r="AC156" s="18"/>
    </row>
    <row r="157" spans="1:29">
      <c r="A157" s="17" t="s">
        <v>425</v>
      </c>
      <c r="B157" s="17" t="s">
        <v>598</v>
      </c>
      <c r="C157" s="100" t="e">
        <f>IF(All[[#This Row],[Student]],
  IF(ISNA(INDEX(#REF!,MATCH(All[[#This Row],[Student No.]],#REF!,0))),
    "Cannot find student!",
    IF(INDEX(#REF!,MATCH(All[[#This Row],[Student No.]],#REF!,0))="",
      "",
      INDEX(#REF!,MATCH(All[[#This Row],[Student No.]],#REF!,0)))
    ),
  "No student!")</f>
        <v>#REF!</v>
      </c>
      <c r="D157"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57" s="18" t="str">
        <f>IF(All[[#This Row],[Student]],
  IF(ISNA(INDEX(Project[Total (%)],MATCH(All[[#This Row],[Student No.]],Project[Student No.],0))),
    "Cannot find student!",
    IF(INDEX(Project[Total (%)],MATCH(All[[#This Row],[Student No.]],Project[Student No.],0))="",
      "",
      INDEX(Project[Total (%)],MATCH(All[[#This Row],[Student No.]],Project[Student No.],0)))
    ),
  "No student!")</f>
        <v/>
      </c>
      <c r="F157" s="201">
        <f>IF(All[[#This Row],[Wrote Def]], INDEX(#REF!, MATCH(All[[#This Row],[Student No.]],#REF!,0)),
  IF(All[[#This Row],[Wrote Exam]], INDEX(Exam[Total (%)], MATCH(All[[#This Row],[Student No.]], Exam[Student No.],0)),
    ""))</f>
        <v>27</v>
      </c>
      <c r="G157" s="18" t="str">
        <f>IF(AND(All[[#This Row],[Student]], All[[#This Row],[All Components]]),
    IF(NOT(All[Has Test Mark]),ROUND((All[[#This Row],[Engagement]]*$C$5+All[[#This Row],[Project]]*$E$5+All[[#This Row],[Exam/Def]]*$F$5)/($C$5+$E$5+$F$5),0),
      ROUND((All[[#This Row],[Engagement]]*$C$5+All[[#This Row],[Test]]*$D$5+All[[#This Row],[Project]]*$E$5+All[[#This Row],[Exam/Def]]*$F$5)/($C$5+$D$5+$E$5+$F$5),0)
  ),
  "")</f>
        <v/>
      </c>
      <c r="H157" s="18" t="str">
        <f>All[[#This Row],[Course Mark]]</f>
        <v/>
      </c>
      <c r="I157" s="18" t="str">
        <f>IF(All[[#This Row],[Wrote Sup]], INDEX(#REF!,MATCH(All[[#This Row],[Student No.]],#REF!,0)), "")</f>
        <v/>
      </c>
      <c r="J157" s="18" t="str">
        <f>IF(AND(All[[#This Row],[Student]],ISNUMBER(All[[#This Row],[Final]])),_xlfn.RANK.EQ(All[[#This Row],[Final]],All[Final]),"")</f>
        <v/>
      </c>
      <c r="K157" s="31"/>
      <c r="L157" s="18" t="str">
        <f>IF(All[[#This Row],[Student]], IF(All[Wrote Sup],All[Sup],All[[#This Row],[Final]]),"No student")</f>
        <v/>
      </c>
      <c r="M157" s="18" t="str">
        <f>IF(All[[#This Row],[Final]]="","",
  IF(All[[#This Row],[Wrote Sup]],
    IF(All[[#This Row],[Sup]]&lt;50,"FAL","PAS"),
  IF(All[[#This Row],[Exam/Def]]&lt;35, "FSB",
    IF(All[[#This Row],[Final]]&lt;50,"FAL",
    IF(All[[#This Row],[Final]]&gt;=50,"PAS",
  "Error!")))))</f>
        <v/>
      </c>
      <c r="N157" s="18">
        <f>IF(All[[#This Row],[Student]], _xlfn.IFNA(INDEX(captured[Course Mark],MATCH(All[[#This Row],[Student No.]],captured[ID_TEXT],0) &amp; ""), "Cannot find student!"),"No student!")</f>
        <v>35</v>
      </c>
      <c r="O157" s="189" t="str">
        <f>IF(All[[#This Row],[Student]], _xlfn.IFNA(INDEX(captured[Grade],MATCH(All[[#This Row],[Student No.]],captured[ID_TEXT],0)), "Cannot find student!") &amp; "","No student!")</f>
        <v/>
      </c>
      <c r="P157"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57" s="18" t="str">
        <f>IF(All[[#This Row],[My Grade]]&lt;&gt;"",IF(All[[#This Row],[My Grade]]&lt;&gt;All[[#This Row],[Cap Grade]],TRUE,FALSE),"")</f>
        <v/>
      </c>
      <c r="R157" s="18" t="b">
        <f>IF(NOT(ISBLANK(All[[#This Row],[Student No.]])),OR(ISNUMBER(FIND("FSB",All[[#This Row],[My Grade]])),ISNUMBER(FIND("PAS", All[[#This Row],[My Grade]])),ISNUMBER(FIND("FAL",All[[#This Row],[My Grade]])),ISNUMBER(FIND("FAB", All[[#This Row],[My Grade]])),COUNTBLANK(All[[#This Row],[My Grade]])=1),FALSE)</f>
        <v>1</v>
      </c>
      <c r="S157" s="18" t="b">
        <f>IF(All[[#This Row],[Student No.]]&lt;&gt;"", TRUE, FALSE)</f>
        <v>1</v>
      </c>
      <c r="T157" s="18" t="b">
        <f>IF(COUNTBLANK(All[[#This Row],[Engagement]:[Exam/Def]])=0,TRUE, FALSE)</f>
        <v>0</v>
      </c>
      <c r="U157" s="18" t="b">
        <f>IF(ISNUMBER(All[[#This Row],[Test]]),TRUE,FALSE)</f>
        <v>0</v>
      </c>
      <c r="V157" s="18" t="b">
        <f>IF((INDEX(Test[Total (%)],MATCH(All[[#This Row],[Student No.]],Test[Student No.],0)))="ABS", TRUE, FALSE)</f>
        <v>0</v>
      </c>
      <c r="W157" s="18" t="b">
        <f>IF(ISNUMBER(INDEX(Exam[Total (%)],MATCH(All[[#This Row],[Student No.]],Exam[Student No.],0))), TRUE, FALSE)</f>
        <v>1</v>
      </c>
      <c r="X157" s="18" t="b">
        <f>IF(ISNUMBER(INDEX(#REF!,MATCH(All[[#This Row],[Student No.]],#REF!,0))),TRUE,FALSE)</f>
        <v>0</v>
      </c>
      <c r="Y157" s="18" t="b">
        <f>IF(ISNUMBER(INDEX(#REF!,MATCH(All[[#This Row],[Student No.]],#REF!,0))),TRUE,FALSE)</f>
        <v>0</v>
      </c>
      <c r="Z157" s="18" t="b">
        <f>IF(All[[#This Row],[Wrote Def]],
IF(INDEX(#REF!, MATCH(All[[#This Row],[Student No.]],#REF!,0))&lt;&gt;All[[#This Row],[Exam/Def]], TRUE, FALSE),
  IF(All[[#This Row],[Wrote Exam]], IF(INDEX(Exam[Total (%)], MATCH(All[[#This Row],[Student No.]],Exam[Student No.],0))&lt;&gt;All[[#This Row],[Exam/Def]],TRUE,FALSE), FALSE))</f>
        <v>0</v>
      </c>
      <c r="AA157" s="18" t="b">
        <f xml:space="preserve">    IF(AND(All[[#This Row],[Exam/Def]]&lt;35,OR(All[[#This Row],[Wrote Exam]],All[[#This Row],[Wrote Def]])), TRUE,FALSE)</f>
        <v>1</v>
      </c>
      <c r="AB157" s="18" t="b">
        <f>IF(AND(All[[#This Row],[Exam &lt; 35%]],All[[#This Row],[Final]]&gt;=50),TRUE,FALSE)</f>
        <v>1</v>
      </c>
      <c r="AC157" s="18"/>
    </row>
    <row r="158" spans="1:29" ht="43.2">
      <c r="A158" s="17" t="s">
        <v>426</v>
      </c>
      <c r="B158" s="17" t="s">
        <v>599</v>
      </c>
      <c r="C158" s="100" t="e">
        <f>IF(All[[#This Row],[Student]],
  IF(ISNA(INDEX(#REF!,MATCH(All[[#This Row],[Student No.]],#REF!,0))),
    "Cannot find student!",
    IF(INDEX(#REF!,MATCH(All[[#This Row],[Student No.]],#REF!,0))="",
      "",
      INDEX(#REF!,MATCH(All[[#This Row],[Student No.]],#REF!,0)))
    ),
  "No student!")</f>
        <v>#REF!</v>
      </c>
      <c r="D158"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58" s="18" t="str">
        <f>IF(All[[#This Row],[Student]],
  IF(ISNA(INDEX(Project[Total (%)],MATCH(All[[#This Row],[Student No.]],Project[Student No.],0))),
    "Cannot find student!",
    IF(INDEX(Project[Total (%)],MATCH(All[[#This Row],[Student No.]],Project[Student No.],0))="",
      "",
      INDEX(Project[Total (%)],MATCH(All[[#This Row],[Student No.]],Project[Student No.],0)))
    ),
  "No student!")</f>
        <v/>
      </c>
      <c r="F158" s="201" t="str">
        <f>IF(All[[#This Row],[Wrote Def]], INDEX(#REF!, MATCH(All[[#This Row],[Student No.]],#REF!,0)),
  IF(All[[#This Row],[Wrote Exam]], INDEX(Exam[Total (%)], MATCH(All[[#This Row],[Student No.]], Exam[Student No.],0)),
    ""))</f>
        <v/>
      </c>
      <c r="G158" s="18" t="str">
        <f>IF(AND(All[[#This Row],[Student]], All[[#This Row],[All Components]]),
    IF(NOT(All[Has Test Mark]),ROUND((All[[#This Row],[Engagement]]*$C$5+All[[#This Row],[Project]]*$E$5+All[[#This Row],[Exam/Def]]*$F$5)/($C$5+$E$5+$F$5),0),
      ROUND((All[[#This Row],[Engagement]]*$C$5+All[[#This Row],[Test]]*$D$5+All[[#This Row],[Project]]*$E$5+All[[#This Row],[Exam/Def]]*$F$5)/($C$5+$D$5+$E$5+$F$5),0)
  ),
  "")</f>
        <v/>
      </c>
      <c r="H158" s="18" t="str">
        <f>All[[#This Row],[Course Mark]]</f>
        <v/>
      </c>
      <c r="I158" s="18" t="str">
        <f>IF(All[[#This Row],[Wrote Sup]], INDEX(#REF!,MATCH(All[[#This Row],[Student No.]],#REF!,0)), "")</f>
        <v/>
      </c>
      <c r="J158" s="18" t="str">
        <f>IF(AND(All[[#This Row],[Student]],ISNUMBER(All[[#This Row],[Final]])),_xlfn.RANK.EQ(All[[#This Row],[Final]],All[Final]),"")</f>
        <v/>
      </c>
      <c r="K158" s="31"/>
      <c r="L158" s="18" t="str">
        <f>IF(All[[#This Row],[Student]], IF(All[Wrote Sup],All[Sup],All[[#This Row],[Final]]),"No student")</f>
        <v/>
      </c>
      <c r="M158" s="18" t="str">
        <f>IF(All[[#This Row],[Final]]="","",
  IF(All[[#This Row],[Wrote Sup]],
    IF(All[[#This Row],[Sup]]&lt;50,"FAL","PAS"),
  IF(All[[#This Row],[Exam/Def]]&lt;35, "FSB",
    IF(All[[#This Row],[Final]]&lt;50,"FAL",
    IF(All[[#This Row],[Final]]&gt;=50,"PAS",
  "Error!")))))</f>
        <v/>
      </c>
      <c r="N158" s="18" t="str">
        <f>IF(All[[#This Row],[Student]], _xlfn.IFNA(INDEX(captured[Course Mark],MATCH(All[[#This Row],[Student No.]],captured[ID_TEXT],0) &amp; ""), "Cannot find student!"),"No student!")</f>
        <v>FABS</v>
      </c>
      <c r="O158" s="189" t="str">
        <f>IF(All[[#This Row],[Student]], _xlfn.IFNA(INDEX(captured[Grade],MATCH(All[[#This Row],[Student No.]],captured[ID_TEXT],0)), "Cannot find student!") &amp; "","No student!")</f>
        <v>FAB</v>
      </c>
      <c r="P158" s="18" t="b">
        <f xml:space="preserve"> IF(AND(ISNUMBER(All[[#This Row],[Cap Mark]]), ISNUMBER(All[[#This Row],[My Mark]])), ABS(All[[#This Row],[Cap Mark]] - All[[#This Row],[My Mark]]) &lt;&gt; 0,
    IF(AND(ISNUMBER(All[[#This Row],[My Mark]]),NOT(ISNUMBER(All[[#This Row],[Cap Mark]]))),TRUE,
    IF(AND(ISNUMBER(All[[#This Row],[Cap Mark]]),NOT(ISNUMBER(All[[#This Row],[My Mark]]))),TRUE,FALSE)
    ))</f>
        <v>0</v>
      </c>
      <c r="Q158" s="18" t="str">
        <f>IF(All[[#This Row],[My Grade]]&lt;&gt;"",IF(All[[#This Row],[My Grade]]&lt;&gt;All[[#This Row],[Cap Grade]],TRUE,FALSE),"")</f>
        <v/>
      </c>
      <c r="R158" s="18" t="b">
        <f>IF(NOT(ISBLANK(All[[#This Row],[Student No.]])),OR(ISNUMBER(FIND("FSB",All[[#This Row],[My Grade]])),ISNUMBER(FIND("PAS", All[[#This Row],[My Grade]])),ISNUMBER(FIND("FAL",All[[#This Row],[My Grade]])),ISNUMBER(FIND("FAB", All[[#This Row],[My Grade]])),COUNTBLANK(All[[#This Row],[My Grade]])=1),FALSE)</f>
        <v>1</v>
      </c>
      <c r="S158" s="18" t="b">
        <f>IF(All[[#This Row],[Student No.]]&lt;&gt;"", TRUE, FALSE)</f>
        <v>1</v>
      </c>
      <c r="T158" s="18" t="b">
        <f>IF(COUNTBLANK(All[[#This Row],[Engagement]:[Exam/Def]])=0,TRUE, FALSE)</f>
        <v>0</v>
      </c>
      <c r="U158" s="18" t="b">
        <f>IF(ISNUMBER(All[[#This Row],[Test]]),TRUE,FALSE)</f>
        <v>0</v>
      </c>
      <c r="V158" s="18" t="e">
        <f>IF((INDEX(Test[Total (%)],MATCH(All[[#This Row],[Student No.]],Test[Student No.],0)))="ABS", TRUE, FALSE)</f>
        <v>#N/A</v>
      </c>
      <c r="W158" s="18" t="b">
        <f>IF(ISNUMBER(INDEX(Exam[Total (%)],MATCH(All[[#This Row],[Student No.]],Exam[Student No.],0))), TRUE, FALSE)</f>
        <v>0</v>
      </c>
      <c r="X158" s="18" t="b">
        <f>IF(ISNUMBER(INDEX(#REF!,MATCH(All[[#This Row],[Student No.]],#REF!,0))),TRUE,FALSE)</f>
        <v>0</v>
      </c>
      <c r="Y158" s="18" t="b">
        <f>IF(ISNUMBER(INDEX(#REF!,MATCH(All[[#This Row],[Student No.]],#REF!,0))),TRUE,FALSE)</f>
        <v>0</v>
      </c>
      <c r="Z158" s="18" t="b">
        <f>IF(All[[#This Row],[Wrote Def]],
IF(INDEX(#REF!, MATCH(All[[#This Row],[Student No.]],#REF!,0))&lt;&gt;All[[#This Row],[Exam/Def]], TRUE, FALSE),
  IF(All[[#This Row],[Wrote Exam]], IF(INDEX(Exam[Total (%)], MATCH(All[[#This Row],[Student No.]],Exam[Student No.],0))&lt;&gt;All[[#This Row],[Exam/Def]],TRUE,FALSE), FALSE))</f>
        <v>0</v>
      </c>
      <c r="AA158" s="18" t="b">
        <f xml:space="preserve">    IF(AND(All[[#This Row],[Exam/Def]]&lt;35,OR(All[[#This Row],[Wrote Exam]],All[[#This Row],[Wrote Def]])), TRUE,FALSE)</f>
        <v>0</v>
      </c>
      <c r="AB158" s="18" t="b">
        <f>IF(AND(All[[#This Row],[Exam &lt; 35%]],All[[#This Row],[Final]]&gt;=50),TRUE,FALSE)</f>
        <v>0</v>
      </c>
      <c r="AC158" s="18"/>
    </row>
    <row r="159" spans="1:29">
      <c r="A159" s="17" t="s">
        <v>427</v>
      </c>
      <c r="B159" s="17" t="s">
        <v>600</v>
      </c>
      <c r="C159" s="100" t="e">
        <f>IF(All[[#This Row],[Student]],
  IF(ISNA(INDEX(#REF!,MATCH(All[[#This Row],[Student No.]],#REF!,0))),
    "Cannot find student!",
    IF(INDEX(#REF!,MATCH(All[[#This Row],[Student No.]],#REF!,0))="",
      "",
      INDEX(#REF!,MATCH(All[[#This Row],[Student No.]],#REF!,0)))
    ),
  "No student!")</f>
        <v>#REF!</v>
      </c>
      <c r="D159"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59" s="18" t="str">
        <f>IF(All[[#This Row],[Student]],
  IF(ISNA(INDEX(Project[Total (%)],MATCH(All[[#This Row],[Student No.]],Project[Student No.],0))),
    "Cannot find student!",
    IF(INDEX(Project[Total (%)],MATCH(All[[#This Row],[Student No.]],Project[Student No.],0))="",
      "",
      INDEX(Project[Total (%)],MATCH(All[[#This Row],[Student No.]],Project[Student No.],0)))
    ),
  "No student!")</f>
        <v/>
      </c>
      <c r="F159" s="201">
        <f>IF(All[[#This Row],[Wrote Def]], INDEX(#REF!, MATCH(All[[#This Row],[Student No.]],#REF!,0)),
  IF(All[[#This Row],[Wrote Exam]], INDEX(Exam[Total (%)], MATCH(All[[#This Row],[Student No.]], Exam[Student No.],0)),
    ""))</f>
        <v>31</v>
      </c>
      <c r="G159" s="18" t="str">
        <f>IF(AND(All[[#This Row],[Student]], All[[#This Row],[All Components]]),
    IF(NOT(All[Has Test Mark]),ROUND((All[[#This Row],[Engagement]]*$C$5+All[[#This Row],[Project]]*$E$5+All[[#This Row],[Exam/Def]]*$F$5)/($C$5+$E$5+$F$5),0),
      ROUND((All[[#This Row],[Engagement]]*$C$5+All[[#This Row],[Test]]*$D$5+All[[#This Row],[Project]]*$E$5+All[[#This Row],[Exam/Def]]*$F$5)/($C$5+$D$5+$E$5+$F$5),0)
  ),
  "")</f>
        <v/>
      </c>
      <c r="H159" s="18" t="str">
        <f>All[[#This Row],[Course Mark]]</f>
        <v/>
      </c>
      <c r="I159" s="18" t="str">
        <f>IF(All[[#This Row],[Wrote Sup]], INDEX(#REF!,MATCH(All[[#This Row],[Student No.]],#REF!,0)), "")</f>
        <v/>
      </c>
      <c r="J159" s="18" t="str">
        <f>IF(AND(All[[#This Row],[Student]],ISNUMBER(All[[#This Row],[Final]])),_xlfn.RANK.EQ(All[[#This Row],[Final]],All[Final]),"")</f>
        <v/>
      </c>
      <c r="K159" s="31"/>
      <c r="L159" s="18" t="str">
        <f>IF(All[[#This Row],[Student]], IF(All[Wrote Sup],All[Sup],All[[#This Row],[Final]]),"No student")</f>
        <v/>
      </c>
      <c r="M159" s="18" t="str">
        <f>IF(All[[#This Row],[Final]]="","",
  IF(All[[#This Row],[Wrote Sup]],
    IF(All[[#This Row],[Sup]]&lt;50,"FAL","PAS"),
  IF(All[[#This Row],[Exam/Def]]&lt;35, "FSB",
    IF(All[[#This Row],[Final]]&lt;50,"FAL",
    IF(All[[#This Row],[Final]]&gt;=50,"PAS",
  "Error!")))))</f>
        <v/>
      </c>
      <c r="N159" s="18">
        <f>IF(All[[#This Row],[Student]], _xlfn.IFNA(INDEX(captured[Course Mark],MATCH(All[[#This Row],[Student No.]],captured[ID_TEXT],0) &amp; ""), "Cannot find student!"),"No student!")</f>
        <v>30</v>
      </c>
      <c r="O159" s="189" t="str">
        <f>IF(All[[#This Row],[Student]], _xlfn.IFNA(INDEX(captured[Grade],MATCH(All[[#This Row],[Student No.]],captured[ID_TEXT],0)), "Cannot find student!") &amp; "","No student!")</f>
        <v>FSB</v>
      </c>
      <c r="P159"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59" s="18" t="str">
        <f>IF(All[[#This Row],[My Grade]]&lt;&gt;"",IF(All[[#This Row],[My Grade]]&lt;&gt;All[[#This Row],[Cap Grade]],TRUE,FALSE),"")</f>
        <v/>
      </c>
      <c r="R159" s="18" t="b">
        <f>IF(NOT(ISBLANK(All[[#This Row],[Student No.]])),OR(ISNUMBER(FIND("FSB",All[[#This Row],[My Grade]])),ISNUMBER(FIND("PAS", All[[#This Row],[My Grade]])),ISNUMBER(FIND("FAL",All[[#This Row],[My Grade]])),ISNUMBER(FIND("FAB", All[[#This Row],[My Grade]])),COUNTBLANK(All[[#This Row],[My Grade]])=1),FALSE)</f>
        <v>1</v>
      </c>
      <c r="S159" s="18" t="b">
        <f>IF(All[[#This Row],[Student No.]]&lt;&gt;"", TRUE, FALSE)</f>
        <v>1</v>
      </c>
      <c r="T159" s="18" t="b">
        <f>IF(COUNTBLANK(All[[#This Row],[Engagement]:[Exam/Def]])=0,TRUE, FALSE)</f>
        <v>0</v>
      </c>
      <c r="U159" s="18" t="b">
        <f>IF(ISNUMBER(All[[#This Row],[Test]]),TRUE,FALSE)</f>
        <v>0</v>
      </c>
      <c r="V159" s="18" t="b">
        <f>IF((INDEX(Test[Total (%)],MATCH(All[[#This Row],[Student No.]],Test[Student No.],0)))="ABS", TRUE, FALSE)</f>
        <v>0</v>
      </c>
      <c r="W159" s="18" t="b">
        <f>IF(ISNUMBER(INDEX(Exam[Total (%)],MATCH(All[[#This Row],[Student No.]],Exam[Student No.],0))), TRUE, FALSE)</f>
        <v>1</v>
      </c>
      <c r="X159" s="18" t="b">
        <f>IF(ISNUMBER(INDEX(#REF!,MATCH(All[[#This Row],[Student No.]],#REF!,0))),TRUE,FALSE)</f>
        <v>0</v>
      </c>
      <c r="Y159" s="18" t="b">
        <f>IF(ISNUMBER(INDEX(#REF!,MATCH(All[[#This Row],[Student No.]],#REF!,0))),TRUE,FALSE)</f>
        <v>0</v>
      </c>
      <c r="Z159" s="18" t="b">
        <f>IF(All[[#This Row],[Wrote Def]],
IF(INDEX(#REF!, MATCH(All[[#This Row],[Student No.]],#REF!,0))&lt;&gt;All[[#This Row],[Exam/Def]], TRUE, FALSE),
  IF(All[[#This Row],[Wrote Exam]], IF(INDEX(Exam[Total (%)], MATCH(All[[#This Row],[Student No.]],Exam[Student No.],0))&lt;&gt;All[[#This Row],[Exam/Def]],TRUE,FALSE), FALSE))</f>
        <v>0</v>
      </c>
      <c r="AA159" s="18" t="b">
        <f xml:space="preserve">    IF(AND(All[[#This Row],[Exam/Def]]&lt;35,OR(All[[#This Row],[Wrote Exam]],All[[#This Row],[Wrote Def]])), TRUE,FALSE)</f>
        <v>1</v>
      </c>
      <c r="AB159" s="18" t="b">
        <f>IF(AND(All[[#This Row],[Exam &lt; 35%]],All[[#This Row],[Final]]&gt;=50),TRUE,FALSE)</f>
        <v>1</v>
      </c>
      <c r="AC159" s="18"/>
    </row>
    <row r="160" spans="1:29" ht="43.2">
      <c r="A160" s="17" t="s">
        <v>428</v>
      </c>
      <c r="B160" s="17" t="s">
        <v>601</v>
      </c>
      <c r="C160" s="100" t="e">
        <f>IF(All[[#This Row],[Student]],
  IF(ISNA(INDEX(#REF!,MATCH(All[[#This Row],[Student No.]],#REF!,0))),
    "Cannot find student!",
    IF(INDEX(#REF!,MATCH(All[[#This Row],[Student No.]],#REF!,0))="",
      "",
      INDEX(#REF!,MATCH(All[[#This Row],[Student No.]],#REF!,0)))
    ),
  "No student!")</f>
        <v>#REF!</v>
      </c>
      <c r="D160"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60" s="18" t="str">
        <f>IF(All[[#This Row],[Student]],
  IF(ISNA(INDEX(Project[Total (%)],MATCH(All[[#This Row],[Student No.]],Project[Student No.],0))),
    "Cannot find student!",
    IF(INDEX(Project[Total (%)],MATCH(All[[#This Row],[Student No.]],Project[Student No.],0))="",
      "",
      INDEX(Project[Total (%)],MATCH(All[[#This Row],[Student No.]],Project[Student No.],0)))
    ),
  "No student!")</f>
        <v/>
      </c>
      <c r="F160" s="201">
        <f>IF(All[[#This Row],[Wrote Def]], INDEX(#REF!, MATCH(All[[#This Row],[Student No.]],#REF!,0)),
  IF(All[[#This Row],[Wrote Exam]], INDEX(Exam[Total (%)], MATCH(All[[#This Row],[Student No.]], Exam[Student No.],0)),
    ""))</f>
        <v>58</v>
      </c>
      <c r="G160" s="18" t="str">
        <f>IF(AND(All[[#This Row],[Student]], All[[#This Row],[All Components]]),
    IF(NOT(All[Has Test Mark]),ROUND((All[[#This Row],[Engagement]]*$C$5+All[[#This Row],[Project]]*$E$5+All[[#This Row],[Exam/Def]]*$F$5)/($C$5+$E$5+$F$5),0),
      ROUND((All[[#This Row],[Engagement]]*$C$5+All[[#This Row],[Test]]*$D$5+All[[#This Row],[Project]]*$E$5+All[[#This Row],[Exam/Def]]*$F$5)/($C$5+$D$5+$E$5+$F$5),0)
  ),
  "")</f>
        <v/>
      </c>
      <c r="H160" s="18" t="str">
        <f>All[[#This Row],[Course Mark]]</f>
        <v/>
      </c>
      <c r="I160" s="18" t="str">
        <f>IF(All[[#This Row],[Wrote Sup]], INDEX(#REF!,MATCH(All[[#This Row],[Student No.]],#REF!,0)), "")</f>
        <v/>
      </c>
      <c r="J160" s="18" t="str">
        <f>IF(AND(All[[#This Row],[Student]],ISNUMBER(All[[#This Row],[Final]])),_xlfn.RANK.EQ(All[[#This Row],[Final]],All[Final]),"")</f>
        <v/>
      </c>
      <c r="K160" s="31"/>
      <c r="L160" s="18" t="str">
        <f>IF(All[[#This Row],[Student]], IF(All[Wrote Sup],All[Sup],All[[#This Row],[Final]]),"No student")</f>
        <v/>
      </c>
      <c r="M160" s="18" t="str">
        <f>IF(All[[#This Row],[Final]]="","",
  IF(All[[#This Row],[Wrote Sup]],
    IF(All[[#This Row],[Sup]]&lt;50,"FAL","PAS"),
  IF(All[[#This Row],[Exam/Def]]&lt;35, "FSB",
    IF(All[[#This Row],[Final]]&lt;50,"FAL",
    IF(All[[#This Row],[Final]]&gt;=50,"PAS",
  "Error!")))))</f>
        <v/>
      </c>
      <c r="N160" s="18">
        <f>IF(All[[#This Row],[Student]], _xlfn.IFNA(INDEX(captured[Course Mark],MATCH(All[[#This Row],[Student No.]],captured[ID_TEXT],0) &amp; ""), "Cannot find student!"),"No student!")</f>
        <v>62</v>
      </c>
      <c r="O160" s="189" t="str">
        <f>IF(All[[#This Row],[Student]], _xlfn.IFNA(INDEX(captured[Grade],MATCH(All[[#This Row],[Student No.]],captured[ID_TEXT],0)), "Cannot find student!") &amp; "","No student!")</f>
        <v>PAS</v>
      </c>
      <c r="P160"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60" s="18" t="str">
        <f>IF(All[[#This Row],[My Grade]]&lt;&gt;"",IF(All[[#This Row],[My Grade]]&lt;&gt;All[[#This Row],[Cap Grade]],TRUE,FALSE),"")</f>
        <v/>
      </c>
      <c r="R160" s="18" t="b">
        <f>IF(NOT(ISBLANK(All[[#This Row],[Student No.]])),OR(ISNUMBER(FIND("FSB",All[[#This Row],[My Grade]])),ISNUMBER(FIND("PAS", All[[#This Row],[My Grade]])),ISNUMBER(FIND("FAL",All[[#This Row],[My Grade]])),ISNUMBER(FIND("FAB", All[[#This Row],[My Grade]])),COUNTBLANK(All[[#This Row],[My Grade]])=1),FALSE)</f>
        <v>1</v>
      </c>
      <c r="S160" s="18" t="b">
        <f>IF(All[[#This Row],[Student No.]]&lt;&gt;"", TRUE, FALSE)</f>
        <v>1</v>
      </c>
      <c r="T160" s="18" t="b">
        <f>IF(COUNTBLANK(All[[#This Row],[Engagement]:[Exam/Def]])=0,TRUE, FALSE)</f>
        <v>0</v>
      </c>
      <c r="U160" s="18" t="b">
        <f>IF(ISNUMBER(All[[#This Row],[Test]]),TRUE,FALSE)</f>
        <v>0</v>
      </c>
      <c r="V160" s="18" t="e">
        <f>IF((INDEX(Test[Total (%)],MATCH(All[[#This Row],[Student No.]],Test[Student No.],0)))="ABS", TRUE, FALSE)</f>
        <v>#N/A</v>
      </c>
      <c r="W160" s="18" t="b">
        <f>IF(ISNUMBER(INDEX(Exam[Total (%)],MATCH(All[[#This Row],[Student No.]],Exam[Student No.],0))), TRUE, FALSE)</f>
        <v>1</v>
      </c>
      <c r="X160" s="18" t="b">
        <f>IF(ISNUMBER(INDEX(#REF!,MATCH(All[[#This Row],[Student No.]],#REF!,0))),TRUE,FALSE)</f>
        <v>0</v>
      </c>
      <c r="Y160" s="18" t="b">
        <f>IF(ISNUMBER(INDEX(#REF!,MATCH(All[[#This Row],[Student No.]],#REF!,0))),TRUE,FALSE)</f>
        <v>0</v>
      </c>
      <c r="Z160" s="18" t="b">
        <f>IF(All[[#This Row],[Wrote Def]],
IF(INDEX(#REF!, MATCH(All[[#This Row],[Student No.]],#REF!,0))&lt;&gt;All[[#This Row],[Exam/Def]], TRUE, FALSE),
  IF(All[[#This Row],[Wrote Exam]], IF(INDEX(Exam[Total (%)], MATCH(All[[#This Row],[Student No.]],Exam[Student No.],0))&lt;&gt;All[[#This Row],[Exam/Def]],TRUE,FALSE), FALSE))</f>
        <v>0</v>
      </c>
      <c r="AA160" s="18" t="b">
        <f xml:space="preserve">    IF(AND(All[[#This Row],[Exam/Def]]&lt;35,OR(All[[#This Row],[Wrote Exam]],All[[#This Row],[Wrote Def]])), TRUE,FALSE)</f>
        <v>0</v>
      </c>
      <c r="AB160" s="18" t="b">
        <f>IF(AND(All[[#This Row],[Exam &lt; 35%]],All[[#This Row],[Final]]&gt;=50),TRUE,FALSE)</f>
        <v>0</v>
      </c>
      <c r="AC160" s="18"/>
    </row>
    <row r="161" spans="1:29" ht="43.2">
      <c r="A161" s="17" t="s">
        <v>429</v>
      </c>
      <c r="B161" s="17" t="s">
        <v>602</v>
      </c>
      <c r="C161" s="100" t="e">
        <f>IF(All[[#This Row],[Student]],
  IF(ISNA(INDEX(#REF!,MATCH(All[[#This Row],[Student No.]],#REF!,0))),
    "Cannot find student!",
    IF(INDEX(#REF!,MATCH(All[[#This Row],[Student No.]],#REF!,0))="",
      "",
      INDEX(#REF!,MATCH(All[[#This Row],[Student No.]],#REF!,0)))
    ),
  "No student!")</f>
        <v>#REF!</v>
      </c>
      <c r="D161"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61" s="18" t="str">
        <f>IF(All[[#This Row],[Student]],
  IF(ISNA(INDEX(Project[Total (%)],MATCH(All[[#This Row],[Student No.]],Project[Student No.],0))),
    "Cannot find student!",
    IF(INDEX(Project[Total (%)],MATCH(All[[#This Row],[Student No.]],Project[Student No.],0))="",
      "",
      INDEX(Project[Total (%)],MATCH(All[[#This Row],[Student No.]],Project[Student No.],0)))
    ),
  "No student!")</f>
        <v/>
      </c>
      <c r="F161" s="201">
        <f>IF(All[[#This Row],[Wrote Def]], INDEX(#REF!, MATCH(All[[#This Row],[Student No.]],#REF!,0)),
  IF(All[[#This Row],[Wrote Exam]], INDEX(Exam[Total (%)], MATCH(All[[#This Row],[Student No.]], Exam[Student No.],0)),
    ""))</f>
        <v>88</v>
      </c>
      <c r="G161" s="18" t="str">
        <f>IF(AND(All[[#This Row],[Student]], All[[#This Row],[All Components]]),
    IF(NOT(All[Has Test Mark]),ROUND((All[[#This Row],[Engagement]]*$C$5+All[[#This Row],[Project]]*$E$5+All[[#This Row],[Exam/Def]]*$F$5)/($C$5+$E$5+$F$5),0),
      ROUND((All[[#This Row],[Engagement]]*$C$5+All[[#This Row],[Test]]*$D$5+All[[#This Row],[Project]]*$E$5+All[[#This Row],[Exam/Def]]*$F$5)/($C$5+$D$5+$E$5+$F$5),0)
  ),
  "")</f>
        <v/>
      </c>
      <c r="H161" s="18" t="str">
        <f>All[[#This Row],[Course Mark]]</f>
        <v/>
      </c>
      <c r="I161" s="18" t="str">
        <f>IF(All[[#This Row],[Wrote Sup]], INDEX(#REF!,MATCH(All[[#This Row],[Student No.]],#REF!,0)), "")</f>
        <v/>
      </c>
      <c r="J161" s="18" t="str">
        <f>IF(AND(All[[#This Row],[Student]],ISNUMBER(All[[#This Row],[Final]])),_xlfn.RANK.EQ(All[[#This Row],[Final]],All[Final]),"")</f>
        <v/>
      </c>
      <c r="K161" s="31"/>
      <c r="L161" s="18" t="str">
        <f>IF(All[[#This Row],[Student]], IF(All[Wrote Sup],All[Sup],All[[#This Row],[Final]]),"No student")</f>
        <v/>
      </c>
      <c r="M161" s="18" t="str">
        <f>IF(All[[#This Row],[Final]]="","",
  IF(All[[#This Row],[Wrote Sup]],
    IF(All[[#This Row],[Sup]]&lt;50,"FAL","PAS"),
  IF(All[[#This Row],[Exam/Def]]&lt;35, "FSB",
    IF(All[[#This Row],[Final]]&lt;50,"FAL",
    IF(All[[#This Row],[Final]]&gt;=50,"PAS",
  "Error!")))))</f>
        <v/>
      </c>
      <c r="N161" s="18">
        <f>IF(All[[#This Row],[Student]], _xlfn.IFNA(INDEX(captured[Course Mark],MATCH(All[[#This Row],[Student No.]],captured[ID_TEXT],0) &amp; ""), "Cannot find student!"),"No student!")</f>
        <v>82</v>
      </c>
      <c r="O161" s="189" t="str">
        <f>IF(All[[#This Row],[Student]], _xlfn.IFNA(INDEX(captured[Grade],MATCH(All[[#This Row],[Student No.]],captured[ID_TEXT],0)), "Cannot find student!") &amp; "","No student!")</f>
        <v>PAS</v>
      </c>
      <c r="P161"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61" s="18" t="str">
        <f>IF(All[[#This Row],[My Grade]]&lt;&gt;"",IF(All[[#This Row],[My Grade]]&lt;&gt;All[[#This Row],[Cap Grade]],TRUE,FALSE),"")</f>
        <v/>
      </c>
      <c r="R161" s="18" t="b">
        <f>IF(NOT(ISBLANK(All[[#This Row],[Student No.]])),OR(ISNUMBER(FIND("FSB",All[[#This Row],[My Grade]])),ISNUMBER(FIND("PAS", All[[#This Row],[My Grade]])),ISNUMBER(FIND("FAL",All[[#This Row],[My Grade]])),ISNUMBER(FIND("FAB", All[[#This Row],[My Grade]])),COUNTBLANK(All[[#This Row],[My Grade]])=1),FALSE)</f>
        <v>1</v>
      </c>
      <c r="S161" s="18" t="b">
        <f>IF(All[[#This Row],[Student No.]]&lt;&gt;"", TRUE, FALSE)</f>
        <v>1</v>
      </c>
      <c r="T161" s="18" t="b">
        <f>IF(COUNTBLANK(All[[#This Row],[Engagement]:[Exam/Def]])=0,TRUE, FALSE)</f>
        <v>0</v>
      </c>
      <c r="U161" s="18" t="b">
        <f>IF(ISNUMBER(All[[#This Row],[Test]]),TRUE,FALSE)</f>
        <v>0</v>
      </c>
      <c r="V161" s="18" t="e">
        <f>IF((INDEX(Test[Total (%)],MATCH(All[[#This Row],[Student No.]],Test[Student No.],0)))="ABS", TRUE, FALSE)</f>
        <v>#N/A</v>
      </c>
      <c r="W161" s="18" t="b">
        <f>IF(ISNUMBER(INDEX(Exam[Total (%)],MATCH(All[[#This Row],[Student No.]],Exam[Student No.],0))), TRUE, FALSE)</f>
        <v>1</v>
      </c>
      <c r="X161" s="18" t="b">
        <f>IF(ISNUMBER(INDEX(#REF!,MATCH(All[[#This Row],[Student No.]],#REF!,0))),TRUE,FALSE)</f>
        <v>0</v>
      </c>
      <c r="Y161" s="18" t="b">
        <f>IF(ISNUMBER(INDEX(#REF!,MATCH(All[[#This Row],[Student No.]],#REF!,0))),TRUE,FALSE)</f>
        <v>0</v>
      </c>
      <c r="Z161" s="18" t="b">
        <f>IF(All[[#This Row],[Wrote Def]],
IF(INDEX(#REF!, MATCH(All[[#This Row],[Student No.]],#REF!,0))&lt;&gt;All[[#This Row],[Exam/Def]], TRUE, FALSE),
  IF(All[[#This Row],[Wrote Exam]], IF(INDEX(Exam[Total (%)], MATCH(All[[#This Row],[Student No.]],Exam[Student No.],0))&lt;&gt;All[[#This Row],[Exam/Def]],TRUE,FALSE), FALSE))</f>
        <v>0</v>
      </c>
      <c r="AA161" s="18" t="b">
        <f xml:space="preserve">    IF(AND(All[[#This Row],[Exam/Def]]&lt;35,OR(All[[#This Row],[Wrote Exam]],All[[#This Row],[Wrote Def]])), TRUE,FALSE)</f>
        <v>0</v>
      </c>
      <c r="AB161" s="18" t="b">
        <f>IF(AND(All[[#This Row],[Exam &lt; 35%]],All[[#This Row],[Final]]&gt;=50),TRUE,FALSE)</f>
        <v>0</v>
      </c>
      <c r="AC161" s="18"/>
    </row>
    <row r="162" spans="1:29" ht="43.2">
      <c r="A162" s="17" t="s">
        <v>430</v>
      </c>
      <c r="B162" s="17" t="s">
        <v>603</v>
      </c>
      <c r="C162" s="100" t="e">
        <f>IF(All[[#This Row],[Student]],
  IF(ISNA(INDEX(#REF!,MATCH(All[[#This Row],[Student No.]],#REF!,0))),
    "Cannot find student!",
    IF(INDEX(#REF!,MATCH(All[[#This Row],[Student No.]],#REF!,0))="",
      "",
      INDEX(#REF!,MATCH(All[[#This Row],[Student No.]],#REF!,0)))
    ),
  "No student!")</f>
        <v>#REF!</v>
      </c>
      <c r="D162"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62" s="18" t="str">
        <f>IF(All[[#This Row],[Student]],
  IF(ISNA(INDEX(Project[Total (%)],MATCH(All[[#This Row],[Student No.]],Project[Student No.],0))),
    "Cannot find student!",
    IF(INDEX(Project[Total (%)],MATCH(All[[#This Row],[Student No.]],Project[Student No.],0))="",
      "",
      INDEX(Project[Total (%)],MATCH(All[[#This Row],[Student No.]],Project[Student No.],0)))
    ),
  "No student!")</f>
        <v/>
      </c>
      <c r="F162" s="201">
        <f>IF(All[[#This Row],[Wrote Def]], INDEX(#REF!, MATCH(All[[#This Row],[Student No.]],#REF!,0)),
  IF(All[[#This Row],[Wrote Exam]], INDEX(Exam[Total (%)], MATCH(All[[#This Row],[Student No.]], Exam[Student No.],0)),
    ""))</f>
        <v>35</v>
      </c>
      <c r="G162" s="18" t="str">
        <f>IF(AND(All[[#This Row],[Student]], All[[#This Row],[All Components]]),
    IF(NOT(All[Has Test Mark]),ROUND((All[[#This Row],[Engagement]]*$C$5+All[[#This Row],[Project]]*$E$5+All[[#This Row],[Exam/Def]]*$F$5)/($C$5+$E$5+$F$5),0),
      ROUND((All[[#This Row],[Engagement]]*$C$5+All[[#This Row],[Test]]*$D$5+All[[#This Row],[Project]]*$E$5+All[[#This Row],[Exam/Def]]*$F$5)/($C$5+$D$5+$E$5+$F$5),0)
  ),
  "")</f>
        <v/>
      </c>
      <c r="H162" s="18" t="str">
        <f>All[[#This Row],[Course Mark]]</f>
        <v/>
      </c>
      <c r="I162" s="18" t="str">
        <f>IF(All[[#This Row],[Wrote Sup]], INDEX(#REF!,MATCH(All[[#This Row],[Student No.]],#REF!,0)), "")</f>
        <v/>
      </c>
      <c r="J162" s="18" t="str">
        <f>IF(AND(All[[#This Row],[Student]],ISNUMBER(All[[#This Row],[Final]])),_xlfn.RANK.EQ(All[[#This Row],[Final]],All[Final]),"")</f>
        <v/>
      </c>
      <c r="K162" s="31"/>
      <c r="L162" s="18" t="str">
        <f>IF(All[[#This Row],[Student]], IF(All[Wrote Sup],All[Sup],All[[#This Row],[Final]]),"No student")</f>
        <v/>
      </c>
      <c r="M162" s="18" t="str">
        <f>IF(All[[#This Row],[Final]]="","",
  IF(All[[#This Row],[Wrote Sup]],
    IF(All[[#This Row],[Sup]]&lt;50,"FAL","PAS"),
  IF(All[[#This Row],[Exam/Def]]&lt;35, "FSB",
    IF(All[[#This Row],[Final]]&lt;50,"FAL",
    IF(All[[#This Row],[Final]]&gt;=50,"PAS",
  "Error!")))))</f>
        <v/>
      </c>
      <c r="N162" s="18">
        <f>IF(All[[#This Row],[Student]], _xlfn.IFNA(INDEX(captured[Course Mark],MATCH(All[[#This Row],[Student No.]],captured[ID_TEXT],0) &amp; ""), "Cannot find student!"),"No student!")</f>
        <v>50</v>
      </c>
      <c r="O162" s="189" t="str">
        <f>IF(All[[#This Row],[Student]], _xlfn.IFNA(INDEX(captured[Grade],MATCH(All[[#This Row],[Student No.]],captured[ID_TEXT],0)), "Cannot find student!") &amp; "","No student!")</f>
        <v>PAS</v>
      </c>
      <c r="P162"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62" s="18" t="str">
        <f>IF(All[[#This Row],[My Grade]]&lt;&gt;"",IF(All[[#This Row],[My Grade]]&lt;&gt;All[[#This Row],[Cap Grade]],TRUE,FALSE),"")</f>
        <v/>
      </c>
      <c r="R162" s="18" t="b">
        <f>IF(NOT(ISBLANK(All[[#This Row],[Student No.]])),OR(ISNUMBER(FIND("FSB",All[[#This Row],[My Grade]])),ISNUMBER(FIND("PAS", All[[#This Row],[My Grade]])),ISNUMBER(FIND("FAL",All[[#This Row],[My Grade]])),ISNUMBER(FIND("FAB", All[[#This Row],[My Grade]])),COUNTBLANK(All[[#This Row],[My Grade]])=1),FALSE)</f>
        <v>1</v>
      </c>
      <c r="S162" s="18" t="b">
        <f>IF(All[[#This Row],[Student No.]]&lt;&gt;"", TRUE, FALSE)</f>
        <v>1</v>
      </c>
      <c r="T162" s="18" t="b">
        <f>IF(COUNTBLANK(All[[#This Row],[Engagement]:[Exam/Def]])=0,TRUE, FALSE)</f>
        <v>0</v>
      </c>
      <c r="U162" s="18" t="b">
        <f>IF(ISNUMBER(All[[#This Row],[Test]]),TRUE,FALSE)</f>
        <v>0</v>
      </c>
      <c r="V162" s="18" t="e">
        <f>IF((INDEX(Test[Total (%)],MATCH(All[[#This Row],[Student No.]],Test[Student No.],0)))="ABS", TRUE, FALSE)</f>
        <v>#N/A</v>
      </c>
      <c r="W162" s="18" t="b">
        <f>IF(ISNUMBER(INDEX(Exam[Total (%)],MATCH(All[[#This Row],[Student No.]],Exam[Student No.],0))), TRUE, FALSE)</f>
        <v>1</v>
      </c>
      <c r="X162" s="18" t="b">
        <f>IF(ISNUMBER(INDEX(#REF!,MATCH(All[[#This Row],[Student No.]],#REF!,0))),TRUE,FALSE)</f>
        <v>0</v>
      </c>
      <c r="Y162" s="18" t="b">
        <f>IF(ISNUMBER(INDEX(#REF!,MATCH(All[[#This Row],[Student No.]],#REF!,0))),TRUE,FALSE)</f>
        <v>0</v>
      </c>
      <c r="Z162" s="18" t="b">
        <f>IF(All[[#This Row],[Wrote Def]],
IF(INDEX(#REF!, MATCH(All[[#This Row],[Student No.]],#REF!,0))&lt;&gt;All[[#This Row],[Exam/Def]], TRUE, FALSE),
  IF(All[[#This Row],[Wrote Exam]], IF(INDEX(Exam[Total (%)], MATCH(All[[#This Row],[Student No.]],Exam[Student No.],0))&lt;&gt;All[[#This Row],[Exam/Def]],TRUE,FALSE), FALSE))</f>
        <v>0</v>
      </c>
      <c r="AA162" s="18" t="b">
        <f xml:space="preserve">    IF(AND(All[[#This Row],[Exam/Def]]&lt;35,OR(All[[#This Row],[Wrote Exam]],All[[#This Row],[Wrote Def]])), TRUE,FALSE)</f>
        <v>0</v>
      </c>
      <c r="AB162" s="18" t="b">
        <f>IF(AND(All[[#This Row],[Exam &lt; 35%]],All[[#This Row],[Final]]&gt;=50),TRUE,FALSE)</f>
        <v>0</v>
      </c>
      <c r="AC162" s="18"/>
    </row>
    <row r="163" spans="1:29" ht="43.2">
      <c r="A163" s="17" t="s">
        <v>431</v>
      </c>
      <c r="B163" s="17" t="s">
        <v>604</v>
      </c>
      <c r="C163" s="100" t="e">
        <f>IF(All[[#This Row],[Student]],
  IF(ISNA(INDEX(#REF!,MATCH(All[[#This Row],[Student No.]],#REF!,0))),
    "Cannot find student!",
    IF(INDEX(#REF!,MATCH(All[[#This Row],[Student No.]],#REF!,0))="",
      "",
      INDEX(#REF!,MATCH(All[[#This Row],[Student No.]],#REF!,0)))
    ),
  "No student!")</f>
        <v>#REF!</v>
      </c>
      <c r="D163"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63" s="18" t="str">
        <f>IF(All[[#This Row],[Student]],
  IF(ISNA(INDEX(Project[Total (%)],MATCH(All[[#This Row],[Student No.]],Project[Student No.],0))),
    "Cannot find student!",
    IF(INDEX(Project[Total (%)],MATCH(All[[#This Row],[Student No.]],Project[Student No.],0))="",
      "",
      INDEX(Project[Total (%)],MATCH(All[[#This Row],[Student No.]],Project[Student No.],0)))
    ),
  "No student!")</f>
        <v/>
      </c>
      <c r="F163" s="201" t="str">
        <f>IF(All[[#This Row],[Wrote Def]], INDEX(#REF!, MATCH(All[[#This Row],[Student No.]],#REF!,0)),
  IF(All[[#This Row],[Wrote Exam]], INDEX(Exam[Total (%)], MATCH(All[[#This Row],[Student No.]], Exam[Student No.],0)),
    ""))</f>
        <v/>
      </c>
      <c r="G163" s="18" t="str">
        <f>IF(AND(All[[#This Row],[Student]], All[[#This Row],[All Components]]),
    IF(NOT(All[Has Test Mark]),ROUND((All[[#This Row],[Engagement]]*$C$5+All[[#This Row],[Project]]*$E$5+All[[#This Row],[Exam/Def]]*$F$5)/($C$5+$E$5+$F$5),0),
      ROUND((All[[#This Row],[Engagement]]*$C$5+All[[#This Row],[Test]]*$D$5+All[[#This Row],[Project]]*$E$5+All[[#This Row],[Exam/Def]]*$F$5)/($C$5+$D$5+$E$5+$F$5),0)
  ),
  "")</f>
        <v/>
      </c>
      <c r="H163" s="18" t="str">
        <f>All[[#This Row],[Course Mark]]</f>
        <v/>
      </c>
      <c r="I163" s="18" t="str">
        <f>IF(All[[#This Row],[Wrote Sup]], INDEX(#REF!,MATCH(All[[#This Row],[Student No.]],#REF!,0)), "")</f>
        <v/>
      </c>
      <c r="J163" s="18" t="str">
        <f>IF(AND(All[[#This Row],[Student]],ISNUMBER(All[[#This Row],[Final]])),_xlfn.RANK.EQ(All[[#This Row],[Final]],All[Final]),"")</f>
        <v/>
      </c>
      <c r="K163" s="31"/>
      <c r="L163" s="18" t="str">
        <f>IF(All[[#This Row],[Student]], IF(All[Wrote Sup],All[Sup],All[[#This Row],[Final]]),"No student")</f>
        <v/>
      </c>
      <c r="M163" s="18" t="str">
        <f>IF(All[[#This Row],[Final]]="","",
  IF(All[[#This Row],[Wrote Sup]],
    IF(All[[#This Row],[Sup]]&lt;50,"FAL","PAS"),
  IF(All[[#This Row],[Exam/Def]]&lt;35, "FSB",
    IF(All[[#This Row],[Final]]&lt;50,"FAL",
    IF(All[[#This Row],[Final]]&gt;=50,"PAS",
  "Error!")))))</f>
        <v/>
      </c>
      <c r="N163" s="18" t="str">
        <f>IF(All[[#This Row],[Student]], _xlfn.IFNA(INDEX(captured[Course Mark],MATCH(All[[#This Row],[Student No.]],captured[ID_TEXT],0) &amp; ""), "Cannot find student!"),"No student!")</f>
        <v>FABS</v>
      </c>
      <c r="O163" s="189" t="str">
        <f>IF(All[[#This Row],[Student]], _xlfn.IFNA(INDEX(captured[Grade],MATCH(All[[#This Row],[Student No.]],captured[ID_TEXT],0)), "Cannot find student!") &amp; "","No student!")</f>
        <v>FAB</v>
      </c>
      <c r="P163" s="18" t="b">
        <f xml:space="preserve"> IF(AND(ISNUMBER(All[[#This Row],[Cap Mark]]), ISNUMBER(All[[#This Row],[My Mark]])), ABS(All[[#This Row],[Cap Mark]] - All[[#This Row],[My Mark]]) &lt;&gt; 0,
    IF(AND(ISNUMBER(All[[#This Row],[My Mark]]),NOT(ISNUMBER(All[[#This Row],[Cap Mark]]))),TRUE,
    IF(AND(ISNUMBER(All[[#This Row],[Cap Mark]]),NOT(ISNUMBER(All[[#This Row],[My Mark]]))),TRUE,FALSE)
    ))</f>
        <v>0</v>
      </c>
      <c r="Q163" s="18" t="str">
        <f>IF(All[[#This Row],[My Grade]]&lt;&gt;"",IF(All[[#This Row],[My Grade]]&lt;&gt;All[[#This Row],[Cap Grade]],TRUE,FALSE),"")</f>
        <v/>
      </c>
      <c r="R163" s="18" t="b">
        <f>IF(NOT(ISBLANK(All[[#This Row],[Student No.]])),OR(ISNUMBER(FIND("FSB",All[[#This Row],[My Grade]])),ISNUMBER(FIND("PAS", All[[#This Row],[My Grade]])),ISNUMBER(FIND("FAL",All[[#This Row],[My Grade]])),ISNUMBER(FIND("FAB", All[[#This Row],[My Grade]])),COUNTBLANK(All[[#This Row],[My Grade]])=1),FALSE)</f>
        <v>1</v>
      </c>
      <c r="S163" s="18" t="b">
        <f>IF(All[[#This Row],[Student No.]]&lt;&gt;"", TRUE, FALSE)</f>
        <v>1</v>
      </c>
      <c r="T163" s="18" t="b">
        <f>IF(COUNTBLANK(All[[#This Row],[Engagement]:[Exam/Def]])=0,TRUE, FALSE)</f>
        <v>0</v>
      </c>
      <c r="U163" s="18" t="b">
        <f>IF(ISNUMBER(All[[#This Row],[Test]]),TRUE,FALSE)</f>
        <v>0</v>
      </c>
      <c r="V163" s="18" t="e">
        <f>IF((INDEX(Test[Total (%)],MATCH(All[[#This Row],[Student No.]],Test[Student No.],0)))="ABS", TRUE, FALSE)</f>
        <v>#N/A</v>
      </c>
      <c r="W163" s="18" t="b">
        <f>IF(ISNUMBER(INDEX(Exam[Total (%)],MATCH(All[[#This Row],[Student No.]],Exam[Student No.],0))), TRUE, FALSE)</f>
        <v>0</v>
      </c>
      <c r="X163" s="18" t="b">
        <f>IF(ISNUMBER(INDEX(#REF!,MATCH(All[[#This Row],[Student No.]],#REF!,0))),TRUE,FALSE)</f>
        <v>0</v>
      </c>
      <c r="Y163" s="18" t="b">
        <f>IF(ISNUMBER(INDEX(#REF!,MATCH(All[[#This Row],[Student No.]],#REF!,0))),TRUE,FALSE)</f>
        <v>0</v>
      </c>
      <c r="Z163" s="18" t="b">
        <f>IF(All[[#This Row],[Wrote Def]],
IF(INDEX(#REF!, MATCH(All[[#This Row],[Student No.]],#REF!,0))&lt;&gt;All[[#This Row],[Exam/Def]], TRUE, FALSE),
  IF(All[[#This Row],[Wrote Exam]], IF(INDEX(Exam[Total (%)], MATCH(All[[#This Row],[Student No.]],Exam[Student No.],0))&lt;&gt;All[[#This Row],[Exam/Def]],TRUE,FALSE), FALSE))</f>
        <v>0</v>
      </c>
      <c r="AA163" s="18" t="b">
        <f xml:space="preserve">    IF(AND(All[[#This Row],[Exam/Def]]&lt;35,OR(All[[#This Row],[Wrote Exam]],All[[#This Row],[Wrote Def]])), TRUE,FALSE)</f>
        <v>0</v>
      </c>
      <c r="AB163" s="18" t="b">
        <f>IF(AND(All[[#This Row],[Exam &lt; 35%]],All[[#This Row],[Final]]&gt;=50),TRUE,FALSE)</f>
        <v>0</v>
      </c>
      <c r="AC163" s="18"/>
    </row>
    <row r="164" spans="1:29" ht="43.2">
      <c r="A164" s="17" t="s">
        <v>433</v>
      </c>
      <c r="B164" s="17" t="s">
        <v>605</v>
      </c>
      <c r="C164" s="100" t="e">
        <f>IF(All[[#This Row],[Student]],
  IF(ISNA(INDEX(#REF!,MATCH(All[[#This Row],[Student No.]],#REF!,0))),
    "Cannot find student!",
    IF(INDEX(#REF!,MATCH(All[[#This Row],[Student No.]],#REF!,0))="",
      "",
      INDEX(#REF!,MATCH(All[[#This Row],[Student No.]],#REF!,0)))
    ),
  "No student!")</f>
        <v>#REF!</v>
      </c>
      <c r="D164"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64" s="18" t="str">
        <f>IF(All[[#This Row],[Student]],
  IF(ISNA(INDEX(Project[Total (%)],MATCH(All[[#This Row],[Student No.]],Project[Student No.],0))),
    "Cannot find student!",
    IF(INDEX(Project[Total (%)],MATCH(All[[#This Row],[Student No.]],Project[Student No.],0))="",
      "",
      INDEX(Project[Total (%)],MATCH(All[[#This Row],[Student No.]],Project[Student No.],0)))
    ),
  "No student!")</f>
        <v/>
      </c>
      <c r="F164" s="201" t="str">
        <f>IF(All[[#This Row],[Wrote Def]], INDEX(#REF!, MATCH(All[[#This Row],[Student No.]],#REF!,0)),
  IF(All[[#This Row],[Wrote Exam]], INDEX(Exam[Total (%)], MATCH(All[[#This Row],[Student No.]], Exam[Student No.],0)),
    ""))</f>
        <v/>
      </c>
      <c r="G164" s="18" t="str">
        <f>IF(AND(All[[#This Row],[Student]], All[[#This Row],[All Components]]),
    IF(NOT(All[Has Test Mark]),ROUND((All[[#This Row],[Engagement]]*$C$5+All[[#This Row],[Project]]*$E$5+All[[#This Row],[Exam/Def]]*$F$5)/($C$5+$E$5+$F$5),0),
      ROUND((All[[#This Row],[Engagement]]*$C$5+All[[#This Row],[Test]]*$D$5+All[[#This Row],[Project]]*$E$5+All[[#This Row],[Exam/Def]]*$F$5)/($C$5+$D$5+$E$5+$F$5),0)
  ),
  "")</f>
        <v/>
      </c>
      <c r="H164" s="18" t="str">
        <f>All[[#This Row],[Course Mark]]</f>
        <v/>
      </c>
      <c r="I164" s="18" t="str">
        <f>IF(All[[#This Row],[Wrote Sup]], INDEX(#REF!,MATCH(All[[#This Row],[Student No.]],#REF!,0)), "")</f>
        <v/>
      </c>
      <c r="J164" s="18" t="str">
        <f>IF(AND(All[[#This Row],[Student]],ISNUMBER(All[[#This Row],[Final]])),_xlfn.RANK.EQ(All[[#This Row],[Final]],All[Final]),"")</f>
        <v/>
      </c>
      <c r="K164" s="31"/>
      <c r="L164" s="18" t="str">
        <f>IF(All[[#This Row],[Student]], IF(All[Wrote Sup],All[Sup],All[[#This Row],[Final]]),"No student")</f>
        <v/>
      </c>
      <c r="M164" s="18" t="str">
        <f>IF(All[[#This Row],[Final]]="","",
  IF(All[[#This Row],[Wrote Sup]],
    IF(All[[#This Row],[Sup]]&lt;50,"FAL","PAS"),
  IF(All[[#This Row],[Exam/Def]]&lt;35, "FSB",
    IF(All[[#This Row],[Final]]&lt;50,"FAL",
    IF(All[[#This Row],[Final]]&gt;=50,"PAS",
  "Error!")))))</f>
        <v/>
      </c>
      <c r="N164" s="18" t="str">
        <f>IF(All[[#This Row],[Student]], _xlfn.IFNA(INDEX(captured[Course Mark],MATCH(All[[#This Row],[Student No.]],captured[ID_TEXT],0) &amp; ""), "Cannot find student!"),"No student!")</f>
        <v>FABS</v>
      </c>
      <c r="O164" s="189" t="str">
        <f>IF(All[[#This Row],[Student]], _xlfn.IFNA(INDEX(captured[Grade],MATCH(All[[#This Row],[Student No.]],captured[ID_TEXT],0)), "Cannot find student!") &amp; "","No student!")</f>
        <v>FAB</v>
      </c>
      <c r="P164" s="18" t="b">
        <f xml:space="preserve"> IF(AND(ISNUMBER(All[[#This Row],[Cap Mark]]), ISNUMBER(All[[#This Row],[My Mark]])), ABS(All[[#This Row],[Cap Mark]] - All[[#This Row],[My Mark]]) &lt;&gt; 0,
    IF(AND(ISNUMBER(All[[#This Row],[My Mark]]),NOT(ISNUMBER(All[[#This Row],[Cap Mark]]))),TRUE,
    IF(AND(ISNUMBER(All[[#This Row],[Cap Mark]]),NOT(ISNUMBER(All[[#This Row],[My Mark]]))),TRUE,FALSE)
    ))</f>
        <v>0</v>
      </c>
      <c r="Q164" s="18" t="str">
        <f>IF(All[[#This Row],[My Grade]]&lt;&gt;"",IF(All[[#This Row],[My Grade]]&lt;&gt;All[[#This Row],[Cap Grade]],TRUE,FALSE),"")</f>
        <v/>
      </c>
      <c r="R164" s="18" t="b">
        <f>IF(NOT(ISBLANK(All[[#This Row],[Student No.]])),OR(ISNUMBER(FIND("FSB",All[[#This Row],[My Grade]])),ISNUMBER(FIND("PAS", All[[#This Row],[My Grade]])),ISNUMBER(FIND("FAL",All[[#This Row],[My Grade]])),ISNUMBER(FIND("FAB", All[[#This Row],[My Grade]])),COUNTBLANK(All[[#This Row],[My Grade]])=1),FALSE)</f>
        <v>1</v>
      </c>
      <c r="S164" s="18" t="b">
        <f>IF(All[[#This Row],[Student No.]]&lt;&gt;"", TRUE, FALSE)</f>
        <v>1</v>
      </c>
      <c r="T164" s="18" t="b">
        <f>IF(COUNTBLANK(All[[#This Row],[Engagement]:[Exam/Def]])=0,TRUE, FALSE)</f>
        <v>0</v>
      </c>
      <c r="U164" s="18" t="b">
        <f>IF(ISNUMBER(All[[#This Row],[Test]]),TRUE,FALSE)</f>
        <v>0</v>
      </c>
      <c r="V164" s="18" t="e">
        <f>IF((INDEX(Test[Total (%)],MATCH(All[[#This Row],[Student No.]],Test[Student No.],0)))="ABS", TRUE, FALSE)</f>
        <v>#N/A</v>
      </c>
      <c r="W164" s="18" t="b">
        <f>IF(ISNUMBER(INDEX(Exam[Total (%)],MATCH(All[[#This Row],[Student No.]],Exam[Student No.],0))), TRUE, FALSE)</f>
        <v>0</v>
      </c>
      <c r="X164" s="18" t="b">
        <f>IF(ISNUMBER(INDEX(#REF!,MATCH(All[[#This Row],[Student No.]],#REF!,0))),TRUE,FALSE)</f>
        <v>0</v>
      </c>
      <c r="Y164" s="18" t="b">
        <f>IF(ISNUMBER(INDEX(#REF!,MATCH(All[[#This Row],[Student No.]],#REF!,0))),TRUE,FALSE)</f>
        <v>0</v>
      </c>
      <c r="Z164" s="18" t="b">
        <f>IF(All[[#This Row],[Wrote Def]],
IF(INDEX(#REF!, MATCH(All[[#This Row],[Student No.]],#REF!,0))&lt;&gt;All[[#This Row],[Exam/Def]], TRUE, FALSE),
  IF(All[[#This Row],[Wrote Exam]], IF(INDEX(Exam[Total (%)], MATCH(All[[#This Row],[Student No.]],Exam[Student No.],0))&lt;&gt;All[[#This Row],[Exam/Def]],TRUE,FALSE), FALSE))</f>
        <v>0</v>
      </c>
      <c r="AA164" s="18" t="b">
        <f xml:space="preserve">    IF(AND(All[[#This Row],[Exam/Def]]&lt;35,OR(All[[#This Row],[Wrote Exam]],All[[#This Row],[Wrote Def]])), TRUE,FALSE)</f>
        <v>0</v>
      </c>
      <c r="AB164" s="18" t="b">
        <f>IF(AND(All[[#This Row],[Exam &lt; 35%]],All[[#This Row],[Final]]&gt;=50),TRUE,FALSE)</f>
        <v>0</v>
      </c>
      <c r="AC164" s="18"/>
    </row>
    <row r="165" spans="1:29" ht="43.2">
      <c r="A165" s="17" t="s">
        <v>434</v>
      </c>
      <c r="B165" s="17" t="s">
        <v>606</v>
      </c>
      <c r="C165" s="100" t="e">
        <f>IF(All[[#This Row],[Student]],
  IF(ISNA(INDEX(#REF!,MATCH(All[[#This Row],[Student No.]],#REF!,0))),
    "Cannot find student!",
    IF(INDEX(#REF!,MATCH(All[[#This Row],[Student No.]],#REF!,0))="",
      "",
      INDEX(#REF!,MATCH(All[[#This Row],[Student No.]],#REF!,0)))
    ),
  "No student!")</f>
        <v>#REF!</v>
      </c>
      <c r="D165"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65" s="18" t="str">
        <f>IF(All[[#This Row],[Student]],
  IF(ISNA(INDEX(Project[Total (%)],MATCH(All[[#This Row],[Student No.]],Project[Student No.],0))),
    "Cannot find student!",
    IF(INDEX(Project[Total (%)],MATCH(All[[#This Row],[Student No.]],Project[Student No.],0))="",
      "",
      INDEX(Project[Total (%)],MATCH(All[[#This Row],[Student No.]],Project[Student No.],0)))
    ),
  "No student!")</f>
        <v/>
      </c>
      <c r="F165" s="201">
        <f>IF(All[[#This Row],[Wrote Def]], INDEX(#REF!, MATCH(All[[#This Row],[Student No.]],#REF!,0)),
  IF(All[[#This Row],[Wrote Exam]], INDEX(Exam[Total (%)], MATCH(All[[#This Row],[Student No.]], Exam[Student No.],0)),
    ""))</f>
        <v>22</v>
      </c>
      <c r="G165" s="18" t="str">
        <f>IF(AND(All[[#This Row],[Student]], All[[#This Row],[All Components]]),
    IF(NOT(All[Has Test Mark]),ROUND((All[[#This Row],[Engagement]]*$C$5+All[[#This Row],[Project]]*$E$5+All[[#This Row],[Exam/Def]]*$F$5)/($C$5+$E$5+$F$5),0),
      ROUND((All[[#This Row],[Engagement]]*$C$5+All[[#This Row],[Test]]*$D$5+All[[#This Row],[Project]]*$E$5+All[[#This Row],[Exam/Def]]*$F$5)/($C$5+$D$5+$E$5+$F$5),0)
  ),
  "")</f>
        <v/>
      </c>
      <c r="H165" s="18" t="str">
        <f>All[[#This Row],[Course Mark]]</f>
        <v/>
      </c>
      <c r="I165" s="18" t="str">
        <f>IF(All[[#This Row],[Wrote Sup]], INDEX(#REF!,MATCH(All[[#This Row],[Student No.]],#REF!,0)), "")</f>
        <v/>
      </c>
      <c r="J165" s="18" t="str">
        <f>IF(AND(All[[#This Row],[Student]],ISNUMBER(All[[#This Row],[Final]])),_xlfn.RANK.EQ(All[[#This Row],[Final]],All[Final]),"")</f>
        <v/>
      </c>
      <c r="K165" s="31" t="s">
        <v>1363</v>
      </c>
      <c r="L165" s="18" t="str">
        <f>IF(All[[#This Row],[Student]], IF(All[Wrote Sup],All[Sup],All[[#This Row],[Final]]),"No student")</f>
        <v/>
      </c>
      <c r="M165" s="18" t="str">
        <f>IF(All[[#This Row],[Final]]="","",
  IF(All[[#This Row],[Wrote Sup]],
    IF(All[[#This Row],[Sup]]&lt;50,"FAL","PAS"),
  IF(All[[#This Row],[Exam/Def]]&lt;35, "FSB",
    IF(All[[#This Row],[Final]]&lt;50,"FAL",
    IF(All[[#This Row],[Final]]&gt;=50,"PAS",
  "Error!")))))</f>
        <v/>
      </c>
      <c r="N165" s="18">
        <f>IF(All[[#This Row],[Student]], _xlfn.IFNA(INDEX(captured[Course Mark],MATCH(All[[#This Row],[Student No.]],captured[ID_TEXT],0) &amp; ""), "Cannot find student!"),"No student!")</f>
        <v>44</v>
      </c>
      <c r="O165" s="189" t="str">
        <f>IF(All[[#This Row],[Student]], _xlfn.IFNA(INDEX(captured[Grade],MATCH(All[[#This Row],[Student No.]],captured[ID_TEXT],0)), "Cannot find student!") &amp; "","No student!")</f>
        <v/>
      </c>
      <c r="P165"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65" s="18" t="str">
        <f>IF(All[[#This Row],[My Grade]]&lt;&gt;"",IF(All[[#This Row],[My Grade]]&lt;&gt;All[[#This Row],[Cap Grade]],TRUE,FALSE),"")</f>
        <v/>
      </c>
      <c r="R165" s="18" t="b">
        <f>IF(NOT(ISBLANK(All[[#This Row],[Student No.]])),OR(ISNUMBER(FIND("FSB",All[[#This Row],[My Grade]])),ISNUMBER(FIND("PAS", All[[#This Row],[My Grade]])),ISNUMBER(FIND("FAL",All[[#This Row],[My Grade]])),ISNUMBER(FIND("FAB", All[[#This Row],[My Grade]])),COUNTBLANK(All[[#This Row],[My Grade]])=1),FALSE)</f>
        <v>1</v>
      </c>
      <c r="S165" s="18" t="b">
        <f>IF(All[[#This Row],[Student No.]]&lt;&gt;"", TRUE, FALSE)</f>
        <v>1</v>
      </c>
      <c r="T165" s="18" t="b">
        <f>IF(COUNTBLANK(All[[#This Row],[Engagement]:[Exam/Def]])=0,TRUE, FALSE)</f>
        <v>0</v>
      </c>
      <c r="U165" s="18" t="b">
        <f>IF(ISNUMBER(All[[#This Row],[Test]]),TRUE,FALSE)</f>
        <v>0</v>
      </c>
      <c r="V165" s="18" t="e">
        <f>IF((INDEX(Test[Total (%)],MATCH(All[[#This Row],[Student No.]],Test[Student No.],0)))="ABS", TRUE, FALSE)</f>
        <v>#N/A</v>
      </c>
      <c r="W165" s="18" t="b">
        <f>IF(ISNUMBER(INDEX(Exam[Total (%)],MATCH(All[[#This Row],[Student No.]],Exam[Student No.],0))), TRUE, FALSE)</f>
        <v>1</v>
      </c>
      <c r="X165" s="18" t="b">
        <f>IF(ISNUMBER(INDEX(#REF!,MATCH(All[[#This Row],[Student No.]],#REF!,0))),TRUE,FALSE)</f>
        <v>0</v>
      </c>
      <c r="Y165" s="18" t="b">
        <f>IF(ISNUMBER(INDEX(#REF!,MATCH(All[[#This Row],[Student No.]],#REF!,0))),TRUE,FALSE)</f>
        <v>0</v>
      </c>
      <c r="Z165" s="18" t="b">
        <f>IF(All[[#This Row],[Wrote Def]],
IF(INDEX(#REF!, MATCH(All[[#This Row],[Student No.]],#REF!,0))&lt;&gt;All[[#This Row],[Exam/Def]], TRUE, FALSE),
  IF(All[[#This Row],[Wrote Exam]], IF(INDEX(Exam[Total (%)], MATCH(All[[#This Row],[Student No.]],Exam[Student No.],0))&lt;&gt;All[[#This Row],[Exam/Def]],TRUE,FALSE), FALSE))</f>
        <v>0</v>
      </c>
      <c r="AA165" s="18" t="b">
        <f xml:space="preserve">    IF(AND(All[[#This Row],[Exam/Def]]&lt;35,OR(All[[#This Row],[Wrote Exam]],All[[#This Row],[Wrote Def]])), TRUE,FALSE)</f>
        <v>1</v>
      </c>
      <c r="AB165" s="18" t="b">
        <f>IF(AND(All[[#This Row],[Exam &lt; 35%]],All[[#This Row],[Final]]&gt;=50),TRUE,FALSE)</f>
        <v>1</v>
      </c>
      <c r="AC165" s="18"/>
    </row>
    <row r="166" spans="1:29">
      <c r="A166" s="17" t="s">
        <v>435</v>
      </c>
      <c r="B166" s="17" t="s">
        <v>607</v>
      </c>
      <c r="C166" s="100" t="e">
        <f>IF(All[[#This Row],[Student]],
  IF(ISNA(INDEX(#REF!,MATCH(All[[#This Row],[Student No.]],#REF!,0))),
    "Cannot find student!",
    IF(INDEX(#REF!,MATCH(All[[#This Row],[Student No.]],#REF!,0))="",
      "",
      INDEX(#REF!,MATCH(All[[#This Row],[Student No.]],#REF!,0)))
    ),
  "No student!")</f>
        <v>#REF!</v>
      </c>
      <c r="D166"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66" s="18" t="str">
        <f>IF(All[[#This Row],[Student]],
  IF(ISNA(INDEX(Project[Total (%)],MATCH(All[[#This Row],[Student No.]],Project[Student No.],0))),
    "Cannot find student!",
    IF(INDEX(Project[Total (%)],MATCH(All[[#This Row],[Student No.]],Project[Student No.],0))="",
      "",
      INDEX(Project[Total (%)],MATCH(All[[#This Row],[Student No.]],Project[Student No.],0)))
    ),
  "No student!")</f>
        <v/>
      </c>
      <c r="F166" s="201">
        <f>IF(All[[#This Row],[Wrote Def]], INDEX(#REF!, MATCH(All[[#This Row],[Student No.]],#REF!,0)),
  IF(All[[#This Row],[Wrote Exam]], INDEX(Exam[Total (%)], MATCH(All[[#This Row],[Student No.]], Exam[Student No.],0)),
    ""))</f>
        <v>23</v>
      </c>
      <c r="G166" s="18" t="str">
        <f>IF(AND(All[[#This Row],[Student]], All[[#This Row],[All Components]]),
    IF(NOT(All[Has Test Mark]),ROUND((All[[#This Row],[Engagement]]*$C$5+All[[#This Row],[Project]]*$E$5+All[[#This Row],[Exam/Def]]*$F$5)/($C$5+$E$5+$F$5),0),
      ROUND((All[[#This Row],[Engagement]]*$C$5+All[[#This Row],[Test]]*$D$5+All[[#This Row],[Project]]*$E$5+All[[#This Row],[Exam/Def]]*$F$5)/($C$5+$D$5+$E$5+$F$5),0)
  ),
  "")</f>
        <v/>
      </c>
      <c r="H166" s="18" t="str">
        <f>All[[#This Row],[Course Mark]]</f>
        <v/>
      </c>
      <c r="I166" s="18" t="str">
        <f>IF(All[[#This Row],[Wrote Sup]], INDEX(#REF!,MATCH(All[[#This Row],[Student No.]],#REF!,0)), "")</f>
        <v/>
      </c>
      <c r="J166" s="18" t="str">
        <f>IF(AND(All[[#This Row],[Student]],ISNUMBER(All[[#This Row],[Final]])),_xlfn.RANK.EQ(All[[#This Row],[Final]],All[Final]),"")</f>
        <v/>
      </c>
      <c r="K166" s="31"/>
      <c r="L166" s="18" t="str">
        <f>IF(All[[#This Row],[Student]], IF(All[Wrote Sup],All[Sup],All[[#This Row],[Final]]),"No student")</f>
        <v/>
      </c>
      <c r="M166" s="18" t="str">
        <f>IF(All[[#This Row],[Final]]="","",
  IF(All[[#This Row],[Wrote Sup]],
    IF(All[[#This Row],[Sup]]&lt;50,"FAL","PAS"),
  IF(All[[#This Row],[Exam/Def]]&lt;35, "FSB",
    IF(All[[#This Row],[Final]]&lt;50,"FAL",
    IF(All[[#This Row],[Final]]&gt;=50,"PAS",
  "Error!")))))</f>
        <v/>
      </c>
      <c r="N166" s="18">
        <f>IF(All[[#This Row],[Student]], _xlfn.IFNA(INDEX(captured[Course Mark],MATCH(All[[#This Row],[Student No.]],captured[ID_TEXT],0) &amp; ""), "Cannot find student!"),"No student!")</f>
        <v>23</v>
      </c>
      <c r="O166" s="189" t="str">
        <f>IF(All[[#This Row],[Student]], _xlfn.IFNA(INDEX(captured[Grade],MATCH(All[[#This Row],[Student No.]],captured[ID_TEXT],0)), "Cannot find student!") &amp; "","No student!")</f>
        <v>FSB</v>
      </c>
      <c r="P166"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66" s="18" t="str">
        <f>IF(All[[#This Row],[My Grade]]&lt;&gt;"",IF(All[[#This Row],[My Grade]]&lt;&gt;All[[#This Row],[Cap Grade]],TRUE,FALSE),"")</f>
        <v/>
      </c>
      <c r="R166" s="18" t="b">
        <f>IF(NOT(ISBLANK(All[[#This Row],[Student No.]])),OR(ISNUMBER(FIND("FSB",All[[#This Row],[My Grade]])),ISNUMBER(FIND("PAS", All[[#This Row],[My Grade]])),ISNUMBER(FIND("FAL",All[[#This Row],[My Grade]])),ISNUMBER(FIND("FAB", All[[#This Row],[My Grade]])),COUNTBLANK(All[[#This Row],[My Grade]])=1),FALSE)</f>
        <v>1</v>
      </c>
      <c r="S166" s="18" t="b">
        <f>IF(All[[#This Row],[Student No.]]&lt;&gt;"", TRUE, FALSE)</f>
        <v>1</v>
      </c>
      <c r="T166" s="18" t="b">
        <f>IF(COUNTBLANK(All[[#This Row],[Engagement]:[Exam/Def]])=0,TRUE, FALSE)</f>
        <v>0</v>
      </c>
      <c r="U166" s="18" t="b">
        <f>IF(ISNUMBER(All[[#This Row],[Test]]),TRUE,FALSE)</f>
        <v>0</v>
      </c>
      <c r="V166" s="18" t="b">
        <f>IF((INDEX(Test[Total (%)],MATCH(All[[#This Row],[Student No.]],Test[Student No.],0)))="ABS", TRUE, FALSE)</f>
        <v>0</v>
      </c>
      <c r="W166" s="18" t="b">
        <f>IF(ISNUMBER(INDEX(Exam[Total (%)],MATCH(All[[#This Row],[Student No.]],Exam[Student No.],0))), TRUE, FALSE)</f>
        <v>1</v>
      </c>
      <c r="X166" s="18" t="b">
        <f>IF(ISNUMBER(INDEX(#REF!,MATCH(All[[#This Row],[Student No.]],#REF!,0))),TRUE,FALSE)</f>
        <v>0</v>
      </c>
      <c r="Y166" s="18" t="b">
        <f>IF(ISNUMBER(INDEX(#REF!,MATCH(All[[#This Row],[Student No.]],#REF!,0))),TRUE,FALSE)</f>
        <v>0</v>
      </c>
      <c r="Z166" s="18" t="b">
        <f>IF(All[[#This Row],[Wrote Def]],
IF(INDEX(#REF!, MATCH(All[[#This Row],[Student No.]],#REF!,0))&lt;&gt;All[[#This Row],[Exam/Def]], TRUE, FALSE),
  IF(All[[#This Row],[Wrote Exam]], IF(INDEX(Exam[Total (%)], MATCH(All[[#This Row],[Student No.]],Exam[Student No.],0))&lt;&gt;All[[#This Row],[Exam/Def]],TRUE,FALSE), FALSE))</f>
        <v>0</v>
      </c>
      <c r="AA166" s="18" t="b">
        <f xml:space="preserve">    IF(AND(All[[#This Row],[Exam/Def]]&lt;35,OR(All[[#This Row],[Wrote Exam]],All[[#This Row],[Wrote Def]])), TRUE,FALSE)</f>
        <v>1</v>
      </c>
      <c r="AB166" s="18" t="b">
        <f>IF(AND(All[[#This Row],[Exam &lt; 35%]],All[[#This Row],[Final]]&gt;=50),TRUE,FALSE)</f>
        <v>1</v>
      </c>
      <c r="AC166" s="18"/>
    </row>
    <row r="167" spans="1:29">
      <c r="A167" s="17" t="s">
        <v>436</v>
      </c>
      <c r="B167" s="17" t="s">
        <v>608</v>
      </c>
      <c r="C167" s="100" t="e">
        <f>IF(All[[#This Row],[Student]],
  IF(ISNA(INDEX(#REF!,MATCH(All[[#This Row],[Student No.]],#REF!,0))),
    "Cannot find student!",
    IF(INDEX(#REF!,MATCH(All[[#This Row],[Student No.]],#REF!,0))="",
      "",
      INDEX(#REF!,MATCH(All[[#This Row],[Student No.]],#REF!,0)))
    ),
  "No student!")</f>
        <v>#REF!</v>
      </c>
      <c r="D167"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
      </c>
      <c r="E167" s="18" t="str">
        <f>IF(All[[#This Row],[Student]],
  IF(ISNA(INDEX(Project[Total (%)],MATCH(All[[#This Row],[Student No.]],Project[Student No.],0))),
    "Cannot find student!",
    IF(INDEX(Project[Total (%)],MATCH(All[[#This Row],[Student No.]],Project[Student No.],0))="",
      "",
      INDEX(Project[Total (%)],MATCH(All[[#This Row],[Student No.]],Project[Student No.],0)))
    ),
  "No student!")</f>
        <v/>
      </c>
      <c r="F167" s="201" t="str">
        <f>IF(All[[#This Row],[Wrote Def]], INDEX(#REF!, MATCH(All[[#This Row],[Student No.]],#REF!,0)),
  IF(All[[#This Row],[Wrote Exam]], INDEX(Exam[Total (%)], MATCH(All[[#This Row],[Student No.]], Exam[Student No.],0)),
    ""))</f>
        <v/>
      </c>
      <c r="G167" s="18" t="str">
        <f>IF(AND(All[[#This Row],[Student]], All[[#This Row],[All Components]]),
    IF(NOT(All[Has Test Mark]),ROUND((All[[#This Row],[Engagement]]*$C$5+All[[#This Row],[Project]]*$E$5+All[[#This Row],[Exam/Def]]*$F$5)/($C$5+$E$5+$F$5),0),
      ROUND((All[[#This Row],[Engagement]]*$C$5+All[[#This Row],[Test]]*$D$5+All[[#This Row],[Project]]*$E$5+All[[#This Row],[Exam/Def]]*$F$5)/($C$5+$D$5+$E$5+$F$5),0)
  ),
  "")</f>
        <v/>
      </c>
      <c r="H167" s="18" t="str">
        <f>All[[#This Row],[Course Mark]]</f>
        <v/>
      </c>
      <c r="I167" s="18" t="str">
        <f>IF(All[[#This Row],[Wrote Sup]], INDEX(#REF!,MATCH(All[[#This Row],[Student No.]],#REF!,0)), "")</f>
        <v/>
      </c>
      <c r="J167" s="18" t="str">
        <f>IF(AND(All[[#This Row],[Student]],ISNUMBER(All[[#This Row],[Final]])),_xlfn.RANK.EQ(All[[#This Row],[Final]],All[Final]),"")</f>
        <v/>
      </c>
      <c r="K167" s="31"/>
      <c r="L167" s="18" t="str">
        <f>IF(All[[#This Row],[Student]], IF(All[Wrote Sup],All[Sup],All[[#This Row],[Final]]),"No student")</f>
        <v/>
      </c>
      <c r="M167" s="18" t="str">
        <f>IF(All[[#This Row],[Final]]="","",
  IF(All[[#This Row],[Wrote Sup]],
    IF(All[[#This Row],[Sup]]&lt;50,"FAL","PAS"),
  IF(All[[#This Row],[Exam/Def]]&lt;35, "FSB",
    IF(All[[#This Row],[Final]]&lt;50,"FAL",
    IF(All[[#This Row],[Final]]&gt;=50,"PAS",
  "Error!")))))</f>
        <v/>
      </c>
      <c r="N167" s="18">
        <f>IF(All[[#This Row],[Student]], _xlfn.IFNA(INDEX(captured[Course Mark],MATCH(All[[#This Row],[Student No.]],captured[ID_TEXT],0) &amp; ""), "Cannot find student!"),"No student!")</f>
        <v>24</v>
      </c>
      <c r="O167" s="189" t="str">
        <f>IF(All[[#This Row],[Student]], _xlfn.IFNA(INDEX(captured[Grade],MATCH(All[[#This Row],[Student No.]],captured[ID_TEXT],0)), "Cannot find student!") &amp; "","No student!")</f>
        <v>FSB</v>
      </c>
      <c r="P167"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67" s="18" t="str">
        <f>IF(All[[#This Row],[My Grade]]&lt;&gt;"",IF(All[[#This Row],[My Grade]]&lt;&gt;All[[#This Row],[Cap Grade]],TRUE,FALSE),"")</f>
        <v/>
      </c>
      <c r="R167" s="18" t="b">
        <f>IF(NOT(ISBLANK(All[[#This Row],[Student No.]])),OR(ISNUMBER(FIND("FSB",All[[#This Row],[My Grade]])),ISNUMBER(FIND("PAS", All[[#This Row],[My Grade]])),ISNUMBER(FIND("FAL",All[[#This Row],[My Grade]])),ISNUMBER(FIND("FAB", All[[#This Row],[My Grade]])),COUNTBLANK(All[[#This Row],[My Grade]])=1),FALSE)</f>
        <v>1</v>
      </c>
      <c r="S167" s="18" t="b">
        <f>IF(All[[#This Row],[Student No.]]&lt;&gt;"", TRUE, FALSE)</f>
        <v>1</v>
      </c>
      <c r="T167" s="18" t="b">
        <f>IF(COUNTBLANK(All[[#This Row],[Engagement]:[Exam/Def]])=0,TRUE, FALSE)</f>
        <v>0</v>
      </c>
      <c r="U167" s="18" t="b">
        <f>IF(ISNUMBER(All[[#This Row],[Test]]),TRUE,FALSE)</f>
        <v>0</v>
      </c>
      <c r="V167" s="18" t="b">
        <f>IF((INDEX(Test[Total (%)],MATCH(All[[#This Row],[Student No.]],Test[Student No.],0)))="ABS", TRUE, FALSE)</f>
        <v>0</v>
      </c>
      <c r="W167" s="18" t="b">
        <f>IF(ISNUMBER(INDEX(Exam[Total (%)],MATCH(All[[#This Row],[Student No.]],Exam[Student No.],0))), TRUE, FALSE)</f>
        <v>0</v>
      </c>
      <c r="X167" s="18" t="b">
        <f>IF(ISNUMBER(INDEX(#REF!,MATCH(All[[#This Row],[Student No.]],#REF!,0))),TRUE,FALSE)</f>
        <v>0</v>
      </c>
      <c r="Y167" s="18" t="b">
        <f>IF(ISNUMBER(INDEX(#REF!,MATCH(All[[#This Row],[Student No.]],#REF!,0))),TRUE,FALSE)</f>
        <v>0</v>
      </c>
      <c r="Z167" s="18" t="b">
        <f>IF(All[[#This Row],[Wrote Def]],
IF(INDEX(#REF!, MATCH(All[[#This Row],[Student No.]],#REF!,0))&lt;&gt;All[[#This Row],[Exam/Def]], TRUE, FALSE),
  IF(All[[#This Row],[Wrote Exam]], IF(INDEX(Exam[Total (%)], MATCH(All[[#This Row],[Student No.]],Exam[Student No.],0))&lt;&gt;All[[#This Row],[Exam/Def]],TRUE,FALSE), FALSE))</f>
        <v>0</v>
      </c>
      <c r="AA167" s="18" t="b">
        <f xml:space="preserve">    IF(AND(All[[#This Row],[Exam/Def]]&lt;35,OR(All[[#This Row],[Wrote Exam]],All[[#This Row],[Wrote Def]])), TRUE,FALSE)</f>
        <v>0</v>
      </c>
      <c r="AB167" s="18" t="b">
        <f>IF(AND(All[[#This Row],[Exam &lt; 35%]],All[[#This Row],[Final]]&gt;=50),TRUE,FALSE)</f>
        <v>0</v>
      </c>
      <c r="AC167" s="18"/>
    </row>
    <row r="168" spans="1:29" ht="43.2">
      <c r="A168" s="17" t="s">
        <v>437</v>
      </c>
      <c r="B168" s="17" t="s">
        <v>609</v>
      </c>
      <c r="C168" s="100" t="e">
        <f>IF(All[[#This Row],[Student]],
  IF(ISNA(INDEX(#REF!,MATCH(All[[#This Row],[Student No.]],#REF!,0))),
    "Cannot find student!",
    IF(INDEX(#REF!,MATCH(All[[#This Row],[Student No.]],#REF!,0))="",
      "",
      INDEX(#REF!,MATCH(All[[#This Row],[Student No.]],#REF!,0)))
    ),
  "No student!")</f>
        <v>#REF!</v>
      </c>
      <c r="D168"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68" s="18" t="str">
        <f>IF(All[[#This Row],[Student]],
  IF(ISNA(INDEX(Project[Total (%)],MATCH(All[[#This Row],[Student No.]],Project[Student No.],0))),
    "Cannot find student!",
    IF(INDEX(Project[Total (%)],MATCH(All[[#This Row],[Student No.]],Project[Student No.],0))="",
      "",
      INDEX(Project[Total (%)],MATCH(All[[#This Row],[Student No.]],Project[Student No.],0)))
    ),
  "No student!")</f>
        <v/>
      </c>
      <c r="F168" s="201">
        <f>IF(All[[#This Row],[Wrote Def]], INDEX(#REF!, MATCH(All[[#This Row],[Student No.]],#REF!,0)),
  IF(All[[#This Row],[Wrote Exam]], INDEX(Exam[Total (%)], MATCH(All[[#This Row],[Student No.]], Exam[Student No.],0)),
    ""))</f>
        <v>28</v>
      </c>
      <c r="G168" s="18" t="str">
        <f>IF(AND(All[[#This Row],[Student]], All[[#This Row],[All Components]]),
    IF(NOT(All[Has Test Mark]),ROUND((All[[#This Row],[Engagement]]*$C$5+All[[#This Row],[Project]]*$E$5+All[[#This Row],[Exam/Def]]*$F$5)/($C$5+$E$5+$F$5),0),
      ROUND((All[[#This Row],[Engagement]]*$C$5+All[[#This Row],[Test]]*$D$5+All[[#This Row],[Project]]*$E$5+All[[#This Row],[Exam/Def]]*$F$5)/($C$5+$D$5+$E$5+$F$5),0)
  ),
  "")</f>
        <v/>
      </c>
      <c r="H168" s="18" t="str">
        <f>All[[#This Row],[Course Mark]]</f>
        <v/>
      </c>
      <c r="I168" s="18" t="str">
        <f>IF(All[[#This Row],[Wrote Sup]], INDEX(#REF!,MATCH(All[[#This Row],[Student No.]],#REF!,0)), "")</f>
        <v/>
      </c>
      <c r="J168" s="18" t="str">
        <f>IF(AND(All[[#This Row],[Student]],ISNUMBER(All[[#This Row],[Final]])),_xlfn.RANK.EQ(All[[#This Row],[Final]],All[Final]),"")</f>
        <v/>
      </c>
      <c r="K168" s="31"/>
      <c r="L168" s="18" t="str">
        <f>IF(All[[#This Row],[Student]], IF(All[Wrote Sup],All[Sup],All[[#This Row],[Final]]),"No student")</f>
        <v/>
      </c>
      <c r="M168" s="18" t="str">
        <f>IF(All[[#This Row],[Final]]="","",
  IF(All[[#This Row],[Wrote Sup]],
    IF(All[[#This Row],[Sup]]&lt;50,"FAL","PAS"),
  IF(All[[#This Row],[Exam/Def]]&lt;35, "FSB",
    IF(All[[#This Row],[Final]]&lt;50,"FAL",
    IF(All[[#This Row],[Final]]&gt;=50,"PAS",
  "Error!")))))</f>
        <v/>
      </c>
      <c r="N168" s="18">
        <f>IF(All[[#This Row],[Student]], _xlfn.IFNA(INDEX(captured[Course Mark],MATCH(All[[#This Row],[Student No.]],captured[ID_TEXT],0) &amp; ""), "Cannot find student!"),"No student!")</f>
        <v>50</v>
      </c>
      <c r="O168" s="189" t="str">
        <f>IF(All[[#This Row],[Student]], _xlfn.IFNA(INDEX(captured[Grade],MATCH(All[[#This Row],[Student No.]],captured[ID_TEXT],0)), "Cannot find student!") &amp; "","No student!")</f>
        <v/>
      </c>
      <c r="P168"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68" s="18" t="str">
        <f>IF(All[[#This Row],[My Grade]]&lt;&gt;"",IF(All[[#This Row],[My Grade]]&lt;&gt;All[[#This Row],[Cap Grade]],TRUE,FALSE),"")</f>
        <v/>
      </c>
      <c r="R168" s="18" t="b">
        <f>IF(NOT(ISBLANK(All[[#This Row],[Student No.]])),OR(ISNUMBER(FIND("FSB",All[[#This Row],[My Grade]])),ISNUMBER(FIND("PAS", All[[#This Row],[My Grade]])),ISNUMBER(FIND("FAL",All[[#This Row],[My Grade]])),ISNUMBER(FIND("FAB", All[[#This Row],[My Grade]])),COUNTBLANK(All[[#This Row],[My Grade]])=1),FALSE)</f>
        <v>1</v>
      </c>
      <c r="S168" s="18" t="b">
        <f>IF(All[[#This Row],[Student No.]]&lt;&gt;"", TRUE, FALSE)</f>
        <v>1</v>
      </c>
      <c r="T168" s="18" t="b">
        <f>IF(COUNTBLANK(All[[#This Row],[Engagement]:[Exam/Def]])=0,TRUE, FALSE)</f>
        <v>0</v>
      </c>
      <c r="U168" s="18" t="b">
        <f>IF(ISNUMBER(All[[#This Row],[Test]]),TRUE,FALSE)</f>
        <v>0</v>
      </c>
      <c r="V168" s="18" t="e">
        <f>IF((INDEX(Test[Total (%)],MATCH(All[[#This Row],[Student No.]],Test[Student No.],0)))="ABS", TRUE, FALSE)</f>
        <v>#N/A</v>
      </c>
      <c r="W168" s="18" t="b">
        <f>IF(ISNUMBER(INDEX(Exam[Total (%)],MATCH(All[[#This Row],[Student No.]],Exam[Student No.],0))), TRUE, FALSE)</f>
        <v>1</v>
      </c>
      <c r="X168" s="18" t="b">
        <f>IF(ISNUMBER(INDEX(#REF!,MATCH(All[[#This Row],[Student No.]],#REF!,0))),TRUE,FALSE)</f>
        <v>0</v>
      </c>
      <c r="Y168" s="18" t="b">
        <f>IF(ISNUMBER(INDEX(#REF!,MATCH(All[[#This Row],[Student No.]],#REF!,0))),TRUE,FALSE)</f>
        <v>0</v>
      </c>
      <c r="Z168" s="18" t="b">
        <f>IF(All[[#This Row],[Wrote Def]],
IF(INDEX(#REF!, MATCH(All[[#This Row],[Student No.]],#REF!,0))&lt;&gt;All[[#This Row],[Exam/Def]], TRUE, FALSE),
  IF(All[[#This Row],[Wrote Exam]], IF(INDEX(Exam[Total (%)], MATCH(All[[#This Row],[Student No.]],Exam[Student No.],0))&lt;&gt;All[[#This Row],[Exam/Def]],TRUE,FALSE), FALSE))</f>
        <v>0</v>
      </c>
      <c r="AA168" s="18" t="b">
        <f xml:space="preserve">    IF(AND(All[[#This Row],[Exam/Def]]&lt;35,OR(All[[#This Row],[Wrote Exam]],All[[#This Row],[Wrote Def]])), TRUE,FALSE)</f>
        <v>1</v>
      </c>
      <c r="AB168" s="18" t="b">
        <f>IF(AND(All[[#This Row],[Exam &lt; 35%]],All[[#This Row],[Final]]&gt;=50),TRUE,FALSE)</f>
        <v>1</v>
      </c>
      <c r="AC168" s="18"/>
    </row>
    <row r="169" spans="1:29" ht="43.2">
      <c r="A169" s="17" t="s">
        <v>438</v>
      </c>
      <c r="B169" s="17" t="s">
        <v>610</v>
      </c>
      <c r="C169" s="100" t="e">
        <f>IF(All[[#This Row],[Student]],
  IF(ISNA(INDEX(#REF!,MATCH(All[[#This Row],[Student No.]],#REF!,0))),
    "Cannot find student!",
    IF(INDEX(#REF!,MATCH(All[[#This Row],[Student No.]],#REF!,0))="",
      "",
      INDEX(#REF!,MATCH(All[[#This Row],[Student No.]],#REF!,0)))
    ),
  "No student!")</f>
        <v>#REF!</v>
      </c>
      <c r="D169"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69" s="18" t="str">
        <f>IF(All[[#This Row],[Student]],
  IF(ISNA(INDEX(Project[Total (%)],MATCH(All[[#This Row],[Student No.]],Project[Student No.],0))),
    "Cannot find student!",
    IF(INDEX(Project[Total (%)],MATCH(All[[#This Row],[Student No.]],Project[Student No.],0))="",
      "",
      INDEX(Project[Total (%)],MATCH(All[[#This Row],[Student No.]],Project[Student No.],0)))
    ),
  "No student!")</f>
        <v/>
      </c>
      <c r="F169" s="201">
        <f>IF(All[[#This Row],[Wrote Def]], INDEX(#REF!, MATCH(All[[#This Row],[Student No.]],#REF!,0)),
  IF(All[[#This Row],[Wrote Exam]], INDEX(Exam[Total (%)], MATCH(All[[#This Row],[Student No.]], Exam[Student No.],0)),
    ""))</f>
        <v>14</v>
      </c>
      <c r="G169" s="18" t="str">
        <f>IF(AND(All[[#This Row],[Student]], All[[#This Row],[All Components]]),
    IF(NOT(All[Has Test Mark]),ROUND((All[[#This Row],[Engagement]]*$C$5+All[[#This Row],[Project]]*$E$5+All[[#This Row],[Exam/Def]]*$F$5)/($C$5+$E$5+$F$5),0),
      ROUND((All[[#This Row],[Engagement]]*$C$5+All[[#This Row],[Test]]*$D$5+All[[#This Row],[Project]]*$E$5+All[[#This Row],[Exam/Def]]*$F$5)/($C$5+$D$5+$E$5+$F$5),0)
  ),
  "")</f>
        <v/>
      </c>
      <c r="H169" s="18" t="str">
        <f>All[[#This Row],[Course Mark]]</f>
        <v/>
      </c>
      <c r="I169" s="18" t="str">
        <f>IF(All[[#This Row],[Wrote Sup]], INDEX(#REF!,MATCH(All[[#This Row],[Student No.]],#REF!,0)), "")</f>
        <v/>
      </c>
      <c r="J169" s="18" t="str">
        <f>IF(AND(All[[#This Row],[Student]],ISNUMBER(All[[#This Row],[Final]])),_xlfn.RANK.EQ(All[[#This Row],[Final]],All[Final]),"")</f>
        <v/>
      </c>
      <c r="K169" s="31"/>
      <c r="L169" s="18" t="str">
        <f>IF(All[[#This Row],[Student]], IF(All[Wrote Sup],All[Sup],All[[#This Row],[Final]]),"No student")</f>
        <v/>
      </c>
      <c r="M169" s="18" t="str">
        <f>IF(All[[#This Row],[Final]]="","",
  IF(All[[#This Row],[Wrote Sup]],
    IF(All[[#This Row],[Sup]]&lt;50,"FAL","PAS"),
  IF(All[[#This Row],[Exam/Def]]&lt;35, "FSB",
    IF(All[[#This Row],[Final]]&lt;50,"FAL",
    IF(All[[#This Row],[Final]]&gt;=50,"PAS",
  "Error!")))))</f>
        <v/>
      </c>
      <c r="N169" s="18">
        <f>IF(All[[#This Row],[Student]], _xlfn.IFNA(INDEX(captured[Course Mark],MATCH(All[[#This Row],[Student No.]],captured[ID_TEXT],0) &amp; ""), "Cannot find student!"),"No student!")</f>
        <v>9</v>
      </c>
      <c r="O169" s="189" t="str">
        <f>IF(All[[#This Row],[Student]], _xlfn.IFNA(INDEX(captured[Grade],MATCH(All[[#This Row],[Student No.]],captured[ID_TEXT],0)), "Cannot find student!") &amp; "","No student!")</f>
        <v>FSB</v>
      </c>
      <c r="P169"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69" s="18" t="str">
        <f>IF(All[[#This Row],[My Grade]]&lt;&gt;"",IF(All[[#This Row],[My Grade]]&lt;&gt;All[[#This Row],[Cap Grade]],TRUE,FALSE),"")</f>
        <v/>
      </c>
      <c r="R169" s="18" t="b">
        <f>IF(NOT(ISBLANK(All[[#This Row],[Student No.]])),OR(ISNUMBER(FIND("FSB",All[[#This Row],[My Grade]])),ISNUMBER(FIND("PAS", All[[#This Row],[My Grade]])),ISNUMBER(FIND("FAL",All[[#This Row],[My Grade]])),ISNUMBER(FIND("FAB", All[[#This Row],[My Grade]])),COUNTBLANK(All[[#This Row],[My Grade]])=1),FALSE)</f>
        <v>1</v>
      </c>
      <c r="S169" s="18" t="b">
        <f>IF(All[[#This Row],[Student No.]]&lt;&gt;"", TRUE, FALSE)</f>
        <v>1</v>
      </c>
      <c r="T169" s="18" t="b">
        <f>IF(COUNTBLANK(All[[#This Row],[Engagement]:[Exam/Def]])=0,TRUE, FALSE)</f>
        <v>0</v>
      </c>
      <c r="U169" s="18" t="b">
        <f>IF(ISNUMBER(All[[#This Row],[Test]]),TRUE,FALSE)</f>
        <v>0</v>
      </c>
      <c r="V169" s="18" t="e">
        <f>IF((INDEX(Test[Total (%)],MATCH(All[[#This Row],[Student No.]],Test[Student No.],0)))="ABS", TRUE, FALSE)</f>
        <v>#N/A</v>
      </c>
      <c r="W169" s="18" t="b">
        <f>IF(ISNUMBER(INDEX(Exam[Total (%)],MATCH(All[[#This Row],[Student No.]],Exam[Student No.],0))), TRUE, FALSE)</f>
        <v>1</v>
      </c>
      <c r="X169" s="18" t="b">
        <f>IF(ISNUMBER(INDEX(#REF!,MATCH(All[[#This Row],[Student No.]],#REF!,0))),TRUE,FALSE)</f>
        <v>0</v>
      </c>
      <c r="Y169" s="18" t="b">
        <f>IF(ISNUMBER(INDEX(#REF!,MATCH(All[[#This Row],[Student No.]],#REF!,0))),TRUE,FALSE)</f>
        <v>0</v>
      </c>
      <c r="Z169" s="18" t="b">
        <f>IF(All[[#This Row],[Wrote Def]],
IF(INDEX(#REF!, MATCH(All[[#This Row],[Student No.]],#REF!,0))&lt;&gt;All[[#This Row],[Exam/Def]], TRUE, FALSE),
  IF(All[[#This Row],[Wrote Exam]], IF(INDEX(Exam[Total (%)], MATCH(All[[#This Row],[Student No.]],Exam[Student No.],0))&lt;&gt;All[[#This Row],[Exam/Def]],TRUE,FALSE), FALSE))</f>
        <v>0</v>
      </c>
      <c r="AA169" s="18" t="b">
        <f xml:space="preserve">    IF(AND(All[[#This Row],[Exam/Def]]&lt;35,OR(All[[#This Row],[Wrote Exam]],All[[#This Row],[Wrote Def]])), TRUE,FALSE)</f>
        <v>1</v>
      </c>
      <c r="AB169" s="18" t="b">
        <f>IF(AND(All[[#This Row],[Exam &lt; 35%]],All[[#This Row],[Final]]&gt;=50),TRUE,FALSE)</f>
        <v>1</v>
      </c>
      <c r="AC169" s="18"/>
    </row>
    <row r="170" spans="1:29" ht="43.2">
      <c r="A170" s="17" t="s">
        <v>439</v>
      </c>
      <c r="B170" s="17" t="s">
        <v>611</v>
      </c>
      <c r="C170" s="100" t="e">
        <f>IF(All[[#This Row],[Student]],
  IF(ISNA(INDEX(#REF!,MATCH(All[[#This Row],[Student No.]],#REF!,0))),
    "Cannot find student!",
    IF(INDEX(#REF!,MATCH(All[[#This Row],[Student No.]],#REF!,0))="",
      "",
      INDEX(#REF!,MATCH(All[[#This Row],[Student No.]],#REF!,0)))
    ),
  "No student!")</f>
        <v>#REF!</v>
      </c>
      <c r="D170"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70" s="18" t="str">
        <f>IF(All[[#This Row],[Student]],
  IF(ISNA(INDEX(Project[Total (%)],MATCH(All[[#This Row],[Student No.]],Project[Student No.],0))),
    "Cannot find student!",
    IF(INDEX(Project[Total (%)],MATCH(All[[#This Row],[Student No.]],Project[Student No.],0))="",
      "",
      INDEX(Project[Total (%)],MATCH(All[[#This Row],[Student No.]],Project[Student No.],0)))
    ),
  "No student!")</f>
        <v/>
      </c>
      <c r="F170" s="201">
        <f>IF(All[[#This Row],[Wrote Def]], INDEX(#REF!, MATCH(All[[#This Row],[Student No.]],#REF!,0)),
  IF(All[[#This Row],[Wrote Exam]], INDEX(Exam[Total (%)], MATCH(All[[#This Row],[Student No.]], Exam[Student No.],0)),
    ""))</f>
        <v>76</v>
      </c>
      <c r="G170" s="18" t="str">
        <f>IF(AND(All[[#This Row],[Student]], All[[#This Row],[All Components]]),
    IF(NOT(All[Has Test Mark]),ROUND((All[[#This Row],[Engagement]]*$C$5+All[[#This Row],[Project]]*$E$5+All[[#This Row],[Exam/Def]]*$F$5)/($C$5+$E$5+$F$5),0),
      ROUND((All[[#This Row],[Engagement]]*$C$5+All[[#This Row],[Test]]*$D$5+All[[#This Row],[Project]]*$E$5+All[[#This Row],[Exam/Def]]*$F$5)/($C$5+$D$5+$E$5+$F$5),0)
  ),
  "")</f>
        <v/>
      </c>
      <c r="H170" s="18" t="str">
        <f>All[[#This Row],[Course Mark]]</f>
        <v/>
      </c>
      <c r="I170" s="18" t="str">
        <f>IF(All[[#This Row],[Wrote Sup]], INDEX(#REF!,MATCH(All[[#This Row],[Student No.]],#REF!,0)), "")</f>
        <v/>
      </c>
      <c r="J170" s="18" t="str">
        <f>IF(AND(All[[#This Row],[Student]],ISNUMBER(All[[#This Row],[Final]])),_xlfn.RANK.EQ(All[[#This Row],[Final]],All[Final]),"")</f>
        <v/>
      </c>
      <c r="K170" s="31"/>
      <c r="L170" s="18" t="str">
        <f>IF(All[[#This Row],[Student]], IF(All[Wrote Sup],All[Sup],All[[#This Row],[Final]]),"No student")</f>
        <v/>
      </c>
      <c r="M170" s="18" t="str">
        <f>IF(All[[#This Row],[Final]]="","",
  IF(All[[#This Row],[Wrote Sup]],
    IF(All[[#This Row],[Sup]]&lt;50,"FAL","PAS"),
  IF(All[[#This Row],[Exam/Def]]&lt;35, "FSB",
    IF(All[[#This Row],[Final]]&lt;50,"FAL",
    IF(All[[#This Row],[Final]]&gt;=50,"PAS",
  "Error!")))))</f>
        <v/>
      </c>
      <c r="N170" s="18">
        <f>IF(All[[#This Row],[Student]], _xlfn.IFNA(INDEX(captured[Course Mark],MATCH(All[[#This Row],[Student No.]],captured[ID_TEXT],0) &amp; ""), "Cannot find student!"),"No student!")</f>
        <v>83</v>
      </c>
      <c r="O170" s="189" t="str">
        <f>IF(All[[#This Row],[Student]], _xlfn.IFNA(INDEX(captured[Grade],MATCH(All[[#This Row],[Student No.]],captured[ID_TEXT],0)), "Cannot find student!") &amp; "","No student!")</f>
        <v>PAS</v>
      </c>
      <c r="P170"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70" s="18" t="str">
        <f>IF(All[[#This Row],[My Grade]]&lt;&gt;"",IF(All[[#This Row],[My Grade]]&lt;&gt;All[[#This Row],[Cap Grade]],TRUE,FALSE),"")</f>
        <v/>
      </c>
      <c r="R170" s="18" t="b">
        <f>IF(NOT(ISBLANK(All[[#This Row],[Student No.]])),OR(ISNUMBER(FIND("FSB",All[[#This Row],[My Grade]])),ISNUMBER(FIND("PAS", All[[#This Row],[My Grade]])),ISNUMBER(FIND("FAL",All[[#This Row],[My Grade]])),ISNUMBER(FIND("FAB", All[[#This Row],[My Grade]])),COUNTBLANK(All[[#This Row],[My Grade]])=1),FALSE)</f>
        <v>1</v>
      </c>
      <c r="S170" s="18" t="b">
        <f>IF(All[[#This Row],[Student No.]]&lt;&gt;"", TRUE, FALSE)</f>
        <v>1</v>
      </c>
      <c r="T170" s="18" t="b">
        <f>IF(COUNTBLANK(All[[#This Row],[Engagement]:[Exam/Def]])=0,TRUE, FALSE)</f>
        <v>0</v>
      </c>
      <c r="U170" s="18" t="b">
        <f>IF(ISNUMBER(All[[#This Row],[Test]]),TRUE,FALSE)</f>
        <v>0</v>
      </c>
      <c r="V170" s="18" t="e">
        <f>IF((INDEX(Test[Total (%)],MATCH(All[[#This Row],[Student No.]],Test[Student No.],0)))="ABS", TRUE, FALSE)</f>
        <v>#N/A</v>
      </c>
      <c r="W170" s="18" t="b">
        <f>IF(ISNUMBER(INDEX(Exam[Total (%)],MATCH(All[[#This Row],[Student No.]],Exam[Student No.],0))), TRUE, FALSE)</f>
        <v>1</v>
      </c>
      <c r="X170" s="18" t="b">
        <f>IF(ISNUMBER(INDEX(#REF!,MATCH(All[[#This Row],[Student No.]],#REF!,0))),TRUE,FALSE)</f>
        <v>0</v>
      </c>
      <c r="Y170" s="18" t="b">
        <f>IF(ISNUMBER(INDEX(#REF!,MATCH(All[[#This Row],[Student No.]],#REF!,0))),TRUE,FALSE)</f>
        <v>0</v>
      </c>
      <c r="Z170" s="18" t="b">
        <f>IF(All[[#This Row],[Wrote Def]],
IF(INDEX(#REF!, MATCH(All[[#This Row],[Student No.]],#REF!,0))&lt;&gt;All[[#This Row],[Exam/Def]], TRUE, FALSE),
  IF(All[[#This Row],[Wrote Exam]], IF(INDEX(Exam[Total (%)], MATCH(All[[#This Row],[Student No.]],Exam[Student No.],0))&lt;&gt;All[[#This Row],[Exam/Def]],TRUE,FALSE), FALSE))</f>
        <v>0</v>
      </c>
      <c r="AA170" s="18" t="b">
        <f xml:space="preserve">    IF(AND(All[[#This Row],[Exam/Def]]&lt;35,OR(All[[#This Row],[Wrote Exam]],All[[#This Row],[Wrote Def]])), TRUE,FALSE)</f>
        <v>0</v>
      </c>
      <c r="AB170" s="18" t="b">
        <f>IF(AND(All[[#This Row],[Exam &lt; 35%]],All[[#This Row],[Final]]&gt;=50),TRUE,FALSE)</f>
        <v>0</v>
      </c>
      <c r="AC170" s="18"/>
    </row>
    <row r="171" spans="1:29" ht="43.2">
      <c r="A171" s="17" t="s">
        <v>440</v>
      </c>
      <c r="B171" s="17" t="s">
        <v>612</v>
      </c>
      <c r="C171" s="100" t="e">
        <f>IF(All[[#This Row],[Student]],
  IF(ISNA(INDEX(#REF!,MATCH(All[[#This Row],[Student No.]],#REF!,0))),
    "Cannot find student!",
    IF(INDEX(#REF!,MATCH(All[[#This Row],[Student No.]],#REF!,0))="",
      "",
      INDEX(#REF!,MATCH(All[[#This Row],[Student No.]],#REF!,0)))
    ),
  "No student!")</f>
        <v>#REF!</v>
      </c>
      <c r="D171"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71" s="18" t="str">
        <f>IF(All[[#This Row],[Student]],
  IF(ISNA(INDEX(Project[Total (%)],MATCH(All[[#This Row],[Student No.]],Project[Student No.],0))),
    "Cannot find student!",
    IF(INDEX(Project[Total (%)],MATCH(All[[#This Row],[Student No.]],Project[Student No.],0))="",
      "",
      INDEX(Project[Total (%)],MATCH(All[[#This Row],[Student No.]],Project[Student No.],0)))
    ),
  "No student!")</f>
        <v/>
      </c>
      <c r="F171" s="201">
        <f>IF(All[[#This Row],[Wrote Def]], INDEX(#REF!, MATCH(All[[#This Row],[Student No.]],#REF!,0)),
  IF(All[[#This Row],[Wrote Exam]], INDEX(Exam[Total (%)], MATCH(All[[#This Row],[Student No.]], Exam[Student No.],0)),
    ""))</f>
        <v>33</v>
      </c>
      <c r="G171" s="18" t="str">
        <f>IF(AND(All[[#This Row],[Student]], All[[#This Row],[All Components]]),
    IF(NOT(All[Has Test Mark]),ROUND((All[[#This Row],[Engagement]]*$C$5+All[[#This Row],[Project]]*$E$5+All[[#This Row],[Exam/Def]]*$F$5)/($C$5+$E$5+$F$5),0),
      ROUND((All[[#This Row],[Engagement]]*$C$5+All[[#This Row],[Test]]*$D$5+All[[#This Row],[Project]]*$E$5+All[[#This Row],[Exam/Def]]*$F$5)/($C$5+$D$5+$E$5+$F$5),0)
  ),
  "")</f>
        <v/>
      </c>
      <c r="H171" s="18" t="str">
        <f>All[[#This Row],[Course Mark]]</f>
        <v/>
      </c>
      <c r="I171" s="18" t="str">
        <f>IF(All[[#This Row],[Wrote Sup]], INDEX(#REF!,MATCH(All[[#This Row],[Student No.]],#REF!,0)), "")</f>
        <v/>
      </c>
      <c r="J171" s="18" t="str">
        <f>IF(AND(All[[#This Row],[Student]],ISNUMBER(All[[#This Row],[Final]])),_xlfn.RANK.EQ(All[[#This Row],[Final]],All[Final]),"")</f>
        <v/>
      </c>
      <c r="K171" s="31"/>
      <c r="L171" s="18" t="str">
        <f>IF(All[[#This Row],[Student]], IF(All[Wrote Sup],All[Sup],All[[#This Row],[Final]]),"No student")</f>
        <v/>
      </c>
      <c r="M171" s="18" t="str">
        <f>IF(All[[#This Row],[Final]]="","",
  IF(All[[#This Row],[Wrote Sup]],
    IF(All[[#This Row],[Sup]]&lt;50,"FAL","PAS"),
  IF(All[[#This Row],[Exam/Def]]&lt;35, "FSB",
    IF(All[[#This Row],[Final]]&lt;50,"FAL",
    IF(All[[#This Row],[Final]]&gt;=50,"PAS",
  "Error!")))))</f>
        <v/>
      </c>
      <c r="N171" s="18">
        <f>IF(All[[#This Row],[Student]], _xlfn.IFNA(INDEX(captured[Course Mark],MATCH(All[[#This Row],[Student No.]],captured[ID_TEXT],0) &amp; ""), "Cannot find student!"),"No student!")</f>
        <v>27</v>
      </c>
      <c r="O171" s="189" t="str">
        <f>IF(All[[#This Row],[Student]], _xlfn.IFNA(INDEX(captured[Grade],MATCH(All[[#This Row],[Student No.]],captured[ID_TEXT],0)), "Cannot find student!") &amp; "","No student!")</f>
        <v>FSB</v>
      </c>
      <c r="P171"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71" s="18" t="str">
        <f>IF(All[[#This Row],[My Grade]]&lt;&gt;"",IF(All[[#This Row],[My Grade]]&lt;&gt;All[[#This Row],[Cap Grade]],TRUE,FALSE),"")</f>
        <v/>
      </c>
      <c r="R171" s="18" t="b">
        <f>IF(NOT(ISBLANK(All[[#This Row],[Student No.]])),OR(ISNUMBER(FIND("FSB",All[[#This Row],[My Grade]])),ISNUMBER(FIND("PAS", All[[#This Row],[My Grade]])),ISNUMBER(FIND("FAL",All[[#This Row],[My Grade]])),ISNUMBER(FIND("FAB", All[[#This Row],[My Grade]])),COUNTBLANK(All[[#This Row],[My Grade]])=1),FALSE)</f>
        <v>1</v>
      </c>
      <c r="S171" s="18" t="b">
        <f>IF(All[[#This Row],[Student No.]]&lt;&gt;"", TRUE, FALSE)</f>
        <v>1</v>
      </c>
      <c r="T171" s="18" t="b">
        <f>IF(COUNTBLANK(All[[#This Row],[Engagement]:[Exam/Def]])=0,TRUE, FALSE)</f>
        <v>0</v>
      </c>
      <c r="U171" s="18" t="b">
        <f>IF(ISNUMBER(All[[#This Row],[Test]]),TRUE,FALSE)</f>
        <v>0</v>
      </c>
      <c r="V171" s="18" t="e">
        <f>IF((INDEX(Test[Total (%)],MATCH(All[[#This Row],[Student No.]],Test[Student No.],0)))="ABS", TRUE, FALSE)</f>
        <v>#N/A</v>
      </c>
      <c r="W171" s="18" t="b">
        <f>IF(ISNUMBER(INDEX(Exam[Total (%)],MATCH(All[[#This Row],[Student No.]],Exam[Student No.],0))), TRUE, FALSE)</f>
        <v>1</v>
      </c>
      <c r="X171" s="18" t="b">
        <f>IF(ISNUMBER(INDEX(#REF!,MATCH(All[[#This Row],[Student No.]],#REF!,0))),TRUE,FALSE)</f>
        <v>0</v>
      </c>
      <c r="Y171" s="18" t="b">
        <f>IF(ISNUMBER(INDEX(#REF!,MATCH(All[[#This Row],[Student No.]],#REF!,0))),TRUE,FALSE)</f>
        <v>0</v>
      </c>
      <c r="Z171" s="18" t="b">
        <f>IF(All[[#This Row],[Wrote Def]],
IF(INDEX(#REF!, MATCH(All[[#This Row],[Student No.]],#REF!,0))&lt;&gt;All[[#This Row],[Exam/Def]], TRUE, FALSE),
  IF(All[[#This Row],[Wrote Exam]], IF(INDEX(Exam[Total (%)], MATCH(All[[#This Row],[Student No.]],Exam[Student No.],0))&lt;&gt;All[[#This Row],[Exam/Def]],TRUE,FALSE), FALSE))</f>
        <v>0</v>
      </c>
      <c r="AA171" s="18" t="b">
        <f xml:space="preserve">    IF(AND(All[[#This Row],[Exam/Def]]&lt;35,OR(All[[#This Row],[Wrote Exam]],All[[#This Row],[Wrote Def]])), TRUE,FALSE)</f>
        <v>1</v>
      </c>
      <c r="AB171" s="18" t="b">
        <f>IF(AND(All[[#This Row],[Exam &lt; 35%]],All[[#This Row],[Final]]&gt;=50),TRUE,FALSE)</f>
        <v>1</v>
      </c>
      <c r="AC171" s="18"/>
    </row>
    <row r="172" spans="1:29" ht="43.2">
      <c r="A172" s="17" t="s">
        <v>441</v>
      </c>
      <c r="B172" s="17" t="s">
        <v>613</v>
      </c>
      <c r="C172" s="100" t="e">
        <f>IF(All[[#This Row],[Student]],
  IF(ISNA(INDEX(#REF!,MATCH(All[[#This Row],[Student No.]],#REF!,0))),
    "Cannot find student!",
    IF(INDEX(#REF!,MATCH(All[[#This Row],[Student No.]],#REF!,0))="",
      "",
      INDEX(#REF!,MATCH(All[[#This Row],[Student No.]],#REF!,0)))
    ),
  "No student!")</f>
        <v>#REF!</v>
      </c>
      <c r="D172"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72" s="18" t="str">
        <f>IF(All[[#This Row],[Student]],
  IF(ISNA(INDEX(Project[Total (%)],MATCH(All[[#This Row],[Student No.]],Project[Student No.],0))),
    "Cannot find student!",
    IF(INDEX(Project[Total (%)],MATCH(All[[#This Row],[Student No.]],Project[Student No.],0))="",
      "",
      INDEX(Project[Total (%)],MATCH(All[[#This Row],[Student No.]],Project[Student No.],0)))
    ),
  "No student!")</f>
        <v/>
      </c>
      <c r="F172" s="201">
        <f>IF(All[[#This Row],[Wrote Def]], INDEX(#REF!, MATCH(All[[#This Row],[Student No.]],#REF!,0)),
  IF(All[[#This Row],[Wrote Exam]], INDEX(Exam[Total (%)], MATCH(All[[#This Row],[Student No.]], Exam[Student No.],0)),
    ""))</f>
        <v>32</v>
      </c>
      <c r="G172" s="18" t="str">
        <f>IF(AND(All[[#This Row],[Student]], All[[#This Row],[All Components]]),
    IF(NOT(All[Has Test Mark]),ROUND((All[[#This Row],[Engagement]]*$C$5+All[[#This Row],[Project]]*$E$5+All[[#This Row],[Exam/Def]]*$F$5)/($C$5+$E$5+$F$5),0),
      ROUND((All[[#This Row],[Engagement]]*$C$5+All[[#This Row],[Test]]*$D$5+All[[#This Row],[Project]]*$E$5+All[[#This Row],[Exam/Def]]*$F$5)/($C$5+$D$5+$E$5+$F$5),0)
  ),
  "")</f>
        <v/>
      </c>
      <c r="H172" s="18" t="str">
        <f>All[[#This Row],[Course Mark]]</f>
        <v/>
      </c>
      <c r="I172" s="18" t="str">
        <f>IF(All[[#This Row],[Wrote Sup]], INDEX(#REF!,MATCH(All[[#This Row],[Student No.]],#REF!,0)), "")</f>
        <v/>
      </c>
      <c r="J172" s="18" t="str">
        <f>IF(AND(All[[#This Row],[Student]],ISNUMBER(All[[#This Row],[Final]])),_xlfn.RANK.EQ(All[[#This Row],[Final]],All[Final]),"")</f>
        <v/>
      </c>
      <c r="K172" s="31"/>
      <c r="L172" s="18" t="str">
        <f>IF(All[[#This Row],[Student]], IF(All[Wrote Sup],All[Sup],All[[#This Row],[Final]]),"No student")</f>
        <v/>
      </c>
      <c r="M172" s="18" t="str">
        <f>IF(All[[#This Row],[Final]]="","",
  IF(All[[#This Row],[Wrote Sup]],
    IF(All[[#This Row],[Sup]]&lt;50,"FAL","PAS"),
  IF(All[[#This Row],[Exam/Def]]&lt;35, "FSB",
    IF(All[[#This Row],[Final]]&lt;50,"FAL",
    IF(All[[#This Row],[Final]]&gt;=50,"PAS",
  "Error!")))))</f>
        <v/>
      </c>
      <c r="N172" s="18">
        <f>IF(All[[#This Row],[Student]], _xlfn.IFNA(INDEX(captured[Course Mark],MATCH(All[[#This Row],[Student No.]],captured[ID_TEXT],0) &amp; ""), "Cannot find student!"),"No student!")</f>
        <v>50</v>
      </c>
      <c r="O172" s="189" t="str">
        <f>IF(All[[#This Row],[Student]], _xlfn.IFNA(INDEX(captured[Grade],MATCH(All[[#This Row],[Student No.]],captured[ID_TEXT],0)), "Cannot find student!") &amp; "","No student!")</f>
        <v/>
      </c>
      <c r="P172" s="18" t="b">
        <f xml:space="preserve"> IF(AND(ISNUMBER(All[[#This Row],[Cap Mark]]), ISNUMBER(All[[#This Row],[My Mark]])), ABS(All[[#This Row],[Cap Mark]] - All[[#This Row],[My Mark]]) &lt;&gt; 0,
    IF(AND(ISNUMBER(All[[#This Row],[My Mark]]),NOT(ISNUMBER(All[[#This Row],[Cap Mark]]))),TRUE,
    IF(AND(ISNUMBER(All[[#This Row],[Cap Mark]]),NOT(ISNUMBER(All[[#This Row],[My Mark]]))),TRUE,FALSE)
    ))</f>
        <v>1</v>
      </c>
      <c r="Q172" s="18" t="str">
        <f>IF(All[[#This Row],[My Grade]]&lt;&gt;"",IF(All[[#This Row],[My Grade]]&lt;&gt;All[[#This Row],[Cap Grade]],TRUE,FALSE),"")</f>
        <v/>
      </c>
      <c r="R172" s="18" t="b">
        <f>IF(NOT(ISBLANK(All[[#This Row],[Student No.]])),OR(ISNUMBER(FIND("FSB",All[[#This Row],[My Grade]])),ISNUMBER(FIND("PAS", All[[#This Row],[My Grade]])),ISNUMBER(FIND("FAL",All[[#This Row],[My Grade]])),ISNUMBER(FIND("FAB", All[[#This Row],[My Grade]])),COUNTBLANK(All[[#This Row],[My Grade]])=1),FALSE)</f>
        <v>1</v>
      </c>
      <c r="S172" s="18" t="b">
        <f>IF(All[[#This Row],[Student No.]]&lt;&gt;"", TRUE, FALSE)</f>
        <v>1</v>
      </c>
      <c r="T172" s="18" t="b">
        <f>IF(COUNTBLANK(All[[#This Row],[Engagement]:[Exam/Def]])=0,TRUE, FALSE)</f>
        <v>0</v>
      </c>
      <c r="U172" s="18" t="b">
        <f>IF(ISNUMBER(All[[#This Row],[Test]]),TRUE,FALSE)</f>
        <v>0</v>
      </c>
      <c r="V172" s="18" t="e">
        <f>IF((INDEX(Test[Total (%)],MATCH(All[[#This Row],[Student No.]],Test[Student No.],0)))="ABS", TRUE, FALSE)</f>
        <v>#N/A</v>
      </c>
      <c r="W172" s="18" t="b">
        <f>IF(ISNUMBER(INDEX(Exam[Total (%)],MATCH(All[[#This Row],[Student No.]],Exam[Student No.],0))), TRUE, FALSE)</f>
        <v>1</v>
      </c>
      <c r="X172" s="18" t="b">
        <f>IF(ISNUMBER(INDEX(#REF!,MATCH(All[[#This Row],[Student No.]],#REF!,0))),TRUE,FALSE)</f>
        <v>0</v>
      </c>
      <c r="Y172" s="18" t="b">
        <f>IF(ISNUMBER(INDEX(#REF!,MATCH(All[[#This Row],[Student No.]],#REF!,0))),TRUE,FALSE)</f>
        <v>0</v>
      </c>
      <c r="Z172" s="18" t="b">
        <f>IF(All[[#This Row],[Wrote Def]],
IF(INDEX(#REF!, MATCH(All[[#This Row],[Student No.]],#REF!,0))&lt;&gt;All[[#This Row],[Exam/Def]], TRUE, FALSE),
  IF(All[[#This Row],[Wrote Exam]], IF(INDEX(Exam[Total (%)], MATCH(All[[#This Row],[Student No.]],Exam[Student No.],0))&lt;&gt;All[[#This Row],[Exam/Def]],TRUE,FALSE), FALSE))</f>
        <v>0</v>
      </c>
      <c r="AA172" s="18" t="b">
        <f xml:space="preserve">    IF(AND(All[[#This Row],[Exam/Def]]&lt;35,OR(All[[#This Row],[Wrote Exam]],All[[#This Row],[Wrote Def]])), TRUE,FALSE)</f>
        <v>1</v>
      </c>
      <c r="AB172" s="18" t="b">
        <f>IF(AND(All[[#This Row],[Exam &lt; 35%]],All[[#This Row],[Final]]&gt;=50),TRUE,FALSE)</f>
        <v>1</v>
      </c>
      <c r="AC172" s="18"/>
    </row>
    <row r="173" spans="1:29" ht="43.2">
      <c r="A173" s="17" t="s">
        <v>447</v>
      </c>
      <c r="B173" s="17" t="s">
        <v>614</v>
      </c>
      <c r="C173" s="100" t="e">
        <f>IF(All[[#This Row],[Student]],
  IF(ISNA(INDEX(#REF!,MATCH(All[[#This Row],[Student No.]],#REF!,0))),
    "Cannot find student!",
    IF(INDEX(#REF!,MATCH(All[[#This Row],[Student No.]],#REF!,0))="",
      "",
      INDEX(#REF!,MATCH(All[[#This Row],[Student No.]],#REF!,0)))
    ),
  "No student!")</f>
        <v>#REF!</v>
      </c>
      <c r="D173" s="100" t="str">
        <f>IF(All[[#This Row],[Student]],
  IF(ISNA(INDEX(Test[Total (%)],MATCH(All[[#This Row],[Student No.]],Test[Student No.],0))),
    "Cannot find student!",
    IF(INDEX(Test[Total (%)],MATCH(All[[#This Row],[Student No.]],Test[Student No.],0))="ABS",
      0,
    IF(INDEX(Test[Total (%)],MATCH(All[[#This Row],[Student No.]],Test[Student No.],0))="",
      "",
      INDEX(Test[Total (%)],MATCH(All[[#This Row],[Student No.]],Test[Student No.],0))))
    ),
  "No student!")</f>
        <v>Cannot find student!</v>
      </c>
      <c r="E173" s="18" t="str">
        <f>IF(All[[#This Row],[Student]],
  IF(ISNA(INDEX(Project[Total (%)],MATCH(All[[#This Row],[Student No.]],Project[Student No.],0))),
    "Cannot find student!",
    IF(INDEX(Project[Total (%)],MATCH(All[[#This Row],[Student No.]],Project[Student No.],0))="",
      "",
      INDEX(Project[Total (%)],MATCH(All[[#This Row],[Student No.]],Project[Student No.],0)))
    ),
  "No student!")</f>
        <v/>
      </c>
      <c r="F173" s="201" t="str">
        <f>IF(All[[#This Row],[Wrote Def]], INDEX(#REF!, MATCH(All[[#This Row],[Student No.]],#REF!,0)),
  IF(All[[#This Row],[Wrote Exam]], INDEX(Exam[Total (%)], MATCH(All[[#This Row],[Student No.]], Exam[Student No.],0)),
    ""))</f>
        <v/>
      </c>
      <c r="G173" s="18" t="str">
        <f>IF(AND(All[[#This Row],[Student]], All[[#This Row],[All Components]]),
    IF(NOT(All[Has Test Mark]),ROUND((All[[#This Row],[Engagement]]*$C$5+All[[#This Row],[Project]]*$E$5+All[[#This Row],[Exam/Def]]*$F$5)/($C$5+$E$5+$F$5),0),
      ROUND((All[[#This Row],[Engagement]]*$C$5+All[[#This Row],[Test]]*$D$5+All[[#This Row],[Project]]*$E$5+All[[#This Row],[Exam/Def]]*$F$5)/($C$5+$D$5+$E$5+$F$5),0)
  ),
  "")</f>
        <v/>
      </c>
      <c r="H173" s="18" t="str">
        <f>All[[#This Row],[Course Mark]]</f>
        <v/>
      </c>
      <c r="I173" s="18" t="str">
        <f>IF(All[[#This Row],[Wrote Sup]], INDEX(#REF!,MATCH(All[[#This Row],[Student No.]],#REF!,0)), "")</f>
        <v/>
      </c>
      <c r="J173" s="18" t="str">
        <f>IF(AND(All[[#This Row],[Student]],ISNUMBER(All[[#This Row],[Final]])),_xlfn.RANK.EQ(All[[#This Row],[Final]],All[Final]),"")</f>
        <v/>
      </c>
      <c r="K173" s="31"/>
      <c r="L173" s="18" t="str">
        <f>IF(All[[#This Row],[Student]], IF(All[Wrote Sup],All[Sup],All[[#This Row],[Final]]),"No student")</f>
        <v/>
      </c>
      <c r="M173" s="18" t="str">
        <f>IF(All[[#This Row],[Final]]="","",
  IF(All[[#This Row],[Wrote Sup]],
    IF(All[[#This Row],[Sup]]&lt;50,"FAL","PAS"),
  IF(All[[#This Row],[Exam/Def]]&lt;35, "FSB",
    IF(All[[#This Row],[Final]]&lt;50,"FAL",
    IF(All[[#This Row],[Final]]&gt;=50,"PAS",
  "Error!")))))</f>
        <v/>
      </c>
      <c r="N173" s="18" t="str">
        <f>IF(All[[#This Row],[Student]], _xlfn.IFNA(INDEX(captured[Course Mark],MATCH(All[[#This Row],[Student No.]],captured[ID_TEXT],0) &amp; ""), "Cannot find student!"),"No student!")</f>
        <v>FABS</v>
      </c>
      <c r="O173" s="189" t="str">
        <f>IF(All[[#This Row],[Student]], _xlfn.IFNA(INDEX(captured[Grade],MATCH(All[[#This Row],[Student No.]],captured[ID_TEXT],0)), "Cannot find student!") &amp; "","No student!")</f>
        <v>FAB</v>
      </c>
      <c r="P173" s="18" t="b">
        <f xml:space="preserve"> IF(AND(ISNUMBER(All[[#This Row],[Cap Mark]]), ISNUMBER(All[[#This Row],[My Mark]])), ABS(All[[#This Row],[Cap Mark]] - All[[#This Row],[My Mark]]) &lt;&gt; 0,
    IF(AND(ISNUMBER(All[[#This Row],[My Mark]]),NOT(ISNUMBER(All[[#This Row],[Cap Mark]]))),TRUE,
    IF(AND(ISNUMBER(All[[#This Row],[Cap Mark]]),NOT(ISNUMBER(All[[#This Row],[My Mark]]))),TRUE,FALSE)
    ))</f>
        <v>0</v>
      </c>
      <c r="Q173" s="18" t="str">
        <f>IF(All[[#This Row],[My Grade]]&lt;&gt;"",IF(All[[#This Row],[My Grade]]&lt;&gt;All[[#This Row],[Cap Grade]],TRUE,FALSE),"")</f>
        <v/>
      </c>
      <c r="R173" s="18" t="b">
        <f>IF(NOT(ISBLANK(All[[#This Row],[Student No.]])),OR(ISNUMBER(FIND("FSB",All[[#This Row],[My Grade]])),ISNUMBER(FIND("PAS", All[[#This Row],[My Grade]])),ISNUMBER(FIND("FAL",All[[#This Row],[My Grade]])),ISNUMBER(FIND("FAB", All[[#This Row],[My Grade]])),COUNTBLANK(All[[#This Row],[My Grade]])=1),FALSE)</f>
        <v>1</v>
      </c>
      <c r="S173" s="18" t="b">
        <f>IF(All[[#This Row],[Student No.]]&lt;&gt;"", TRUE, FALSE)</f>
        <v>1</v>
      </c>
      <c r="T173" s="18" t="b">
        <f>IF(COUNTBLANK(All[[#This Row],[Engagement]:[Exam/Def]])=0,TRUE, FALSE)</f>
        <v>0</v>
      </c>
      <c r="U173" s="18" t="b">
        <f>IF(ISNUMBER(All[[#This Row],[Test]]),TRUE,FALSE)</f>
        <v>0</v>
      </c>
      <c r="V173" s="18" t="e">
        <f>IF((INDEX(Test[Total (%)],MATCH(All[[#This Row],[Student No.]],Test[Student No.],0)))="ABS", TRUE, FALSE)</f>
        <v>#N/A</v>
      </c>
      <c r="W173" s="18" t="b">
        <f>IF(ISNUMBER(INDEX(Exam[Total (%)],MATCH(All[[#This Row],[Student No.]],Exam[Student No.],0))), TRUE, FALSE)</f>
        <v>0</v>
      </c>
      <c r="X173" s="18" t="b">
        <f>IF(ISNUMBER(INDEX(#REF!,MATCH(All[[#This Row],[Student No.]],#REF!,0))),TRUE,FALSE)</f>
        <v>0</v>
      </c>
      <c r="Y173" s="18" t="b">
        <f>IF(ISNUMBER(INDEX(#REF!,MATCH(All[[#This Row],[Student No.]],#REF!,0))),TRUE,FALSE)</f>
        <v>0</v>
      </c>
      <c r="Z173" s="18" t="b">
        <f>IF(All[[#This Row],[Wrote Def]],
IF(INDEX(#REF!, MATCH(All[[#This Row],[Student No.]],#REF!,0))&lt;&gt;All[[#This Row],[Exam/Def]], TRUE, FALSE),
  IF(All[[#This Row],[Wrote Exam]], IF(INDEX(Exam[Total (%)], MATCH(All[[#This Row],[Student No.]],Exam[Student No.],0))&lt;&gt;All[[#This Row],[Exam/Def]],TRUE,FALSE), FALSE))</f>
        <v>0</v>
      </c>
      <c r="AA173" s="18" t="b">
        <f xml:space="preserve">    IF(AND(All[[#This Row],[Exam/Def]]&lt;35,OR(All[[#This Row],[Wrote Exam]],All[[#This Row],[Wrote Def]])), TRUE,FALSE)</f>
        <v>0</v>
      </c>
      <c r="AB173" s="18" t="b">
        <f>IF(AND(All[[#This Row],[Exam &lt; 35%]],All[[#This Row],[Final]]&gt;=50),TRUE,FALSE)</f>
        <v>0</v>
      </c>
      <c r="AC173" s="18"/>
    </row>
    <row r="174" spans="1:29">
      <c r="A174" s="229"/>
      <c r="B174" s="230" t="s">
        <v>6</v>
      </c>
      <c r="C174" s="231" t="str">
        <f xml:space="preserve"> IF(COUNT(All[Engagement]) &gt;= 1, TEXT(AVERAGE(All[Engagement]), "##.0") &amp; " %", "")</f>
        <v/>
      </c>
      <c r="D174" s="231" t="str">
        <f xml:space="preserve"> IF(COUNT(All[Test]) &gt;= 1, TEXT(AVERAGE(All[Test]), "##.0") &amp; " %", "")</f>
        <v/>
      </c>
      <c r="E174" s="231" t="str">
        <f xml:space="preserve"> IF(COUNT(All[Project]) &gt;= 1, TEXT(AVERAGE(All[Project]), "##.0") &amp; " %", "")</f>
        <v/>
      </c>
      <c r="F174" s="231" t="str">
        <f xml:space="preserve"> IF(COUNT(All[Exam/Def]) &gt;= 1, TEXT(AVERAGE(All[Exam/Def]), "##.0") &amp; " %", "")</f>
        <v>36.2 %</v>
      </c>
      <c r="G174" s="231" t="str">
        <f xml:space="preserve"> IF(COUNT(All[Course Mark]) &gt;= 1, TEXT(AVERAGE(All[Course Mark]), "##.0") &amp; " %", "")</f>
        <v/>
      </c>
      <c r="H174" s="231" t="str">
        <f xml:space="preserve"> IF(COUNT(All[Final]) &gt;= 1, TEXT(AVERAGE(All[Final]), "##.0") &amp; " %", "")</f>
        <v/>
      </c>
      <c r="I174" s="231"/>
      <c r="J174" s="232"/>
      <c r="K174" s="229"/>
      <c r="L174" s="232"/>
      <c r="M174" s="232"/>
      <c r="N174" s="233"/>
      <c r="O174" s="233"/>
      <c r="P174" s="234"/>
      <c r="Q174" s="234"/>
      <c r="R174" s="232"/>
      <c r="S174" s="232">
        <f>COUNTIF(All[Student],TRUE)</f>
        <v>167</v>
      </c>
      <c r="T174" s="232">
        <f>COUNTIF(All[All Components],TRUE)</f>
        <v>0</v>
      </c>
      <c r="U174" s="232">
        <f>COUNTIF(All[Has Test Mark],TRUE)</f>
        <v>0</v>
      </c>
      <c r="V174" s="232">
        <f>COUNTIF(All[Test - Absent],TRUE)</f>
        <v>0</v>
      </c>
      <c r="W174" s="232">
        <f>COUNTIF(All[Wrote Exam],TRUE)</f>
        <v>134</v>
      </c>
      <c r="X174" s="232">
        <f>COUNTIF(All[Wrote Def],TRUE)</f>
        <v>0</v>
      </c>
      <c r="Y174" s="232">
        <f>COUNTIF(All[Wrote Sup],TRUE)</f>
        <v>0</v>
      </c>
      <c r="Z174" s="232">
        <f>COUNTIF(All[Mod Exam/Def],TRUE)</f>
        <v>0</v>
      </c>
      <c r="AA174" s="234">
        <f>COUNTIF(All[Exam &lt; 35%],TRUE)</f>
        <v>72</v>
      </c>
      <c r="AB174" s="234">
        <f>COUNTIF(All[FSB but pass],TRUE)</f>
        <v>72</v>
      </c>
      <c r="AC174" s="167"/>
    </row>
  </sheetData>
  <dataConsolidate/>
  <mergeCells count="5">
    <mergeCell ref="A4:B4"/>
    <mergeCell ref="C4:F4"/>
    <mergeCell ref="G4:J4"/>
    <mergeCell ref="P4:AA4"/>
    <mergeCell ref="L4:O4"/>
  </mergeCells>
  <conditionalFormatting sqref="D7:D173">
    <cfRule type="expression" dxfId="243" priority="5">
      <formula>INDIRECT("All[@[Test - Absent]]")</formula>
    </cfRule>
    <cfRule type="expression" dxfId="242" priority="8">
      <formula>$D7="DEF"</formula>
    </cfRule>
  </conditionalFormatting>
  <conditionalFormatting sqref="F7:F173">
    <cfRule type="cellIs" dxfId="241" priority="9" operator="between">
      <formula>32.5</formula>
      <formula>34.4999</formula>
    </cfRule>
    <cfRule type="expression" dxfId="240" priority="15">
      <formula>$Z7</formula>
    </cfRule>
    <cfRule type="expression" dxfId="239" priority="100">
      <formula>$X7</formula>
    </cfRule>
  </conditionalFormatting>
  <conditionalFormatting sqref="L7:L173 C7:I173">
    <cfRule type="expression" dxfId="238" priority="2" stopIfTrue="1">
      <formula>IF(COUNTBLANK(C7)=1,FALSE,   IF(ISNUMBER(FIND("DEF", C7)), FALSE,   IF(ISERROR(C7),TRUE,   IF(AND(C7&gt;=0,C7&lt;=100),FALSE,TRUE))))</formula>
    </cfRule>
  </conditionalFormatting>
  <conditionalFormatting sqref="L7:L173 N7:N173">
    <cfRule type="expression" dxfId="237" priority="147">
      <formula>IF(NOT(ISBLANK($N7)),$P7,FALSE)</formula>
    </cfRule>
  </conditionalFormatting>
  <conditionalFormatting sqref="O7:O173 M7:M173">
    <cfRule type="expression" dxfId="236" priority="200">
      <formula>IF(NOT(ISBLANK($N7)),$Q7,FALSE)</formula>
    </cfRule>
  </conditionalFormatting>
  <conditionalFormatting sqref="G7:I173">
    <cfRule type="cellIs" dxfId="235" priority="46" operator="between">
      <formula>47.5</formula>
      <formula>49.49999</formula>
    </cfRule>
    <cfRule type="cellIs" dxfId="234" priority="64" operator="between">
      <formula>73.5</formula>
      <formula>74.49999</formula>
    </cfRule>
  </conditionalFormatting>
  <conditionalFormatting sqref="H7:I173">
    <cfRule type="expression" dxfId="233" priority="111">
      <formula>IF(ISNUMBER(H7),H7&lt;49.5,FALSE)</formula>
    </cfRule>
    <cfRule type="expression" dxfId="232" priority="112">
      <formula>IF(ISNUMBER(H7),H7&gt;=74.5,FALSE)</formula>
    </cfRule>
  </conditionalFormatting>
  <conditionalFormatting sqref="I7:I173">
    <cfRule type="expression" dxfId="231" priority="213">
      <formula>IF(COUNTBLANK($I7)=1,FALSE,$I7&lt;&gt;SupMark)</formula>
    </cfRule>
  </conditionalFormatting>
  <conditionalFormatting sqref="H7:H173">
    <cfRule type="expression" dxfId="230" priority="201">
      <formula>$AA7</formula>
    </cfRule>
    <cfRule type="expression" dxfId="229" priority="212">
      <formula>$H7&lt;&gt;$G7</formula>
    </cfRule>
  </conditionalFormatting>
  <conditionalFormatting sqref="M7:M173">
    <cfRule type="expression" dxfId="228" priority="3">
      <formula>NOT($R7)</formula>
    </cfRule>
  </conditionalFormatting>
  <conditionalFormatting sqref="G7:G173 C7:E173">
    <cfRule type="expression" dxfId="227" priority="1" stopIfTrue="1">
      <formula>NOT(_xlfn.ISFORMULA(C7))</formula>
    </cfRule>
  </conditionalFormatting>
  <dataValidations count="1">
    <dataValidation type="custom" operator="greaterThan" allowBlank="1" showInputMessage="1" showErrorMessage="1" sqref="AJ2:AJ4 AK3">
      <formula1>OR(ISNUMBER(FIND("ABS",AJ2)),AND(ISNUMBER(AJ2),AJ2&gt;=0,AJ2&lt;=#REF!),ISNUMBER(FIND("EXEMPT",AJ2)),AJ2="")</formula1>
    </dataValidation>
  </dataValidations>
  <pageMargins left="0.70866141732283472" right="0.70866141732283472" top="0.55118110236220474" bottom="0.55118110236220474" header="0.31496062992125984" footer="0.31496062992125984"/>
  <pageSetup paperSize="9" orientation="portrait" r:id="rId1"/>
  <ignoredErrors>
    <ignoredError sqref="A7:A173" numberStoredAsText="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B20"/>
  <sheetViews>
    <sheetView workbookViewId="0">
      <selection activeCell="B10" sqref="B10"/>
    </sheetView>
  </sheetViews>
  <sheetFormatPr defaultRowHeight="14.4"/>
  <cols>
    <col min="1" max="1" width="26.109375" customWidth="1"/>
    <col min="2" max="2" width="5.77734375" style="2" customWidth="1"/>
  </cols>
  <sheetData>
    <row r="1" spans="1:2" ht="31.2">
      <c r="A1" s="20" t="s">
        <v>35</v>
      </c>
    </row>
    <row r="3" spans="1:2">
      <c r="A3" s="3" t="s">
        <v>1223</v>
      </c>
      <c r="B3" s="2">
        <f xml:space="preserve"> IF(ROWS(All[])-COUNTBLANK(All[Student No.])&gt;0,COUNT(All[Course Mark]),"")</f>
        <v>0</v>
      </c>
    </row>
    <row r="5" spans="1:2">
      <c r="A5" s="1" t="s">
        <v>1224</v>
      </c>
    </row>
    <row r="6" spans="1:2">
      <c r="A6" s="3" t="s">
        <v>7</v>
      </c>
      <c r="B6" s="4" t="str">
        <f xml:space="preserve"> IF($B$3&gt;0, COUNTIF(All[Course Mark],"&gt;=50")/$B$3*100,"")</f>
        <v/>
      </c>
    </row>
    <row r="7" spans="1:2">
      <c r="A7" s="3" t="s">
        <v>8</v>
      </c>
      <c r="B7" s="4" t="str">
        <f xml:space="preserve"> IF($B$3&gt;0, AVERAGE(All[Course Mark]), "")</f>
        <v/>
      </c>
    </row>
    <row r="8" spans="1:2">
      <c r="A8" s="3"/>
    </row>
    <row r="9" spans="1:2">
      <c r="A9" s="1" t="s">
        <v>1225</v>
      </c>
    </row>
    <row r="10" spans="1:2">
      <c r="A10" s="3" t="s">
        <v>7</v>
      </c>
      <c r="B10" s="4" t="str">
        <f xml:space="preserve"> IF($B$3&gt;0, $B$12/($B$12+$B$13)*100,"")</f>
        <v/>
      </c>
    </row>
    <row r="11" spans="1:2">
      <c r="A11" s="3" t="s">
        <v>8</v>
      </c>
      <c r="B11" s="4" t="str">
        <f xml:space="preserve"> IF(AND($B$3&lt;&gt;"",COUNT(All[Final])), AVERAGE(All[Final]),"")</f>
        <v/>
      </c>
    </row>
    <row r="12" spans="1:2">
      <c r="A12" s="3" t="s">
        <v>9</v>
      </c>
      <c r="B12" s="2" t="str">
        <f xml:space="preserve"> IF($B$3&gt;0,COUNTIF(All[Final],"&gt;=50")-COUNTIF(All[FSB but pass],"=TRUE"),"")</f>
        <v/>
      </c>
    </row>
    <row r="13" spans="1:2">
      <c r="A13" s="3" t="s">
        <v>10</v>
      </c>
      <c r="B13" s="12" t="str">
        <f xml:space="preserve"> IF($B$3&gt;0,COUNTIF(All[Final],"&lt;50")+COUNTIF(All[FSB but pass],"=TRUE"),"")</f>
        <v/>
      </c>
    </row>
    <row r="14" spans="1:2">
      <c r="A14" s="3" t="s">
        <v>11</v>
      </c>
      <c r="B14" s="13" t="str">
        <f xml:space="preserve"> IF($B$3&gt;0,COUNTIF(All[Final],"&gt;=75"),"")</f>
        <v/>
      </c>
    </row>
    <row r="15" spans="1:2">
      <c r="A15" s="3" t="s">
        <v>1044</v>
      </c>
      <c r="B15" s="2" t="str">
        <f>IF($B$3&gt;0,COUNTIF(All[FSB but pass],"TRUE"),"")</f>
        <v/>
      </c>
    </row>
    <row r="17" spans="1:2">
      <c r="A17" s="1" t="s">
        <v>1369</v>
      </c>
    </row>
    <row r="18" spans="1:2">
      <c r="A18" s="3" t="s">
        <v>7</v>
      </c>
      <c r="B18" s="4" t="str">
        <f xml:space="preserve"> IF($B$3&gt;0, (B19/$B$3)*100,"")</f>
        <v/>
      </c>
    </row>
    <row r="19" spans="1:2">
      <c r="A19" s="3" t="s">
        <v>9</v>
      </c>
      <c r="B19" s="2" t="str">
        <f xml:space="preserve"> IF($B$3&gt;0,COUNTIF(All[Final],"&gt;=50")-COUNTIF(All[FSB but pass],"=TRUE")+COUNTIF(All[Sup],"&gt;=50"),"")</f>
        <v/>
      </c>
    </row>
    <row r="20" spans="1:2">
      <c r="A20" s="3" t="s">
        <v>10</v>
      </c>
      <c r="B20" s="12" t="e">
        <f>B3-B19</f>
        <v>#VALUE!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K173"/>
  <sheetViews>
    <sheetView workbookViewId="0">
      <selection activeCell="J1" sqref="J1"/>
    </sheetView>
  </sheetViews>
  <sheetFormatPr defaultRowHeight="14.4"/>
  <cols>
    <col min="1" max="1" width="13.88671875" customWidth="1"/>
    <col min="2" max="2" width="27.21875" bestFit="1" customWidth="1"/>
    <col min="3" max="3" width="11" bestFit="1" customWidth="1"/>
    <col min="4" max="6" width="7" bestFit="1" customWidth="1"/>
    <col min="7" max="7" width="8.21875" bestFit="1" customWidth="1"/>
    <col min="8" max="8" width="11.44140625" bestFit="1" customWidth="1"/>
    <col min="9" max="9" width="7" bestFit="1" customWidth="1"/>
    <col min="10" max="10" width="13.21875" bestFit="1" customWidth="1"/>
  </cols>
  <sheetData>
    <row r="1" spans="1:11">
      <c r="A1" t="str">
        <f>Overview!A1</f>
        <v>Software Development II (2022)</v>
      </c>
    </row>
    <row r="4" spans="1:11">
      <c r="A4" t="s">
        <v>16</v>
      </c>
      <c r="C4">
        <v>0.1</v>
      </c>
      <c r="D4">
        <v>0.15</v>
      </c>
      <c r="E4">
        <v>0.3</v>
      </c>
      <c r="F4">
        <v>0.45</v>
      </c>
      <c r="G4">
        <f>F4</f>
        <v>0.45</v>
      </c>
      <c r="H4">
        <v>1</v>
      </c>
      <c r="I4">
        <v>1</v>
      </c>
      <c r="J4">
        <v>1</v>
      </c>
    </row>
    <row r="5" spans="1:11">
      <c r="A5" t="s">
        <v>617</v>
      </c>
      <c r="B5" t="s">
        <v>1023</v>
      </c>
      <c r="C5" t="s">
        <v>915</v>
      </c>
      <c r="D5" t="s">
        <v>36</v>
      </c>
      <c r="E5" t="s">
        <v>263</v>
      </c>
      <c r="F5" t="s">
        <v>5</v>
      </c>
      <c r="G5" t="s">
        <v>32</v>
      </c>
      <c r="H5" t="s">
        <v>31</v>
      </c>
      <c r="I5" t="s">
        <v>1226</v>
      </c>
      <c r="J5" t="s">
        <v>33</v>
      </c>
      <c r="K5" t="s">
        <v>1043</v>
      </c>
    </row>
    <row r="7" spans="1:11">
      <c r="A7" t="str">
        <f>All[[#This Row],[Student No.]]</f>
        <v>1906349</v>
      </c>
      <c r="B7" t="str">
        <f>All[[#This Row],[Student Name]]</f>
        <v>Abrahams, Shuraygh-suwayd</v>
      </c>
      <c r="C7" t="e">
        <f>All[[#This Row],[Engagement]]</f>
        <v>#REF!</v>
      </c>
      <c r="D7" t="str">
        <f>All[[#This Row],[Test]]</f>
        <v/>
      </c>
      <c r="E7" t="str">
        <f>All[[#This Row],[Project]]</f>
        <v/>
      </c>
      <c r="F7" t="str">
        <f>IF(All[[#This Row],[Wrote Exam]],All[[#This Row],[Exam/Def]],"")</f>
        <v/>
      </c>
      <c r="G7" t="str">
        <f>IF(All[[#This Row],[Wrote Def]],All[[#This Row],[Exam/Def]],"")</f>
        <v/>
      </c>
      <c r="H7" t="str">
        <f>All[[#This Row],[Course Mark]]</f>
        <v/>
      </c>
      <c r="I7" t="str">
        <f>All[[#This Row],[Final]]</f>
        <v/>
      </c>
      <c r="J7" t="str">
        <f>IF(All[[#This Row],[Wrote Sup]],All[[#This Row],[Sup]],"")</f>
        <v/>
      </c>
      <c r="K7" t="str">
        <f>All[[#This Row],[My Grade]]</f>
        <v/>
      </c>
    </row>
    <row r="8" spans="1:11">
      <c r="A8" t="str">
        <f>All[[#This Row],[Student No.]]</f>
        <v>1845217</v>
      </c>
      <c r="B8" t="str">
        <f>All[[#This Row],[Student Name]]</f>
        <v>Akhalwaya, Ateka</v>
      </c>
      <c r="C8" t="e">
        <f>All[[#This Row],[Engagement]]</f>
        <v>#REF!</v>
      </c>
      <c r="D8" t="str">
        <f>All[[#This Row],[Test]]</f>
        <v>Cannot find student!</v>
      </c>
      <c r="E8" t="str">
        <f>All[[#This Row],[Project]]</f>
        <v/>
      </c>
      <c r="F8">
        <f>IF(All[[#This Row],[Wrote Exam]],All[[#This Row],[Exam/Def]],"")</f>
        <v>46</v>
      </c>
      <c r="G8" t="str">
        <f>IF(All[[#This Row],[Wrote Def]],All[[#This Row],[Exam/Def]],"")</f>
        <v/>
      </c>
      <c r="H8" t="str">
        <f>All[[#This Row],[Course Mark]]</f>
        <v/>
      </c>
      <c r="I8" t="str">
        <f>All[[#This Row],[Final]]</f>
        <v/>
      </c>
      <c r="J8" t="str">
        <f>IF(All[[#This Row],[Wrote Sup]],All[[#This Row],[Sup]],"")</f>
        <v/>
      </c>
      <c r="K8" t="str">
        <f>All[[#This Row],[My Grade]]</f>
        <v/>
      </c>
    </row>
    <row r="9" spans="1:11">
      <c r="A9" t="str">
        <f>All[[#This Row],[Student No.]]</f>
        <v>2166010</v>
      </c>
      <c r="B9" t="str">
        <f>All[[#This Row],[Student Name]]</f>
        <v>Anas, Syed Mohammad Khizar</v>
      </c>
      <c r="C9" t="e">
        <f>All[[#This Row],[Engagement]]</f>
        <v>#REF!</v>
      </c>
      <c r="D9" t="str">
        <f>All[[#This Row],[Test]]</f>
        <v/>
      </c>
      <c r="E9" t="str">
        <f>All[[#This Row],[Project]]</f>
        <v/>
      </c>
      <c r="F9">
        <f>IF(All[[#This Row],[Wrote Exam]],All[[#This Row],[Exam/Def]],"")</f>
        <v>32</v>
      </c>
      <c r="G9" t="str">
        <f>IF(All[[#This Row],[Wrote Def]],All[[#This Row],[Exam/Def]],"")</f>
        <v/>
      </c>
      <c r="H9" t="str">
        <f>All[[#This Row],[Course Mark]]</f>
        <v/>
      </c>
      <c r="I9" t="str">
        <f>All[[#This Row],[Final]]</f>
        <v/>
      </c>
      <c r="J9" t="str">
        <f>IF(All[[#This Row],[Wrote Sup]],All[[#This Row],[Sup]],"")</f>
        <v/>
      </c>
      <c r="K9" t="str">
        <f>All[[#This Row],[My Grade]]</f>
        <v/>
      </c>
    </row>
    <row r="10" spans="1:11">
      <c r="A10" t="str">
        <f>All[[#This Row],[Student No.]]</f>
        <v>2377042</v>
      </c>
      <c r="B10" t="str">
        <f>All[[#This Row],[Student Name]]</f>
        <v>Antunes, Michael</v>
      </c>
      <c r="C10" t="e">
        <f>All[[#This Row],[Engagement]]</f>
        <v>#REF!</v>
      </c>
      <c r="D10" t="str">
        <f>All[[#This Row],[Test]]</f>
        <v>Cannot find student!</v>
      </c>
      <c r="E10" t="str">
        <f>All[[#This Row],[Project]]</f>
        <v/>
      </c>
      <c r="F10">
        <f>IF(All[[#This Row],[Wrote Exam]],All[[#This Row],[Exam/Def]],"")</f>
        <v>55</v>
      </c>
      <c r="G10" t="str">
        <f>IF(All[[#This Row],[Wrote Def]],All[[#This Row],[Exam/Def]],"")</f>
        <v/>
      </c>
      <c r="H10" t="str">
        <f>All[[#This Row],[Course Mark]]</f>
        <v/>
      </c>
      <c r="I10" t="str">
        <f>All[[#This Row],[Final]]</f>
        <v/>
      </c>
      <c r="J10" t="str">
        <f>IF(All[[#This Row],[Wrote Sup]],All[[#This Row],[Sup]],"")</f>
        <v/>
      </c>
      <c r="K10" t="str">
        <f>All[[#This Row],[My Grade]]</f>
        <v/>
      </c>
    </row>
    <row r="11" spans="1:11">
      <c r="A11" t="str">
        <f>All[[#This Row],[Student No.]]</f>
        <v>2136605</v>
      </c>
      <c r="B11" t="str">
        <f>All[[#This Row],[Student Name]]</f>
        <v>Areff, Nur'ain</v>
      </c>
      <c r="C11" t="e">
        <f>All[[#This Row],[Engagement]]</f>
        <v>#REF!</v>
      </c>
      <c r="D11" t="str">
        <f>All[[#This Row],[Test]]</f>
        <v>Cannot find student!</v>
      </c>
      <c r="E11" t="str">
        <f>All[[#This Row],[Project]]</f>
        <v/>
      </c>
      <c r="F11">
        <f>IF(All[[#This Row],[Wrote Exam]],All[[#This Row],[Exam/Def]],"")</f>
        <v>39</v>
      </c>
      <c r="G11" t="str">
        <f>IF(All[[#This Row],[Wrote Def]],All[[#This Row],[Exam/Def]],"")</f>
        <v/>
      </c>
      <c r="H11" t="str">
        <f>All[[#This Row],[Course Mark]]</f>
        <v/>
      </c>
      <c r="I11" t="str">
        <f>All[[#This Row],[Final]]</f>
        <v/>
      </c>
      <c r="J11" t="str">
        <f>IF(All[[#This Row],[Wrote Sup]],All[[#This Row],[Sup]],"")</f>
        <v/>
      </c>
      <c r="K11" t="str">
        <f>All[[#This Row],[My Grade]]</f>
        <v/>
      </c>
    </row>
    <row r="12" spans="1:11">
      <c r="A12" t="str">
        <f>All[[#This Row],[Student No.]]</f>
        <v>2304150</v>
      </c>
      <c r="B12" t="str">
        <f>All[[#This Row],[Student Name]]</f>
        <v>Badat, Uwais</v>
      </c>
      <c r="C12" t="e">
        <f>All[[#This Row],[Engagement]]</f>
        <v>#REF!</v>
      </c>
      <c r="D12" t="str">
        <f>All[[#This Row],[Test]]</f>
        <v>Cannot find student!</v>
      </c>
      <c r="E12" t="str">
        <f>All[[#This Row],[Project]]</f>
        <v/>
      </c>
      <c r="F12">
        <f>IF(All[[#This Row],[Wrote Exam]],All[[#This Row],[Exam/Def]],"")</f>
        <v>16</v>
      </c>
      <c r="G12" t="str">
        <f>IF(All[[#This Row],[Wrote Def]],All[[#This Row],[Exam/Def]],"")</f>
        <v/>
      </c>
      <c r="H12" t="str">
        <f>All[[#This Row],[Course Mark]]</f>
        <v/>
      </c>
      <c r="I12" t="str">
        <f>All[[#This Row],[Final]]</f>
        <v/>
      </c>
      <c r="J12" t="str">
        <f>IF(All[[#This Row],[Wrote Sup]],All[[#This Row],[Sup]],"")</f>
        <v/>
      </c>
      <c r="K12" t="str">
        <f>All[[#This Row],[My Grade]]</f>
        <v/>
      </c>
    </row>
    <row r="13" spans="1:11">
      <c r="A13" t="str">
        <f>All[[#This Row],[Student No.]]</f>
        <v>1849732</v>
      </c>
      <c r="B13" t="str">
        <f>All[[#This Row],[Student Name]]</f>
        <v>Bagapi, Gosego</v>
      </c>
      <c r="C13" t="e">
        <f>All[[#This Row],[Engagement]]</f>
        <v>#REF!</v>
      </c>
      <c r="D13" t="str">
        <f>All[[#This Row],[Test]]</f>
        <v>Cannot find student!</v>
      </c>
      <c r="E13" t="str">
        <f>All[[#This Row],[Project]]</f>
        <v/>
      </c>
      <c r="F13" t="str">
        <f>IF(All[[#This Row],[Wrote Exam]],All[[#This Row],[Exam/Def]],"")</f>
        <v/>
      </c>
      <c r="G13" t="str">
        <f>IF(All[[#This Row],[Wrote Def]],All[[#This Row],[Exam/Def]],"")</f>
        <v/>
      </c>
      <c r="H13" t="str">
        <f>All[[#This Row],[Course Mark]]</f>
        <v/>
      </c>
      <c r="I13" t="str">
        <f>All[[#This Row],[Final]]</f>
        <v/>
      </c>
      <c r="J13" t="str">
        <f>IF(All[[#This Row],[Wrote Sup]],All[[#This Row],[Sup]],"")</f>
        <v/>
      </c>
      <c r="K13" t="str">
        <f>All[[#This Row],[My Grade]]</f>
        <v/>
      </c>
    </row>
    <row r="14" spans="1:11">
      <c r="A14" t="str">
        <f>All[[#This Row],[Student No.]]</f>
        <v>1826929</v>
      </c>
      <c r="B14" t="str">
        <f>All[[#This Row],[Student Name]]</f>
        <v>Baloyi, Tebogo</v>
      </c>
      <c r="C14" t="e">
        <f>All[[#This Row],[Engagement]]</f>
        <v>#REF!</v>
      </c>
      <c r="D14" t="str">
        <f>All[[#This Row],[Test]]</f>
        <v/>
      </c>
      <c r="E14" t="str">
        <f>All[[#This Row],[Project]]</f>
        <v/>
      </c>
      <c r="F14">
        <f>IF(All[[#This Row],[Wrote Exam]],All[[#This Row],[Exam/Def]],"")</f>
        <v>17</v>
      </c>
      <c r="G14" t="str">
        <f>IF(All[[#This Row],[Wrote Def]],All[[#This Row],[Exam/Def]],"")</f>
        <v/>
      </c>
      <c r="H14" t="str">
        <f>All[[#This Row],[Course Mark]]</f>
        <v/>
      </c>
      <c r="I14" t="str">
        <f>All[[#This Row],[Final]]</f>
        <v/>
      </c>
      <c r="J14" t="str">
        <f>IF(All[[#This Row],[Wrote Sup]],All[[#This Row],[Sup]],"")</f>
        <v/>
      </c>
      <c r="K14" t="str">
        <f>All[[#This Row],[My Grade]]</f>
        <v/>
      </c>
    </row>
    <row r="15" spans="1:11">
      <c r="A15" t="str">
        <f>All[[#This Row],[Student No.]]</f>
        <v>2327745</v>
      </c>
      <c r="B15" t="str">
        <f>All[[#This Row],[Student Name]]</f>
        <v>Bekezulu, Tshegofatso</v>
      </c>
      <c r="C15" t="e">
        <f>All[[#This Row],[Engagement]]</f>
        <v>#REF!</v>
      </c>
      <c r="D15" t="str">
        <f>All[[#This Row],[Test]]</f>
        <v/>
      </c>
      <c r="E15" t="str">
        <f>All[[#This Row],[Project]]</f>
        <v/>
      </c>
      <c r="F15">
        <f>IF(All[[#This Row],[Wrote Exam]],All[[#This Row],[Exam/Def]],"")</f>
        <v>22</v>
      </c>
      <c r="G15" t="str">
        <f>IF(All[[#This Row],[Wrote Def]],All[[#This Row],[Exam/Def]],"")</f>
        <v/>
      </c>
      <c r="H15" t="str">
        <f>All[[#This Row],[Course Mark]]</f>
        <v/>
      </c>
      <c r="I15" t="str">
        <f>All[[#This Row],[Final]]</f>
        <v/>
      </c>
      <c r="J15" t="str">
        <f>IF(All[[#This Row],[Wrote Sup]],All[[#This Row],[Sup]],"")</f>
        <v/>
      </c>
      <c r="K15" t="str">
        <f>All[[#This Row],[My Grade]]</f>
        <v/>
      </c>
    </row>
    <row r="16" spans="1:11">
      <c r="A16" t="str">
        <f>All[[#This Row],[Student No.]]</f>
        <v>2324917</v>
      </c>
      <c r="B16" t="str">
        <f>All[[#This Row],[Student Name]]</f>
        <v>Bepat, Kiyash</v>
      </c>
      <c r="C16" t="e">
        <f>All[[#This Row],[Engagement]]</f>
        <v>#REF!</v>
      </c>
      <c r="D16" t="str">
        <f>All[[#This Row],[Test]]</f>
        <v/>
      </c>
      <c r="E16" t="str">
        <f>All[[#This Row],[Project]]</f>
        <v/>
      </c>
      <c r="F16">
        <f>IF(All[[#This Row],[Wrote Exam]],All[[#This Row],[Exam/Def]],"")</f>
        <v>20</v>
      </c>
      <c r="G16" t="str">
        <f>IF(All[[#This Row],[Wrote Def]],All[[#This Row],[Exam/Def]],"")</f>
        <v/>
      </c>
      <c r="H16" t="str">
        <f>All[[#This Row],[Course Mark]]</f>
        <v/>
      </c>
      <c r="I16" t="str">
        <f>All[[#This Row],[Final]]</f>
        <v/>
      </c>
      <c r="J16" t="str">
        <f>IF(All[[#This Row],[Wrote Sup]],All[[#This Row],[Sup]],"")</f>
        <v/>
      </c>
      <c r="K16" t="str">
        <f>All[[#This Row],[My Grade]]</f>
        <v/>
      </c>
    </row>
    <row r="17" spans="1:11">
      <c r="A17" t="str">
        <f>All[[#This Row],[Student No.]]</f>
        <v>2303789</v>
      </c>
      <c r="B17" t="str">
        <f>All[[#This Row],[Student Name]]</f>
        <v>Bera, Oussama</v>
      </c>
      <c r="C17" t="e">
        <f>All[[#This Row],[Engagement]]</f>
        <v>#REF!</v>
      </c>
      <c r="D17" t="str">
        <f>All[[#This Row],[Test]]</f>
        <v>Cannot find student!</v>
      </c>
      <c r="E17" t="str">
        <f>All[[#This Row],[Project]]</f>
        <v/>
      </c>
      <c r="F17">
        <f>IF(All[[#This Row],[Wrote Exam]],All[[#This Row],[Exam/Def]],"")</f>
        <v>54</v>
      </c>
      <c r="G17" t="str">
        <f>IF(All[[#This Row],[Wrote Def]],All[[#This Row],[Exam/Def]],"")</f>
        <v/>
      </c>
      <c r="H17" t="str">
        <f>All[[#This Row],[Course Mark]]</f>
        <v/>
      </c>
      <c r="I17" t="str">
        <f>All[[#This Row],[Final]]</f>
        <v/>
      </c>
      <c r="J17" t="str">
        <f>IF(All[[#This Row],[Wrote Sup]],All[[#This Row],[Sup]],"")</f>
        <v/>
      </c>
      <c r="K17" t="str">
        <f>All[[#This Row],[My Grade]]</f>
        <v/>
      </c>
    </row>
    <row r="18" spans="1:11">
      <c r="A18" t="str">
        <f>All[[#This Row],[Student No.]]</f>
        <v>2094752</v>
      </c>
      <c r="B18" t="str">
        <f>All[[#This Row],[Student Name]]</f>
        <v>Bhaga, Veeral</v>
      </c>
      <c r="C18" t="e">
        <f>All[[#This Row],[Engagement]]</f>
        <v>#REF!</v>
      </c>
      <c r="D18" t="str">
        <f>All[[#This Row],[Test]]</f>
        <v>Cannot find student!</v>
      </c>
      <c r="E18" t="str">
        <f>All[[#This Row],[Project]]</f>
        <v/>
      </c>
      <c r="F18">
        <f>IF(All[[#This Row],[Wrote Exam]],All[[#This Row],[Exam/Def]],"")</f>
        <v>38</v>
      </c>
      <c r="G18" t="str">
        <f>IF(All[[#This Row],[Wrote Def]],All[[#This Row],[Exam/Def]],"")</f>
        <v/>
      </c>
      <c r="H18" t="str">
        <f>All[[#This Row],[Course Mark]]</f>
        <v/>
      </c>
      <c r="I18" t="str">
        <f>All[[#This Row],[Final]]</f>
        <v/>
      </c>
      <c r="J18" t="str">
        <f>IF(All[[#This Row],[Wrote Sup]],All[[#This Row],[Sup]],"")</f>
        <v/>
      </c>
      <c r="K18" t="str">
        <f>All[[#This Row],[My Grade]]</f>
        <v/>
      </c>
    </row>
    <row r="19" spans="1:11">
      <c r="A19" t="str">
        <f>All[[#This Row],[Student No.]]</f>
        <v>2130436</v>
      </c>
      <c r="B19" t="str">
        <f>All[[#This Row],[Student Name]]</f>
        <v>Bux, Muhammad</v>
      </c>
      <c r="C19" t="e">
        <f>All[[#This Row],[Engagement]]</f>
        <v>#REF!</v>
      </c>
      <c r="D19" t="str">
        <f>All[[#This Row],[Test]]</f>
        <v>Cannot find student!</v>
      </c>
      <c r="E19" t="str">
        <f>All[[#This Row],[Project]]</f>
        <v/>
      </c>
      <c r="F19">
        <f>IF(All[[#This Row],[Wrote Exam]],All[[#This Row],[Exam/Def]],"")</f>
        <v>43</v>
      </c>
      <c r="G19" t="str">
        <f>IF(All[[#This Row],[Wrote Def]],All[[#This Row],[Exam/Def]],"")</f>
        <v/>
      </c>
      <c r="H19" t="str">
        <f>All[[#This Row],[Course Mark]]</f>
        <v/>
      </c>
      <c r="I19" t="str">
        <f>All[[#This Row],[Final]]</f>
        <v/>
      </c>
      <c r="J19" t="str">
        <f>IF(All[[#This Row],[Wrote Sup]],All[[#This Row],[Sup]],"")</f>
        <v/>
      </c>
      <c r="K19" t="str">
        <f>All[[#This Row],[My Grade]]</f>
        <v/>
      </c>
    </row>
    <row r="20" spans="1:11">
      <c r="A20" t="str">
        <f>All[[#This Row],[Student No.]]</f>
        <v>1701547</v>
      </c>
      <c r="B20" t="str">
        <f>All[[#This Row],[Student Name]]</f>
        <v>Chauke, Erick</v>
      </c>
      <c r="C20" t="e">
        <f>All[[#This Row],[Engagement]]</f>
        <v>#REF!</v>
      </c>
      <c r="D20" t="str">
        <f>All[[#This Row],[Test]]</f>
        <v>Cannot find student!</v>
      </c>
      <c r="E20" t="str">
        <f>All[[#This Row],[Project]]</f>
        <v/>
      </c>
      <c r="F20">
        <f>IF(All[[#This Row],[Wrote Exam]],All[[#This Row],[Exam/Def]],"")</f>
        <v>27</v>
      </c>
      <c r="G20" t="str">
        <f>IF(All[[#This Row],[Wrote Def]],All[[#This Row],[Exam/Def]],"")</f>
        <v/>
      </c>
      <c r="H20" t="str">
        <f>All[[#This Row],[Course Mark]]</f>
        <v/>
      </c>
      <c r="I20" t="str">
        <f>All[[#This Row],[Final]]</f>
        <v/>
      </c>
      <c r="J20" t="str">
        <f>IF(All[[#This Row],[Wrote Sup]],All[[#This Row],[Sup]],"")</f>
        <v/>
      </c>
      <c r="K20" t="str">
        <f>All[[#This Row],[My Grade]]</f>
        <v/>
      </c>
    </row>
    <row r="21" spans="1:11">
      <c r="A21" t="str">
        <f>All[[#This Row],[Student No.]]</f>
        <v>2303450</v>
      </c>
      <c r="B21" t="str">
        <f>All[[#This Row],[Student Name]]</f>
        <v>Chiloane, Israel</v>
      </c>
      <c r="C21" t="e">
        <f>All[[#This Row],[Engagement]]</f>
        <v>#REF!</v>
      </c>
      <c r="D21" t="str">
        <f>All[[#This Row],[Test]]</f>
        <v/>
      </c>
      <c r="E21" t="str">
        <f>All[[#This Row],[Project]]</f>
        <v/>
      </c>
      <c r="F21" t="str">
        <f>IF(All[[#This Row],[Wrote Exam]],All[[#This Row],[Exam/Def]],"")</f>
        <v/>
      </c>
      <c r="G21" t="str">
        <f>IF(All[[#This Row],[Wrote Def]],All[[#This Row],[Exam/Def]],"")</f>
        <v/>
      </c>
      <c r="H21" t="str">
        <f>All[[#This Row],[Course Mark]]</f>
        <v/>
      </c>
      <c r="I21" t="str">
        <f>All[[#This Row],[Final]]</f>
        <v/>
      </c>
      <c r="J21" t="str">
        <f>IF(All[[#This Row],[Wrote Sup]],All[[#This Row],[Sup]],"")</f>
        <v/>
      </c>
      <c r="K21" t="str">
        <f>All[[#This Row],[My Grade]]</f>
        <v/>
      </c>
    </row>
    <row r="22" spans="1:11">
      <c r="A22" t="str">
        <f>All[[#This Row],[Student No.]]</f>
        <v>2306815</v>
      </c>
      <c r="B22" t="str">
        <f>All[[#This Row],[Student Name]]</f>
        <v>Chipkin, Eitan</v>
      </c>
      <c r="C22" t="e">
        <f>All[[#This Row],[Engagement]]</f>
        <v>#REF!</v>
      </c>
      <c r="D22" t="str">
        <f>All[[#This Row],[Test]]</f>
        <v>Cannot find student!</v>
      </c>
      <c r="E22" t="str">
        <f>All[[#This Row],[Project]]</f>
        <v/>
      </c>
      <c r="F22">
        <f>IF(All[[#This Row],[Wrote Exam]],All[[#This Row],[Exam/Def]],"")</f>
        <v>20</v>
      </c>
      <c r="G22" t="str">
        <f>IF(All[[#This Row],[Wrote Def]],All[[#This Row],[Exam/Def]],"")</f>
        <v/>
      </c>
      <c r="H22" t="str">
        <f>All[[#This Row],[Course Mark]]</f>
        <v/>
      </c>
      <c r="I22" t="str">
        <f>All[[#This Row],[Final]]</f>
        <v/>
      </c>
      <c r="J22" t="str">
        <f>IF(All[[#This Row],[Wrote Sup]],All[[#This Row],[Sup]],"")</f>
        <v/>
      </c>
      <c r="K22" t="str">
        <f>All[[#This Row],[My Grade]]</f>
        <v/>
      </c>
    </row>
    <row r="23" spans="1:11">
      <c r="A23" t="str">
        <f>All[[#This Row],[Student No.]]</f>
        <v>2168179</v>
      </c>
      <c r="B23" t="str">
        <f>All[[#This Row],[Student Name]]</f>
        <v>Cohen, Sam</v>
      </c>
      <c r="C23" t="e">
        <f>All[[#This Row],[Engagement]]</f>
        <v>#REF!</v>
      </c>
      <c r="D23" t="str">
        <f>All[[#This Row],[Test]]</f>
        <v>Cannot find student!</v>
      </c>
      <c r="E23" t="str">
        <f>All[[#This Row],[Project]]</f>
        <v/>
      </c>
      <c r="F23">
        <f>IF(All[[#This Row],[Wrote Exam]],All[[#This Row],[Exam/Def]],"")</f>
        <v>40</v>
      </c>
      <c r="G23" t="str">
        <f>IF(All[[#This Row],[Wrote Def]],All[[#This Row],[Exam/Def]],"")</f>
        <v/>
      </c>
      <c r="H23" t="str">
        <f>All[[#This Row],[Course Mark]]</f>
        <v/>
      </c>
      <c r="I23" t="str">
        <f>All[[#This Row],[Final]]</f>
        <v/>
      </c>
      <c r="J23" t="str">
        <f>IF(All[[#This Row],[Wrote Sup]],All[[#This Row],[Sup]],"")</f>
        <v/>
      </c>
      <c r="K23" t="str">
        <f>All[[#This Row],[My Grade]]</f>
        <v/>
      </c>
    </row>
    <row r="24" spans="1:11">
      <c r="A24" t="str">
        <f>All[[#This Row],[Student No.]]</f>
        <v>2118894</v>
      </c>
      <c r="B24" t="str">
        <f>All[[#This Row],[Student Name]]</f>
        <v>Daras, Maria</v>
      </c>
      <c r="C24" t="e">
        <f>All[[#This Row],[Engagement]]</f>
        <v>#REF!</v>
      </c>
      <c r="D24" t="str">
        <f>All[[#This Row],[Test]]</f>
        <v>Cannot find student!</v>
      </c>
      <c r="E24" t="str">
        <f>All[[#This Row],[Project]]</f>
        <v/>
      </c>
      <c r="F24">
        <f>IF(All[[#This Row],[Wrote Exam]],All[[#This Row],[Exam/Def]],"")</f>
        <v>48</v>
      </c>
      <c r="G24" t="str">
        <f>IF(All[[#This Row],[Wrote Def]],All[[#This Row],[Exam/Def]],"")</f>
        <v/>
      </c>
      <c r="H24" t="str">
        <f>All[[#This Row],[Course Mark]]</f>
        <v/>
      </c>
      <c r="I24" t="str">
        <f>All[[#This Row],[Final]]</f>
        <v/>
      </c>
      <c r="J24" t="str">
        <f>IF(All[[#This Row],[Wrote Sup]],All[[#This Row],[Sup]],"")</f>
        <v/>
      </c>
      <c r="K24" t="str">
        <f>All[[#This Row],[My Grade]]</f>
        <v/>
      </c>
    </row>
    <row r="25" spans="1:11">
      <c r="A25" t="str">
        <f>All[[#This Row],[Student No.]]</f>
        <v>2199951</v>
      </c>
      <c r="B25" t="str">
        <f>All[[#This Row],[Student Name]]</f>
        <v>Dibakoane, Tebogo</v>
      </c>
      <c r="C25" t="e">
        <f>All[[#This Row],[Engagement]]</f>
        <v>#REF!</v>
      </c>
      <c r="D25" t="str">
        <f>All[[#This Row],[Test]]</f>
        <v>Cannot find student!</v>
      </c>
      <c r="E25" t="str">
        <f>All[[#This Row],[Project]]</f>
        <v/>
      </c>
      <c r="F25" t="str">
        <f>IF(All[[#This Row],[Wrote Exam]],All[[#This Row],[Exam/Def]],"")</f>
        <v/>
      </c>
      <c r="G25" t="str">
        <f>IF(All[[#This Row],[Wrote Def]],All[[#This Row],[Exam/Def]],"")</f>
        <v/>
      </c>
      <c r="H25" t="str">
        <f>All[[#This Row],[Course Mark]]</f>
        <v/>
      </c>
      <c r="I25" t="str">
        <f>All[[#This Row],[Final]]</f>
        <v/>
      </c>
      <c r="J25" t="str">
        <f>IF(All[[#This Row],[Wrote Sup]],All[[#This Row],[Sup]],"")</f>
        <v/>
      </c>
      <c r="K25" t="str">
        <f>All[[#This Row],[My Grade]]</f>
        <v/>
      </c>
    </row>
    <row r="26" spans="1:11">
      <c r="A26" t="str">
        <f>All[[#This Row],[Student No.]]</f>
        <v>1278510</v>
      </c>
      <c r="B26" t="str">
        <f>All[[#This Row],[Student Name]]</f>
        <v>Dladla, Fanelesibonge</v>
      </c>
      <c r="C26" t="e">
        <f>All[[#This Row],[Engagement]]</f>
        <v>#REF!</v>
      </c>
      <c r="D26" t="str">
        <f>All[[#This Row],[Test]]</f>
        <v/>
      </c>
      <c r="E26" t="str">
        <f>All[[#This Row],[Project]]</f>
        <v/>
      </c>
      <c r="F26">
        <f>IF(All[[#This Row],[Wrote Exam]],All[[#This Row],[Exam/Def]],"")</f>
        <v>34</v>
      </c>
      <c r="G26" t="str">
        <f>IF(All[[#This Row],[Wrote Def]],All[[#This Row],[Exam/Def]],"")</f>
        <v/>
      </c>
      <c r="H26" t="str">
        <f>All[[#This Row],[Course Mark]]</f>
        <v/>
      </c>
      <c r="I26" t="str">
        <f>All[[#This Row],[Final]]</f>
        <v/>
      </c>
      <c r="J26" t="str">
        <f>IF(All[[#This Row],[Wrote Sup]],All[[#This Row],[Sup]],"")</f>
        <v/>
      </c>
      <c r="K26" t="str">
        <f>All[[#This Row],[My Grade]]</f>
        <v/>
      </c>
    </row>
    <row r="27" spans="1:11">
      <c r="A27" t="str">
        <f>All[[#This Row],[Student No.]]</f>
        <v>1610736</v>
      </c>
      <c r="B27" t="str">
        <f>All[[#This Row],[Student Name]]</f>
        <v>Dlamini, Njabulo</v>
      </c>
      <c r="C27" t="e">
        <f>All[[#This Row],[Engagement]]</f>
        <v>#REF!</v>
      </c>
      <c r="D27" t="str">
        <f>All[[#This Row],[Test]]</f>
        <v>Cannot find student!</v>
      </c>
      <c r="E27" t="str">
        <f>All[[#This Row],[Project]]</f>
        <v/>
      </c>
      <c r="F27">
        <f>IF(All[[#This Row],[Wrote Exam]],All[[#This Row],[Exam/Def]],"")</f>
        <v>54</v>
      </c>
      <c r="G27" t="str">
        <f>IF(All[[#This Row],[Wrote Def]],All[[#This Row],[Exam/Def]],"")</f>
        <v/>
      </c>
      <c r="H27" t="str">
        <f>All[[#This Row],[Course Mark]]</f>
        <v/>
      </c>
      <c r="I27" t="str">
        <f>All[[#This Row],[Final]]</f>
        <v/>
      </c>
      <c r="J27" t="str">
        <f>IF(All[[#This Row],[Wrote Sup]],All[[#This Row],[Sup]],"")</f>
        <v/>
      </c>
      <c r="K27" t="str">
        <f>All[[#This Row],[My Grade]]</f>
        <v/>
      </c>
    </row>
    <row r="28" spans="1:11">
      <c r="A28" t="str">
        <f>All[[#This Row],[Student No.]]</f>
        <v>2090845</v>
      </c>
      <c r="B28" t="str">
        <f>All[[#This Row],[Student Name]]</f>
        <v>Dlamini, Nolwazi</v>
      </c>
      <c r="C28" t="e">
        <f>All[[#This Row],[Engagement]]</f>
        <v>#REF!</v>
      </c>
      <c r="D28" t="str">
        <f>All[[#This Row],[Test]]</f>
        <v>Cannot find student!</v>
      </c>
      <c r="E28" t="str">
        <f>All[[#This Row],[Project]]</f>
        <v/>
      </c>
      <c r="F28">
        <f>IF(All[[#This Row],[Wrote Exam]],All[[#This Row],[Exam/Def]],"")</f>
        <v>4</v>
      </c>
      <c r="G28" t="str">
        <f>IF(All[[#This Row],[Wrote Def]],All[[#This Row],[Exam/Def]],"")</f>
        <v/>
      </c>
      <c r="H28" t="str">
        <f>All[[#This Row],[Course Mark]]</f>
        <v/>
      </c>
      <c r="I28" t="str">
        <f>All[[#This Row],[Final]]</f>
        <v/>
      </c>
      <c r="J28" t="str">
        <f>IF(All[[#This Row],[Wrote Sup]],All[[#This Row],[Sup]],"")</f>
        <v/>
      </c>
      <c r="K28" t="str">
        <f>All[[#This Row],[My Grade]]</f>
        <v/>
      </c>
    </row>
    <row r="29" spans="1:11">
      <c r="A29" t="str">
        <f>All[[#This Row],[Student No.]]</f>
        <v>1660819</v>
      </c>
      <c r="B29" t="str">
        <f>All[[#This Row],[Student Name]]</f>
        <v>Dlezi, Thuthukani</v>
      </c>
      <c r="C29" t="e">
        <f>All[[#This Row],[Engagement]]</f>
        <v>#REF!</v>
      </c>
      <c r="D29" t="str">
        <f>All[[#This Row],[Test]]</f>
        <v>Cannot find student!</v>
      </c>
      <c r="E29" t="str">
        <f>All[[#This Row],[Project]]</f>
        <v/>
      </c>
      <c r="F29" t="str">
        <f>IF(All[[#This Row],[Wrote Exam]],All[[#This Row],[Exam/Def]],"")</f>
        <v/>
      </c>
      <c r="G29" t="str">
        <f>IF(All[[#This Row],[Wrote Def]],All[[#This Row],[Exam/Def]],"")</f>
        <v/>
      </c>
      <c r="H29" t="str">
        <f>All[[#This Row],[Course Mark]]</f>
        <v/>
      </c>
      <c r="I29" t="str">
        <f>All[[#This Row],[Final]]</f>
        <v/>
      </c>
      <c r="J29" t="str">
        <f>IF(All[[#This Row],[Wrote Sup]],All[[#This Row],[Sup]],"")</f>
        <v/>
      </c>
      <c r="K29" t="str">
        <f>All[[#This Row],[My Grade]]</f>
        <v/>
      </c>
    </row>
    <row r="30" spans="1:11">
      <c r="A30" t="str">
        <f>All[[#This Row],[Student No.]]</f>
        <v>2366542</v>
      </c>
      <c r="B30" t="str">
        <f>All[[#This Row],[Student Name]]</f>
        <v>Docrat, Hamzah</v>
      </c>
      <c r="C30" t="e">
        <f>All[[#This Row],[Engagement]]</f>
        <v>#REF!</v>
      </c>
      <c r="D30" t="str">
        <f>All[[#This Row],[Test]]</f>
        <v>Cannot find student!</v>
      </c>
      <c r="E30" t="str">
        <f>All[[#This Row],[Project]]</f>
        <v/>
      </c>
      <c r="F30">
        <f>IF(All[[#This Row],[Wrote Exam]],All[[#This Row],[Exam/Def]],"")</f>
        <v>48</v>
      </c>
      <c r="G30" t="str">
        <f>IF(All[[#This Row],[Wrote Def]],All[[#This Row],[Exam/Def]],"")</f>
        <v/>
      </c>
      <c r="H30" t="str">
        <f>All[[#This Row],[Course Mark]]</f>
        <v/>
      </c>
      <c r="I30" t="str">
        <f>All[[#This Row],[Final]]</f>
        <v/>
      </c>
      <c r="J30" t="str">
        <f>IF(All[[#This Row],[Wrote Sup]],All[[#This Row],[Sup]],"")</f>
        <v/>
      </c>
      <c r="K30" t="str">
        <f>All[[#This Row],[My Grade]]</f>
        <v/>
      </c>
    </row>
    <row r="31" spans="1:11">
      <c r="A31" t="str">
        <f>All[[#This Row],[Student No.]]</f>
        <v>1924564</v>
      </c>
      <c r="B31" t="str">
        <f>All[[#This Row],[Student Name]]</f>
        <v>Dworcan, Jess</v>
      </c>
      <c r="C31" t="e">
        <f>All[[#This Row],[Engagement]]</f>
        <v>#REF!</v>
      </c>
      <c r="D31" t="str">
        <f>All[[#This Row],[Test]]</f>
        <v>Cannot find student!</v>
      </c>
      <c r="E31" t="str">
        <f>All[[#This Row],[Project]]</f>
        <v/>
      </c>
      <c r="F31">
        <f>IF(All[[#This Row],[Wrote Exam]],All[[#This Row],[Exam/Def]],"")</f>
        <v>58</v>
      </c>
      <c r="G31" t="str">
        <f>IF(All[[#This Row],[Wrote Def]],All[[#This Row],[Exam/Def]],"")</f>
        <v/>
      </c>
      <c r="H31" t="str">
        <f>All[[#This Row],[Course Mark]]</f>
        <v/>
      </c>
      <c r="I31" t="str">
        <f>All[[#This Row],[Final]]</f>
        <v/>
      </c>
      <c r="J31" t="str">
        <f>IF(All[[#This Row],[Wrote Sup]],All[[#This Row],[Sup]],"")</f>
        <v/>
      </c>
      <c r="K31" t="str">
        <f>All[[#This Row],[My Grade]]</f>
        <v/>
      </c>
    </row>
    <row r="32" spans="1:11">
      <c r="A32" t="str">
        <f>All[[#This Row],[Student No.]]</f>
        <v>2129200</v>
      </c>
      <c r="B32" t="str">
        <f>All[[#This Row],[Student Name]]</f>
        <v>Elliott, Taine</v>
      </c>
      <c r="C32" t="e">
        <f>All[[#This Row],[Engagement]]</f>
        <v>#REF!</v>
      </c>
      <c r="D32" t="str">
        <f>All[[#This Row],[Test]]</f>
        <v>Cannot find student!</v>
      </c>
      <c r="E32" t="str">
        <f>All[[#This Row],[Project]]</f>
        <v/>
      </c>
      <c r="F32">
        <f>IF(All[[#This Row],[Wrote Exam]],All[[#This Row],[Exam/Def]],"")</f>
        <v>37</v>
      </c>
      <c r="G32" t="str">
        <f>IF(All[[#This Row],[Wrote Def]],All[[#This Row],[Exam/Def]],"")</f>
        <v/>
      </c>
      <c r="H32" t="str">
        <f>All[[#This Row],[Course Mark]]</f>
        <v/>
      </c>
      <c r="I32" t="str">
        <f>All[[#This Row],[Final]]</f>
        <v/>
      </c>
      <c r="J32" t="str">
        <f>IF(All[[#This Row],[Wrote Sup]],All[[#This Row],[Sup]],"")</f>
        <v/>
      </c>
      <c r="K32" t="str">
        <f>All[[#This Row],[My Grade]]</f>
        <v/>
      </c>
    </row>
    <row r="33" spans="1:11">
      <c r="A33" t="str">
        <f>All[[#This Row],[Student No.]]</f>
        <v>2173105</v>
      </c>
      <c r="B33" t="str">
        <f>All[[#This Row],[Student Name]]</f>
        <v>Ellis, Reuben</v>
      </c>
      <c r="C33" t="e">
        <f>All[[#This Row],[Engagement]]</f>
        <v>#REF!</v>
      </c>
      <c r="D33" t="str">
        <f>All[[#This Row],[Test]]</f>
        <v>Cannot find student!</v>
      </c>
      <c r="E33" t="str">
        <f>All[[#This Row],[Project]]</f>
        <v/>
      </c>
      <c r="F33">
        <f>IF(All[[#This Row],[Wrote Exam]],All[[#This Row],[Exam/Def]],"")</f>
        <v>39</v>
      </c>
      <c r="G33" t="str">
        <f>IF(All[[#This Row],[Wrote Def]],All[[#This Row],[Exam/Def]],"")</f>
        <v/>
      </c>
      <c r="H33" t="str">
        <f>All[[#This Row],[Course Mark]]</f>
        <v/>
      </c>
      <c r="I33" t="str">
        <f>All[[#This Row],[Final]]</f>
        <v/>
      </c>
      <c r="J33" t="str">
        <f>IF(All[[#This Row],[Wrote Sup]],All[[#This Row],[Sup]],"")</f>
        <v/>
      </c>
      <c r="K33" t="str">
        <f>All[[#This Row],[My Grade]]</f>
        <v/>
      </c>
    </row>
    <row r="34" spans="1:11">
      <c r="A34" t="str">
        <f>All[[#This Row],[Student No.]]</f>
        <v>2231460</v>
      </c>
      <c r="B34" t="str">
        <f>All[[#This Row],[Student Name]]</f>
        <v>Feldman, Tyrique</v>
      </c>
      <c r="C34" t="e">
        <f>All[[#This Row],[Engagement]]</f>
        <v>#REF!</v>
      </c>
      <c r="D34" t="str">
        <f>All[[#This Row],[Test]]</f>
        <v/>
      </c>
      <c r="E34" t="str">
        <f>All[[#This Row],[Project]]</f>
        <v/>
      </c>
      <c r="F34">
        <f>IF(All[[#This Row],[Wrote Exam]],All[[#This Row],[Exam/Def]],"")</f>
        <v>13</v>
      </c>
      <c r="G34" t="str">
        <f>IF(All[[#This Row],[Wrote Def]],All[[#This Row],[Exam/Def]],"")</f>
        <v/>
      </c>
      <c r="H34" t="str">
        <f>All[[#This Row],[Course Mark]]</f>
        <v/>
      </c>
      <c r="I34" t="str">
        <f>All[[#This Row],[Final]]</f>
        <v/>
      </c>
      <c r="J34" t="str">
        <f>IF(All[[#This Row],[Wrote Sup]],All[[#This Row],[Sup]],"")</f>
        <v/>
      </c>
      <c r="K34" t="str">
        <f>All[[#This Row],[My Grade]]</f>
        <v/>
      </c>
    </row>
    <row r="35" spans="1:11">
      <c r="A35" t="str">
        <f>All[[#This Row],[Student No.]]</f>
        <v>1830380</v>
      </c>
      <c r="B35" t="str">
        <f>All[[#This Row],[Student Name]]</f>
        <v>Finger, Shehwar</v>
      </c>
      <c r="C35" t="e">
        <f>All[[#This Row],[Engagement]]</f>
        <v>#REF!</v>
      </c>
      <c r="D35" t="str">
        <f>All[[#This Row],[Test]]</f>
        <v>Cannot find student!</v>
      </c>
      <c r="E35" t="str">
        <f>All[[#This Row],[Project]]</f>
        <v/>
      </c>
      <c r="F35">
        <f>IF(All[[#This Row],[Wrote Exam]],All[[#This Row],[Exam/Def]],"")</f>
        <v>47</v>
      </c>
      <c r="G35" t="str">
        <f>IF(All[[#This Row],[Wrote Def]],All[[#This Row],[Exam/Def]],"")</f>
        <v/>
      </c>
      <c r="H35" t="str">
        <f>All[[#This Row],[Course Mark]]</f>
        <v/>
      </c>
      <c r="I35" t="str">
        <f>All[[#This Row],[Final]]</f>
        <v/>
      </c>
      <c r="J35" t="str">
        <f>IF(All[[#This Row],[Wrote Sup]],All[[#This Row],[Sup]],"")</f>
        <v/>
      </c>
      <c r="K35" t="str">
        <f>All[[#This Row],[My Grade]]</f>
        <v/>
      </c>
    </row>
    <row r="36" spans="1:11">
      <c r="A36" t="str">
        <f>All[[#This Row],[Student No.]]</f>
        <v>1877695</v>
      </c>
      <c r="B36" t="str">
        <f>All[[#This Row],[Student Name]]</f>
        <v>Fipaza, Olwethu</v>
      </c>
      <c r="C36" t="e">
        <f>All[[#This Row],[Engagement]]</f>
        <v>#REF!</v>
      </c>
      <c r="D36" t="str">
        <f>All[[#This Row],[Test]]</f>
        <v>Cannot find student!</v>
      </c>
      <c r="E36" t="str">
        <f>All[[#This Row],[Project]]</f>
        <v/>
      </c>
      <c r="F36">
        <f>IF(All[[#This Row],[Wrote Exam]],All[[#This Row],[Exam/Def]],"")</f>
        <v>31</v>
      </c>
      <c r="G36" t="str">
        <f>IF(All[[#This Row],[Wrote Def]],All[[#This Row],[Exam/Def]],"")</f>
        <v/>
      </c>
      <c r="H36" t="str">
        <f>All[[#This Row],[Course Mark]]</f>
        <v/>
      </c>
      <c r="I36" t="str">
        <f>All[[#This Row],[Final]]</f>
        <v/>
      </c>
      <c r="J36" t="str">
        <f>IF(All[[#This Row],[Wrote Sup]],All[[#This Row],[Sup]],"")</f>
        <v/>
      </c>
      <c r="K36" t="str">
        <f>All[[#This Row],[My Grade]]</f>
        <v/>
      </c>
    </row>
    <row r="37" spans="1:11">
      <c r="A37" t="str">
        <f>All[[#This Row],[Student No.]]</f>
        <v>2323162</v>
      </c>
      <c r="B37" t="str">
        <f>All[[#This Row],[Student Name]]</f>
        <v>Fisher, Clint</v>
      </c>
      <c r="C37" t="e">
        <f>All[[#This Row],[Engagement]]</f>
        <v>#REF!</v>
      </c>
      <c r="D37" t="str">
        <f>All[[#This Row],[Test]]</f>
        <v/>
      </c>
      <c r="E37" t="str">
        <f>All[[#This Row],[Project]]</f>
        <v/>
      </c>
      <c r="F37">
        <f>IF(All[[#This Row],[Wrote Exam]],All[[#This Row],[Exam/Def]],"")</f>
        <v>29</v>
      </c>
      <c r="G37" t="str">
        <f>IF(All[[#This Row],[Wrote Def]],All[[#This Row],[Exam/Def]],"")</f>
        <v/>
      </c>
      <c r="H37" t="str">
        <f>All[[#This Row],[Course Mark]]</f>
        <v/>
      </c>
      <c r="I37" t="str">
        <f>All[[#This Row],[Final]]</f>
        <v/>
      </c>
      <c r="J37" t="str">
        <f>IF(All[[#This Row],[Wrote Sup]],All[[#This Row],[Sup]],"")</f>
        <v/>
      </c>
      <c r="K37" t="str">
        <f>All[[#This Row],[My Grade]]</f>
        <v/>
      </c>
    </row>
    <row r="38" spans="1:11">
      <c r="A38" t="str">
        <f>All[[#This Row],[Student No.]]</f>
        <v>2104199</v>
      </c>
      <c r="B38" t="str">
        <f>All[[#This Row],[Student Name]]</f>
        <v>Gcanga, Tsietsi</v>
      </c>
      <c r="C38" t="e">
        <f>All[[#This Row],[Engagement]]</f>
        <v>#REF!</v>
      </c>
      <c r="D38" t="str">
        <f>All[[#This Row],[Test]]</f>
        <v/>
      </c>
      <c r="E38" t="str">
        <f>All[[#This Row],[Project]]</f>
        <v/>
      </c>
      <c r="F38">
        <f>IF(All[[#This Row],[Wrote Exam]],All[[#This Row],[Exam/Def]],"")</f>
        <v>24</v>
      </c>
      <c r="G38" t="str">
        <f>IF(All[[#This Row],[Wrote Def]],All[[#This Row],[Exam/Def]],"")</f>
        <v/>
      </c>
      <c r="H38" t="str">
        <f>All[[#This Row],[Course Mark]]</f>
        <v/>
      </c>
      <c r="I38" t="str">
        <f>All[[#This Row],[Final]]</f>
        <v/>
      </c>
      <c r="J38" t="str">
        <f>IF(All[[#This Row],[Wrote Sup]],All[[#This Row],[Sup]],"")</f>
        <v/>
      </c>
      <c r="K38" t="str">
        <f>All[[#This Row],[My Grade]]</f>
        <v/>
      </c>
    </row>
    <row r="39" spans="1:11">
      <c r="A39" t="str">
        <f>All[[#This Row],[Student No.]]</f>
        <v>2335476</v>
      </c>
      <c r="B39" t="str">
        <f>All[[#This Row],[Student Name]]</f>
        <v>Ginster, Philip</v>
      </c>
      <c r="C39" t="e">
        <f>All[[#This Row],[Engagement]]</f>
        <v>#REF!</v>
      </c>
      <c r="D39" t="str">
        <f>All[[#This Row],[Test]]</f>
        <v>Cannot find student!</v>
      </c>
      <c r="E39" t="str">
        <f>All[[#This Row],[Project]]</f>
        <v/>
      </c>
      <c r="F39">
        <f>IF(All[[#This Row],[Wrote Exam]],All[[#This Row],[Exam/Def]],"")</f>
        <v>61</v>
      </c>
      <c r="G39" t="str">
        <f>IF(All[[#This Row],[Wrote Def]],All[[#This Row],[Exam/Def]],"")</f>
        <v/>
      </c>
      <c r="H39" t="str">
        <f>All[[#This Row],[Course Mark]]</f>
        <v/>
      </c>
      <c r="I39" t="str">
        <f>All[[#This Row],[Final]]</f>
        <v/>
      </c>
      <c r="J39" t="str">
        <f>IF(All[[#This Row],[Wrote Sup]],All[[#This Row],[Sup]],"")</f>
        <v/>
      </c>
      <c r="K39" t="str">
        <f>All[[#This Row],[My Grade]]</f>
        <v/>
      </c>
    </row>
    <row r="40" spans="1:11">
      <c r="A40" t="str">
        <f>All[[#This Row],[Student No.]]</f>
        <v>2095374</v>
      </c>
      <c r="B40" t="str">
        <f>All[[#This Row],[Student Name]]</f>
        <v>Goldblatt, Hannah</v>
      </c>
      <c r="C40" t="e">
        <f>All[[#This Row],[Engagement]]</f>
        <v>#REF!</v>
      </c>
      <c r="D40" t="str">
        <f>All[[#This Row],[Test]]</f>
        <v>Cannot find student!</v>
      </c>
      <c r="E40" t="str">
        <f>All[[#This Row],[Project]]</f>
        <v/>
      </c>
      <c r="F40">
        <f>IF(All[[#This Row],[Wrote Exam]],All[[#This Row],[Exam/Def]],"")</f>
        <v>66</v>
      </c>
      <c r="G40" t="str">
        <f>IF(All[[#This Row],[Wrote Def]],All[[#This Row],[Exam/Def]],"")</f>
        <v/>
      </c>
      <c r="H40" t="str">
        <f>All[[#This Row],[Course Mark]]</f>
        <v/>
      </c>
      <c r="I40" t="str">
        <f>All[[#This Row],[Final]]</f>
        <v/>
      </c>
      <c r="J40" t="str">
        <f>IF(All[[#This Row],[Wrote Sup]],All[[#This Row],[Sup]],"")</f>
        <v/>
      </c>
      <c r="K40" t="str">
        <f>All[[#This Row],[My Grade]]</f>
        <v/>
      </c>
    </row>
    <row r="41" spans="1:11">
      <c r="A41" t="str">
        <f>All[[#This Row],[Student No.]]</f>
        <v>2050175</v>
      </c>
      <c r="B41" t="str">
        <f>All[[#This Row],[Student Name]]</f>
        <v>Gowan, Sudheer</v>
      </c>
      <c r="C41" t="e">
        <f>All[[#This Row],[Engagement]]</f>
        <v>#REF!</v>
      </c>
      <c r="D41" t="str">
        <f>All[[#This Row],[Test]]</f>
        <v/>
      </c>
      <c r="E41" t="str">
        <f>All[[#This Row],[Project]]</f>
        <v/>
      </c>
      <c r="F41">
        <f>IF(All[[#This Row],[Wrote Exam]],All[[#This Row],[Exam/Def]],"")</f>
        <v>20</v>
      </c>
      <c r="G41" t="str">
        <f>IF(All[[#This Row],[Wrote Def]],All[[#This Row],[Exam/Def]],"")</f>
        <v/>
      </c>
      <c r="H41" t="str">
        <f>All[[#This Row],[Course Mark]]</f>
        <v/>
      </c>
      <c r="I41" t="str">
        <f>All[[#This Row],[Final]]</f>
        <v/>
      </c>
      <c r="J41" t="str">
        <f>IF(All[[#This Row],[Wrote Sup]],All[[#This Row],[Sup]],"")</f>
        <v/>
      </c>
      <c r="K41" t="str">
        <f>All[[#This Row],[My Grade]]</f>
        <v/>
      </c>
    </row>
    <row r="42" spans="1:11">
      <c r="A42" t="str">
        <f>All[[#This Row],[Student No.]]</f>
        <v>2138347</v>
      </c>
      <c r="B42" t="str">
        <f>All[[#This Row],[Student Name]]</f>
        <v>Grahn, Bryce</v>
      </c>
      <c r="C42" t="e">
        <f>All[[#This Row],[Engagement]]</f>
        <v>#REF!</v>
      </c>
      <c r="D42" t="str">
        <f>All[[#This Row],[Test]]</f>
        <v>Cannot find student!</v>
      </c>
      <c r="E42" t="str">
        <f>All[[#This Row],[Project]]</f>
        <v/>
      </c>
      <c r="F42">
        <f>IF(All[[#This Row],[Wrote Exam]],All[[#This Row],[Exam/Def]],"")</f>
        <v>55</v>
      </c>
      <c r="G42" t="str">
        <f>IF(All[[#This Row],[Wrote Def]],All[[#This Row],[Exam/Def]],"")</f>
        <v/>
      </c>
      <c r="H42" t="str">
        <f>All[[#This Row],[Course Mark]]</f>
        <v/>
      </c>
      <c r="I42" t="str">
        <f>All[[#This Row],[Final]]</f>
        <v/>
      </c>
      <c r="J42" t="str">
        <f>IF(All[[#This Row],[Wrote Sup]],All[[#This Row],[Sup]],"")</f>
        <v/>
      </c>
      <c r="K42" t="str">
        <f>All[[#This Row],[My Grade]]</f>
        <v/>
      </c>
    </row>
    <row r="43" spans="1:11">
      <c r="A43" t="str">
        <f>All[[#This Row],[Student No.]]</f>
        <v>2344104</v>
      </c>
      <c r="B43" t="str">
        <f>All[[#This Row],[Student Name]]</f>
        <v>Grayman, Natan</v>
      </c>
      <c r="C43" t="e">
        <f>All[[#This Row],[Engagement]]</f>
        <v>#REF!</v>
      </c>
      <c r="D43" t="str">
        <f>All[[#This Row],[Test]]</f>
        <v>Cannot find student!</v>
      </c>
      <c r="E43" t="str">
        <f>All[[#This Row],[Project]]</f>
        <v/>
      </c>
      <c r="F43">
        <f>IF(All[[#This Row],[Wrote Exam]],All[[#This Row],[Exam/Def]],"")</f>
        <v>36</v>
      </c>
      <c r="G43" t="str">
        <f>IF(All[[#This Row],[Wrote Def]],All[[#This Row],[Exam/Def]],"")</f>
        <v/>
      </c>
      <c r="H43" t="str">
        <f>All[[#This Row],[Course Mark]]</f>
        <v/>
      </c>
      <c r="I43" t="str">
        <f>All[[#This Row],[Final]]</f>
        <v/>
      </c>
      <c r="J43" t="str">
        <f>IF(All[[#This Row],[Wrote Sup]],All[[#This Row],[Sup]],"")</f>
        <v/>
      </c>
      <c r="K43" t="str">
        <f>All[[#This Row],[My Grade]]</f>
        <v/>
      </c>
    </row>
    <row r="44" spans="1:11">
      <c r="A44" t="str">
        <f>All[[#This Row],[Student No.]]</f>
        <v>2309262</v>
      </c>
      <c r="B44" t="str">
        <f>All[[#This Row],[Student Name]]</f>
        <v>Gurahoo, Jashna</v>
      </c>
      <c r="C44" t="e">
        <f>All[[#This Row],[Engagement]]</f>
        <v>#REF!</v>
      </c>
      <c r="D44" t="str">
        <f>All[[#This Row],[Test]]</f>
        <v/>
      </c>
      <c r="E44" t="str">
        <f>All[[#This Row],[Project]]</f>
        <v/>
      </c>
      <c r="F44" t="str">
        <f>IF(All[[#This Row],[Wrote Exam]],All[[#This Row],[Exam/Def]],"")</f>
        <v/>
      </c>
      <c r="G44" t="str">
        <f>IF(All[[#This Row],[Wrote Def]],All[[#This Row],[Exam/Def]],"")</f>
        <v/>
      </c>
      <c r="H44" t="str">
        <f>All[[#This Row],[Course Mark]]</f>
        <v/>
      </c>
      <c r="I44" t="str">
        <f>All[[#This Row],[Final]]</f>
        <v/>
      </c>
      <c r="J44" t="str">
        <f>IF(All[[#This Row],[Wrote Sup]],All[[#This Row],[Sup]],"")</f>
        <v/>
      </c>
      <c r="K44" t="str">
        <f>All[[#This Row],[My Grade]]</f>
        <v/>
      </c>
    </row>
    <row r="45" spans="1:11">
      <c r="A45" t="str">
        <f>All[[#This Row],[Student No.]]</f>
        <v>1876127</v>
      </c>
      <c r="B45" t="str">
        <f>All[[#This Row],[Student Name]]</f>
        <v>Hammond, Meg</v>
      </c>
      <c r="C45" t="e">
        <f>All[[#This Row],[Engagement]]</f>
        <v>#REF!</v>
      </c>
      <c r="D45" t="str">
        <f>All[[#This Row],[Test]]</f>
        <v>Cannot find student!</v>
      </c>
      <c r="E45" t="str">
        <f>All[[#This Row],[Project]]</f>
        <v/>
      </c>
      <c r="F45">
        <f>IF(All[[#This Row],[Wrote Exam]],All[[#This Row],[Exam/Def]],"")</f>
        <v>66</v>
      </c>
      <c r="G45" t="str">
        <f>IF(All[[#This Row],[Wrote Def]],All[[#This Row],[Exam/Def]],"")</f>
        <v/>
      </c>
      <c r="H45" t="str">
        <f>All[[#This Row],[Course Mark]]</f>
        <v/>
      </c>
      <c r="I45" t="str">
        <f>All[[#This Row],[Final]]</f>
        <v/>
      </c>
      <c r="J45" t="str">
        <f>IF(All[[#This Row],[Wrote Sup]],All[[#This Row],[Sup]],"")</f>
        <v/>
      </c>
      <c r="K45" t="str">
        <f>All[[#This Row],[My Grade]]</f>
        <v/>
      </c>
    </row>
    <row r="46" spans="1:11">
      <c r="A46" t="str">
        <f>All[[#This Row],[Student No.]]</f>
        <v>2194051</v>
      </c>
      <c r="B46" t="str">
        <f>All[[#This Row],[Student Name]]</f>
        <v>Hand, Brayden</v>
      </c>
      <c r="C46" t="e">
        <f>All[[#This Row],[Engagement]]</f>
        <v>#REF!</v>
      </c>
      <c r="D46" t="str">
        <f>All[[#This Row],[Test]]</f>
        <v>Cannot find student!</v>
      </c>
      <c r="E46" t="str">
        <f>All[[#This Row],[Project]]</f>
        <v/>
      </c>
      <c r="F46">
        <f>IF(All[[#This Row],[Wrote Exam]],All[[#This Row],[Exam/Def]],"")</f>
        <v>51</v>
      </c>
      <c r="G46" t="str">
        <f>IF(All[[#This Row],[Wrote Def]],All[[#This Row],[Exam/Def]],"")</f>
        <v/>
      </c>
      <c r="H46" t="str">
        <f>All[[#This Row],[Course Mark]]</f>
        <v/>
      </c>
      <c r="I46" t="str">
        <f>All[[#This Row],[Final]]</f>
        <v/>
      </c>
      <c r="J46" t="str">
        <f>IF(All[[#This Row],[Wrote Sup]],All[[#This Row],[Sup]],"")</f>
        <v/>
      </c>
      <c r="K46" t="str">
        <f>All[[#This Row],[My Grade]]</f>
        <v/>
      </c>
    </row>
    <row r="47" spans="1:11">
      <c r="A47" t="str">
        <f>All[[#This Row],[Student No.]]</f>
        <v>2355933</v>
      </c>
      <c r="B47" t="str">
        <f>All[[#This Row],[Student Name]]</f>
        <v>Harrar, Saudah</v>
      </c>
      <c r="C47" t="e">
        <f>All[[#This Row],[Engagement]]</f>
        <v>#REF!</v>
      </c>
      <c r="D47" t="str">
        <f>All[[#This Row],[Test]]</f>
        <v>Cannot find student!</v>
      </c>
      <c r="E47" t="str">
        <f>All[[#This Row],[Project]]</f>
        <v/>
      </c>
      <c r="F47">
        <f>IF(All[[#This Row],[Wrote Exam]],All[[#This Row],[Exam/Def]],"")</f>
        <v>37</v>
      </c>
      <c r="G47" t="str">
        <f>IF(All[[#This Row],[Wrote Def]],All[[#This Row],[Exam/Def]],"")</f>
        <v/>
      </c>
      <c r="H47" t="str">
        <f>All[[#This Row],[Course Mark]]</f>
        <v/>
      </c>
      <c r="I47" t="str">
        <f>All[[#This Row],[Final]]</f>
        <v/>
      </c>
      <c r="J47" t="str">
        <f>IF(All[[#This Row],[Wrote Sup]],All[[#This Row],[Sup]],"")</f>
        <v/>
      </c>
      <c r="K47" t="str">
        <f>All[[#This Row],[My Grade]]</f>
        <v/>
      </c>
    </row>
    <row r="48" spans="1:11">
      <c r="A48" t="str">
        <f>All[[#This Row],[Student No.]]</f>
        <v>2143227</v>
      </c>
      <c r="B48" t="str">
        <f>All[[#This Row],[Student Name]]</f>
        <v>Hunter, Miguel</v>
      </c>
      <c r="C48" t="e">
        <f>All[[#This Row],[Engagement]]</f>
        <v>#REF!</v>
      </c>
      <c r="D48" t="str">
        <f>All[[#This Row],[Test]]</f>
        <v>Cannot find student!</v>
      </c>
      <c r="E48" t="str">
        <f>All[[#This Row],[Project]]</f>
        <v/>
      </c>
      <c r="F48">
        <f>IF(All[[#This Row],[Wrote Exam]],All[[#This Row],[Exam/Def]],"")</f>
        <v>42</v>
      </c>
      <c r="G48" t="str">
        <f>IF(All[[#This Row],[Wrote Def]],All[[#This Row],[Exam/Def]],"")</f>
        <v/>
      </c>
      <c r="H48" t="str">
        <f>All[[#This Row],[Course Mark]]</f>
        <v/>
      </c>
      <c r="I48" t="str">
        <f>All[[#This Row],[Final]]</f>
        <v/>
      </c>
      <c r="J48" t="str">
        <f>IF(All[[#This Row],[Wrote Sup]],All[[#This Row],[Sup]],"")</f>
        <v/>
      </c>
      <c r="K48" t="str">
        <f>All[[#This Row],[My Grade]]</f>
        <v/>
      </c>
    </row>
    <row r="49" spans="1:11">
      <c r="A49" t="str">
        <f>All[[#This Row],[Student No.]]</f>
        <v>1876297</v>
      </c>
      <c r="B49" t="str">
        <f>All[[#This Row],[Student Name]]</f>
        <v>Jali, Thabani</v>
      </c>
      <c r="C49" t="e">
        <f>All[[#This Row],[Engagement]]</f>
        <v>#REF!</v>
      </c>
      <c r="D49" t="str">
        <f>All[[#This Row],[Test]]</f>
        <v>Cannot find student!</v>
      </c>
      <c r="E49" t="str">
        <f>All[[#This Row],[Project]]</f>
        <v/>
      </c>
      <c r="F49">
        <f>IF(All[[#This Row],[Wrote Exam]],All[[#This Row],[Exam/Def]],"")</f>
        <v>38</v>
      </c>
      <c r="G49" t="str">
        <f>IF(All[[#This Row],[Wrote Def]],All[[#This Row],[Exam/Def]],"")</f>
        <v/>
      </c>
      <c r="H49" t="str">
        <f>All[[#This Row],[Course Mark]]</f>
        <v/>
      </c>
      <c r="I49" t="str">
        <f>All[[#This Row],[Final]]</f>
        <v/>
      </c>
      <c r="J49" t="str">
        <f>IF(All[[#This Row],[Wrote Sup]],All[[#This Row],[Sup]],"")</f>
        <v/>
      </c>
      <c r="K49" t="str">
        <f>All[[#This Row],[My Grade]]</f>
        <v/>
      </c>
    </row>
    <row r="50" spans="1:11">
      <c r="A50" t="str">
        <f>All[[#This Row],[Student No.]]</f>
        <v>2344063</v>
      </c>
      <c r="B50" t="str">
        <f>All[[#This Row],[Student Name]]</f>
        <v>Jamaloodien, Hamzah</v>
      </c>
      <c r="C50" t="e">
        <f>All[[#This Row],[Engagement]]</f>
        <v>#REF!</v>
      </c>
      <c r="D50" t="str">
        <f>All[[#This Row],[Test]]</f>
        <v/>
      </c>
      <c r="E50" t="str">
        <f>All[[#This Row],[Project]]</f>
        <v/>
      </c>
      <c r="F50">
        <f>IF(All[[#This Row],[Wrote Exam]],All[[#This Row],[Exam/Def]],"")</f>
        <v>17</v>
      </c>
      <c r="G50" t="str">
        <f>IF(All[[#This Row],[Wrote Def]],All[[#This Row],[Exam/Def]],"")</f>
        <v/>
      </c>
      <c r="H50" t="str">
        <f>All[[#This Row],[Course Mark]]</f>
        <v/>
      </c>
      <c r="I50" t="str">
        <f>All[[#This Row],[Final]]</f>
        <v/>
      </c>
      <c r="J50" t="str">
        <f>IF(All[[#This Row],[Wrote Sup]],All[[#This Row],[Sup]],"")</f>
        <v/>
      </c>
      <c r="K50" t="str">
        <f>All[[#This Row],[My Grade]]</f>
        <v/>
      </c>
    </row>
    <row r="51" spans="1:11">
      <c r="A51" t="str">
        <f>All[[#This Row],[Student No.]]</f>
        <v>2331132</v>
      </c>
      <c r="B51" t="str">
        <f>All[[#This Row],[Student Name]]</f>
        <v>Jiyane, Sibongiseni</v>
      </c>
      <c r="C51" t="e">
        <f>All[[#This Row],[Engagement]]</f>
        <v>#REF!</v>
      </c>
      <c r="D51" t="str">
        <f>All[[#This Row],[Test]]</f>
        <v/>
      </c>
      <c r="E51" t="str">
        <f>All[[#This Row],[Project]]</f>
        <v/>
      </c>
      <c r="F51">
        <f>IF(All[[#This Row],[Wrote Exam]],All[[#This Row],[Exam/Def]],"")</f>
        <v>7</v>
      </c>
      <c r="G51" t="str">
        <f>IF(All[[#This Row],[Wrote Def]],All[[#This Row],[Exam/Def]],"")</f>
        <v/>
      </c>
      <c r="H51" t="str">
        <f>All[[#This Row],[Course Mark]]</f>
        <v/>
      </c>
      <c r="I51" t="str">
        <f>All[[#This Row],[Final]]</f>
        <v/>
      </c>
      <c r="J51" t="str">
        <f>IF(All[[#This Row],[Wrote Sup]],All[[#This Row],[Sup]],"")</f>
        <v/>
      </c>
      <c r="K51" t="str">
        <f>All[[#This Row],[My Grade]]</f>
        <v/>
      </c>
    </row>
    <row r="52" spans="1:11">
      <c r="A52" t="str">
        <f>All[[#This Row],[Student No.]]</f>
        <v>2330797</v>
      </c>
      <c r="B52" t="str">
        <f>All[[#This Row],[Student Name]]</f>
        <v>Joffe, Ellie</v>
      </c>
      <c r="C52" t="e">
        <f>All[[#This Row],[Engagement]]</f>
        <v>#REF!</v>
      </c>
      <c r="D52" t="str">
        <f>All[[#This Row],[Test]]</f>
        <v>Cannot find student!</v>
      </c>
      <c r="E52" t="str">
        <f>All[[#This Row],[Project]]</f>
        <v/>
      </c>
      <c r="F52">
        <f>IF(All[[#This Row],[Wrote Exam]],All[[#This Row],[Exam/Def]],"")</f>
        <v>46</v>
      </c>
      <c r="G52" t="str">
        <f>IF(All[[#This Row],[Wrote Def]],All[[#This Row],[Exam/Def]],"")</f>
        <v/>
      </c>
      <c r="H52" t="str">
        <f>All[[#This Row],[Course Mark]]</f>
        <v/>
      </c>
      <c r="I52" t="str">
        <f>All[[#This Row],[Final]]</f>
        <v/>
      </c>
      <c r="J52" t="str">
        <f>IF(All[[#This Row],[Wrote Sup]],All[[#This Row],[Sup]],"")</f>
        <v/>
      </c>
      <c r="K52" t="str">
        <f>All[[#This Row],[My Grade]]</f>
        <v/>
      </c>
    </row>
    <row r="53" spans="1:11">
      <c r="A53" t="str">
        <f>All[[#This Row],[Student No.]]</f>
        <v>2094978</v>
      </c>
      <c r="B53" t="str">
        <f>All[[#This Row],[Student Name]]</f>
        <v>Johannes, Zewuwel</v>
      </c>
      <c r="C53" t="e">
        <f>All[[#This Row],[Engagement]]</f>
        <v>#REF!</v>
      </c>
      <c r="D53" t="str">
        <f>All[[#This Row],[Test]]</f>
        <v>Cannot find student!</v>
      </c>
      <c r="E53" t="str">
        <f>All[[#This Row],[Project]]</f>
        <v/>
      </c>
      <c r="F53">
        <f>IF(All[[#This Row],[Wrote Exam]],All[[#This Row],[Exam/Def]],"")</f>
        <v>48</v>
      </c>
      <c r="G53" t="str">
        <f>IF(All[[#This Row],[Wrote Def]],All[[#This Row],[Exam/Def]],"")</f>
        <v/>
      </c>
      <c r="H53" t="str">
        <f>All[[#This Row],[Course Mark]]</f>
        <v/>
      </c>
      <c r="I53" t="str">
        <f>All[[#This Row],[Final]]</f>
        <v/>
      </c>
      <c r="J53" t="str">
        <f>IF(All[[#This Row],[Wrote Sup]],All[[#This Row],[Sup]],"")</f>
        <v/>
      </c>
      <c r="K53" t="str">
        <f>All[[#This Row],[My Grade]]</f>
        <v/>
      </c>
    </row>
    <row r="54" spans="1:11">
      <c r="A54" t="str">
        <f>All[[#This Row],[Student No.]]</f>
        <v>1832991</v>
      </c>
      <c r="B54" t="str">
        <f>All[[#This Row],[Student Name]]</f>
        <v>Johari, Mannan</v>
      </c>
      <c r="C54" t="e">
        <f>All[[#This Row],[Engagement]]</f>
        <v>#REF!</v>
      </c>
      <c r="D54" t="str">
        <f>All[[#This Row],[Test]]</f>
        <v>Cannot find student!</v>
      </c>
      <c r="E54" t="str">
        <f>All[[#This Row],[Project]]</f>
        <v/>
      </c>
      <c r="F54">
        <f>IF(All[[#This Row],[Wrote Exam]],All[[#This Row],[Exam/Def]],"")</f>
        <v>27</v>
      </c>
      <c r="G54" t="str">
        <f>IF(All[[#This Row],[Wrote Def]],All[[#This Row],[Exam/Def]],"")</f>
        <v/>
      </c>
      <c r="H54" t="str">
        <f>All[[#This Row],[Course Mark]]</f>
        <v/>
      </c>
      <c r="I54" t="str">
        <f>All[[#This Row],[Final]]</f>
        <v/>
      </c>
      <c r="J54" t="str">
        <f>IF(All[[#This Row],[Wrote Sup]],All[[#This Row],[Sup]],"")</f>
        <v/>
      </c>
      <c r="K54" t="str">
        <f>All[[#This Row],[My Grade]]</f>
        <v/>
      </c>
    </row>
    <row r="55" spans="1:11">
      <c r="A55" t="str">
        <f>All[[#This Row],[Student No.]]</f>
        <v>1146648</v>
      </c>
      <c r="B55" t="str">
        <f>All[[#This Row],[Student Name]]</f>
        <v>Kala, Priyanka</v>
      </c>
      <c r="C55" t="e">
        <f>All[[#This Row],[Engagement]]</f>
        <v>#REF!</v>
      </c>
      <c r="D55" t="str">
        <f>All[[#This Row],[Test]]</f>
        <v>Cannot find student!</v>
      </c>
      <c r="E55" t="str">
        <f>All[[#This Row],[Project]]</f>
        <v/>
      </c>
      <c r="F55">
        <f>IF(All[[#This Row],[Wrote Exam]],All[[#This Row],[Exam/Def]],"")</f>
        <v>60</v>
      </c>
      <c r="G55" t="str">
        <f>IF(All[[#This Row],[Wrote Def]],All[[#This Row],[Exam/Def]],"")</f>
        <v/>
      </c>
      <c r="H55" t="str">
        <f>All[[#This Row],[Course Mark]]</f>
        <v/>
      </c>
      <c r="I55" t="str">
        <f>All[[#This Row],[Final]]</f>
        <v/>
      </c>
      <c r="J55" t="str">
        <f>IF(All[[#This Row],[Wrote Sup]],All[[#This Row],[Sup]],"")</f>
        <v/>
      </c>
      <c r="K55" t="str">
        <f>All[[#This Row],[My Grade]]</f>
        <v/>
      </c>
    </row>
    <row r="56" spans="1:11">
      <c r="A56" t="str">
        <f>All[[#This Row],[Student No.]]</f>
        <v>2367017</v>
      </c>
      <c r="B56" t="str">
        <f>All[[#This Row],[Student Name]]</f>
        <v>Kangisser, Gilad</v>
      </c>
      <c r="C56" t="e">
        <f>All[[#This Row],[Engagement]]</f>
        <v>#REF!</v>
      </c>
      <c r="D56" t="str">
        <f>All[[#This Row],[Test]]</f>
        <v>Cannot find student!</v>
      </c>
      <c r="E56" t="str">
        <f>All[[#This Row],[Project]]</f>
        <v/>
      </c>
      <c r="F56">
        <f>IF(All[[#This Row],[Wrote Exam]],All[[#This Row],[Exam/Def]],"")</f>
        <v>74</v>
      </c>
      <c r="G56" t="str">
        <f>IF(All[[#This Row],[Wrote Def]],All[[#This Row],[Exam/Def]],"")</f>
        <v/>
      </c>
      <c r="H56" t="str">
        <f>All[[#This Row],[Course Mark]]</f>
        <v/>
      </c>
      <c r="I56" t="str">
        <f>All[[#This Row],[Final]]</f>
        <v/>
      </c>
      <c r="J56" t="str">
        <f>IF(All[[#This Row],[Wrote Sup]],All[[#This Row],[Sup]],"")</f>
        <v/>
      </c>
      <c r="K56" t="str">
        <f>All[[#This Row],[My Grade]]</f>
        <v/>
      </c>
    </row>
    <row r="57" spans="1:11">
      <c r="A57" t="str">
        <f>All[[#This Row],[Student No.]]</f>
        <v>2209317</v>
      </c>
      <c r="B57" t="str">
        <f>All[[#This Row],[Student Name]]</f>
        <v>Katz, Jonathan</v>
      </c>
      <c r="C57" t="e">
        <f>All[[#This Row],[Engagement]]</f>
        <v>#REF!</v>
      </c>
      <c r="D57" t="str">
        <f>All[[#This Row],[Test]]</f>
        <v>Cannot find student!</v>
      </c>
      <c r="E57" t="str">
        <f>All[[#This Row],[Project]]</f>
        <v/>
      </c>
      <c r="F57">
        <f>IF(All[[#This Row],[Wrote Exam]],All[[#This Row],[Exam/Def]],"")</f>
        <v>54</v>
      </c>
      <c r="G57" t="str">
        <f>IF(All[[#This Row],[Wrote Def]],All[[#This Row],[Exam/Def]],"")</f>
        <v/>
      </c>
      <c r="H57" t="str">
        <f>All[[#This Row],[Course Mark]]</f>
        <v/>
      </c>
      <c r="I57" t="str">
        <f>All[[#This Row],[Final]]</f>
        <v/>
      </c>
      <c r="J57" t="str">
        <f>IF(All[[#This Row],[Wrote Sup]],All[[#This Row],[Sup]],"")</f>
        <v/>
      </c>
      <c r="K57" t="str">
        <f>All[[#This Row],[My Grade]]</f>
        <v/>
      </c>
    </row>
    <row r="58" spans="1:11">
      <c r="A58" t="str">
        <f>All[[#This Row],[Student No.]]</f>
        <v>2351913</v>
      </c>
      <c r="B58" t="str">
        <f>All[[#This Row],[Student Name]]</f>
        <v>Katz, Kira</v>
      </c>
      <c r="C58" t="e">
        <f>All[[#This Row],[Engagement]]</f>
        <v>#REF!</v>
      </c>
      <c r="D58" t="str">
        <f>All[[#This Row],[Test]]</f>
        <v>Cannot find student!</v>
      </c>
      <c r="E58" t="str">
        <f>All[[#This Row],[Project]]</f>
        <v/>
      </c>
      <c r="F58">
        <f>IF(All[[#This Row],[Wrote Exam]],All[[#This Row],[Exam/Def]],"")</f>
        <v>55</v>
      </c>
      <c r="G58" t="str">
        <f>IF(All[[#This Row],[Wrote Def]],All[[#This Row],[Exam/Def]],"")</f>
        <v/>
      </c>
      <c r="H58" t="str">
        <f>All[[#This Row],[Course Mark]]</f>
        <v/>
      </c>
      <c r="I58" t="str">
        <f>All[[#This Row],[Final]]</f>
        <v/>
      </c>
      <c r="J58" t="str">
        <f>IF(All[[#This Row],[Wrote Sup]],All[[#This Row],[Sup]],"")</f>
        <v/>
      </c>
      <c r="K58" t="str">
        <f>All[[#This Row],[My Grade]]</f>
        <v/>
      </c>
    </row>
    <row r="59" spans="1:11">
      <c r="A59" t="str">
        <f>All[[#This Row],[Student No.]]</f>
        <v>2127000</v>
      </c>
      <c r="B59" t="str">
        <f>All[[#This Row],[Student Name]]</f>
        <v>Kemraj, Caitlin</v>
      </c>
      <c r="C59" t="e">
        <f>All[[#This Row],[Engagement]]</f>
        <v>#REF!</v>
      </c>
      <c r="D59" t="str">
        <f>All[[#This Row],[Test]]</f>
        <v/>
      </c>
      <c r="E59" t="str">
        <f>All[[#This Row],[Project]]</f>
        <v/>
      </c>
      <c r="F59">
        <f>IF(All[[#This Row],[Wrote Exam]],All[[#This Row],[Exam/Def]],"")</f>
        <v>28</v>
      </c>
      <c r="G59" t="str">
        <f>IF(All[[#This Row],[Wrote Def]],All[[#This Row],[Exam/Def]],"")</f>
        <v/>
      </c>
      <c r="H59" t="str">
        <f>All[[#This Row],[Course Mark]]</f>
        <v/>
      </c>
      <c r="I59" t="str">
        <f>All[[#This Row],[Final]]</f>
        <v/>
      </c>
      <c r="J59" t="str">
        <f>IF(All[[#This Row],[Wrote Sup]],All[[#This Row],[Sup]],"")</f>
        <v/>
      </c>
      <c r="K59" t="str">
        <f>All[[#This Row],[My Grade]]</f>
        <v/>
      </c>
    </row>
    <row r="60" spans="1:11">
      <c r="A60" t="str">
        <f>All[[#This Row],[Student No.]]</f>
        <v>2105080</v>
      </c>
      <c r="B60" t="str">
        <f>All[[#This Row],[Student Name]]</f>
        <v>Khoza, Abram</v>
      </c>
      <c r="C60" t="e">
        <f>All[[#This Row],[Engagement]]</f>
        <v>#REF!</v>
      </c>
      <c r="D60" t="str">
        <f>All[[#This Row],[Test]]</f>
        <v>Cannot find student!</v>
      </c>
      <c r="E60" t="str">
        <f>All[[#This Row],[Project]]</f>
        <v/>
      </c>
      <c r="F60">
        <f>IF(All[[#This Row],[Wrote Exam]],All[[#This Row],[Exam/Def]],"")</f>
        <v>16</v>
      </c>
      <c r="G60" t="str">
        <f>IF(All[[#This Row],[Wrote Def]],All[[#This Row],[Exam/Def]],"")</f>
        <v/>
      </c>
      <c r="H60" t="str">
        <f>All[[#This Row],[Course Mark]]</f>
        <v/>
      </c>
      <c r="I60" t="str">
        <f>All[[#This Row],[Final]]</f>
        <v/>
      </c>
      <c r="J60" t="str">
        <f>IF(All[[#This Row],[Wrote Sup]],All[[#This Row],[Sup]],"")</f>
        <v/>
      </c>
      <c r="K60" t="str">
        <f>All[[#This Row],[My Grade]]</f>
        <v/>
      </c>
    </row>
    <row r="61" spans="1:11">
      <c r="A61" t="str">
        <f>All[[#This Row],[Student No.]]</f>
        <v>2095396</v>
      </c>
      <c r="B61" t="str">
        <f>All[[#This Row],[Student Name]]</f>
        <v>Khumalo, Dumisani</v>
      </c>
      <c r="C61" t="e">
        <f>All[[#This Row],[Engagement]]</f>
        <v>#REF!</v>
      </c>
      <c r="D61" t="str">
        <f>All[[#This Row],[Test]]</f>
        <v>Cannot find student!</v>
      </c>
      <c r="E61" t="str">
        <f>All[[#This Row],[Project]]</f>
        <v/>
      </c>
      <c r="F61">
        <f>IF(All[[#This Row],[Wrote Exam]],All[[#This Row],[Exam/Def]],"")</f>
        <v>26</v>
      </c>
      <c r="G61" t="str">
        <f>IF(All[[#This Row],[Wrote Def]],All[[#This Row],[Exam/Def]],"")</f>
        <v/>
      </c>
      <c r="H61" t="str">
        <f>All[[#This Row],[Course Mark]]</f>
        <v/>
      </c>
      <c r="I61" t="str">
        <f>All[[#This Row],[Final]]</f>
        <v/>
      </c>
      <c r="J61" t="str">
        <f>IF(All[[#This Row],[Wrote Sup]],All[[#This Row],[Sup]],"")</f>
        <v/>
      </c>
      <c r="K61" t="str">
        <f>All[[#This Row],[My Grade]]</f>
        <v/>
      </c>
    </row>
    <row r="62" spans="1:11">
      <c r="A62" t="str">
        <f>All[[#This Row],[Student No.]]</f>
        <v>2242940</v>
      </c>
      <c r="B62" t="str">
        <f>All[[#This Row],[Student Name]]</f>
        <v>Khuzwayo, Siyanda</v>
      </c>
      <c r="C62" t="e">
        <f>All[[#This Row],[Engagement]]</f>
        <v>#REF!</v>
      </c>
      <c r="D62" t="str">
        <f>All[[#This Row],[Test]]</f>
        <v/>
      </c>
      <c r="E62" t="str">
        <f>All[[#This Row],[Project]]</f>
        <v/>
      </c>
      <c r="F62">
        <f>IF(All[[#This Row],[Wrote Exam]],All[[#This Row],[Exam/Def]],"")</f>
        <v>14</v>
      </c>
      <c r="G62" t="str">
        <f>IF(All[[#This Row],[Wrote Def]],All[[#This Row],[Exam/Def]],"")</f>
        <v/>
      </c>
      <c r="H62" t="str">
        <f>All[[#This Row],[Course Mark]]</f>
        <v/>
      </c>
      <c r="I62" t="str">
        <f>All[[#This Row],[Final]]</f>
        <v/>
      </c>
      <c r="J62" t="str">
        <f>IF(All[[#This Row],[Wrote Sup]],All[[#This Row],[Sup]],"")</f>
        <v/>
      </c>
      <c r="K62" t="str">
        <f>All[[#This Row],[My Grade]]</f>
        <v/>
      </c>
    </row>
    <row r="63" spans="1:11">
      <c r="A63" t="str">
        <f>All[[#This Row],[Student No.]]</f>
        <v>2172968</v>
      </c>
      <c r="B63" t="str">
        <f>All[[#This Row],[Student Name]]</f>
        <v>Kipruto, Bradley</v>
      </c>
      <c r="C63" t="e">
        <f>All[[#This Row],[Engagement]]</f>
        <v>#REF!</v>
      </c>
      <c r="D63" t="str">
        <f>All[[#This Row],[Test]]</f>
        <v>Cannot find student!</v>
      </c>
      <c r="E63" t="str">
        <f>All[[#This Row],[Project]]</f>
        <v/>
      </c>
      <c r="F63">
        <f>IF(All[[#This Row],[Wrote Exam]],All[[#This Row],[Exam/Def]],"")</f>
        <v>29</v>
      </c>
      <c r="G63" t="str">
        <f>IF(All[[#This Row],[Wrote Def]],All[[#This Row],[Exam/Def]],"")</f>
        <v/>
      </c>
      <c r="H63" t="str">
        <f>All[[#This Row],[Course Mark]]</f>
        <v/>
      </c>
      <c r="I63" t="str">
        <f>All[[#This Row],[Final]]</f>
        <v/>
      </c>
      <c r="J63" t="str">
        <f>IF(All[[#This Row],[Wrote Sup]],All[[#This Row],[Sup]],"")</f>
        <v/>
      </c>
      <c r="K63" t="str">
        <f>All[[#This Row],[My Grade]]</f>
        <v/>
      </c>
    </row>
    <row r="64" spans="1:11">
      <c r="A64" t="str">
        <f>All[[#This Row],[Student No.]]</f>
        <v>2117841</v>
      </c>
      <c r="B64" t="str">
        <f>All[[#This Row],[Student Name]]</f>
        <v>Konyane, Kgothatso</v>
      </c>
      <c r="C64" t="e">
        <f>All[[#This Row],[Engagement]]</f>
        <v>#REF!</v>
      </c>
      <c r="D64" t="str">
        <f>All[[#This Row],[Test]]</f>
        <v/>
      </c>
      <c r="E64" t="str">
        <f>All[[#This Row],[Project]]</f>
        <v/>
      </c>
      <c r="F64">
        <f>IF(All[[#This Row],[Wrote Exam]],All[[#This Row],[Exam/Def]],"")</f>
        <v>20</v>
      </c>
      <c r="G64" t="str">
        <f>IF(All[[#This Row],[Wrote Def]],All[[#This Row],[Exam/Def]],"")</f>
        <v/>
      </c>
      <c r="H64" t="str">
        <f>All[[#This Row],[Course Mark]]</f>
        <v/>
      </c>
      <c r="I64" t="str">
        <f>All[[#This Row],[Final]]</f>
        <v/>
      </c>
      <c r="J64" t="str">
        <f>IF(All[[#This Row],[Wrote Sup]],All[[#This Row],[Sup]],"")</f>
        <v/>
      </c>
      <c r="K64" t="str">
        <f>All[[#This Row],[My Grade]]</f>
        <v/>
      </c>
    </row>
    <row r="65" spans="1:11">
      <c r="A65" t="str">
        <f>All[[#This Row],[Student No.]]</f>
        <v>2341547</v>
      </c>
      <c r="B65" t="str">
        <f>All[[#This Row],[Student Name]]</f>
        <v>Kouassi, Ogou John Marlon Rich</v>
      </c>
      <c r="C65" t="e">
        <f>All[[#This Row],[Engagement]]</f>
        <v>#REF!</v>
      </c>
      <c r="D65" t="str">
        <f>All[[#This Row],[Test]]</f>
        <v>Cannot find student!</v>
      </c>
      <c r="E65" t="str">
        <f>All[[#This Row],[Project]]</f>
        <v/>
      </c>
      <c r="F65">
        <f>IF(All[[#This Row],[Wrote Exam]],All[[#This Row],[Exam/Def]],"")</f>
        <v>40</v>
      </c>
      <c r="G65" t="str">
        <f>IF(All[[#This Row],[Wrote Def]],All[[#This Row],[Exam/Def]],"")</f>
        <v/>
      </c>
      <c r="H65" t="str">
        <f>All[[#This Row],[Course Mark]]</f>
        <v/>
      </c>
      <c r="I65" t="str">
        <f>All[[#This Row],[Final]]</f>
        <v/>
      </c>
      <c r="J65" t="str">
        <f>IF(All[[#This Row],[Wrote Sup]],All[[#This Row],[Sup]],"")</f>
        <v/>
      </c>
      <c r="K65" t="str">
        <f>All[[#This Row],[My Grade]]</f>
        <v/>
      </c>
    </row>
    <row r="66" spans="1:11">
      <c r="A66" t="str">
        <f>All[[#This Row],[Student No.]]</f>
        <v>1744150</v>
      </c>
      <c r="B66" t="str">
        <f>All[[#This Row],[Student Name]]</f>
        <v>Krawe, Thulani</v>
      </c>
      <c r="C66" t="e">
        <f>All[[#This Row],[Engagement]]</f>
        <v>#REF!</v>
      </c>
      <c r="D66" t="str">
        <f>All[[#This Row],[Test]]</f>
        <v/>
      </c>
      <c r="E66" t="str">
        <f>All[[#This Row],[Project]]</f>
        <v/>
      </c>
      <c r="F66" t="str">
        <f>IF(All[[#This Row],[Wrote Exam]],All[[#This Row],[Exam/Def]],"")</f>
        <v/>
      </c>
      <c r="G66" t="str">
        <f>IF(All[[#This Row],[Wrote Def]],All[[#This Row],[Exam/Def]],"")</f>
        <v/>
      </c>
      <c r="H66" t="str">
        <f>All[[#This Row],[Course Mark]]</f>
        <v/>
      </c>
      <c r="I66" t="str">
        <f>All[[#This Row],[Final]]</f>
        <v/>
      </c>
      <c r="J66" t="str">
        <f>IF(All[[#This Row],[Wrote Sup]],All[[#This Row],[Sup]],"")</f>
        <v/>
      </c>
      <c r="K66" t="str">
        <f>All[[#This Row],[My Grade]]</f>
        <v/>
      </c>
    </row>
    <row r="67" spans="1:11">
      <c r="A67" t="str">
        <f>All[[#This Row],[Student No.]]</f>
        <v>1919247</v>
      </c>
      <c r="B67" t="str">
        <f>All[[#This Row],[Student Name]]</f>
        <v>Krishanlall, Shekhar</v>
      </c>
      <c r="C67" t="e">
        <f>All[[#This Row],[Engagement]]</f>
        <v>#REF!</v>
      </c>
      <c r="D67" t="str">
        <f>All[[#This Row],[Test]]</f>
        <v/>
      </c>
      <c r="E67" t="str">
        <f>All[[#This Row],[Project]]</f>
        <v/>
      </c>
      <c r="F67">
        <f>IF(All[[#This Row],[Wrote Exam]],All[[#This Row],[Exam/Def]],"")</f>
        <v>32</v>
      </c>
      <c r="G67" t="str">
        <f>IF(All[[#This Row],[Wrote Def]],All[[#This Row],[Exam/Def]],"")</f>
        <v/>
      </c>
      <c r="H67" t="str">
        <f>All[[#This Row],[Course Mark]]</f>
        <v/>
      </c>
      <c r="I67" t="str">
        <f>All[[#This Row],[Final]]</f>
        <v/>
      </c>
      <c r="J67" t="str">
        <f>IF(All[[#This Row],[Wrote Sup]],All[[#This Row],[Sup]],"")</f>
        <v/>
      </c>
      <c r="K67" t="str">
        <f>All[[#This Row],[My Grade]]</f>
        <v/>
      </c>
    </row>
    <row r="68" spans="1:11">
      <c r="A68" t="str">
        <f>All[[#This Row],[Student No.]]</f>
        <v>1834022</v>
      </c>
      <c r="B68" t="str">
        <f>All[[#This Row],[Student Name]]</f>
        <v>Kunene, Mbali</v>
      </c>
      <c r="C68" t="e">
        <f>All[[#This Row],[Engagement]]</f>
        <v>#REF!</v>
      </c>
      <c r="D68" t="str">
        <f>All[[#This Row],[Test]]</f>
        <v/>
      </c>
      <c r="E68" t="str">
        <f>All[[#This Row],[Project]]</f>
        <v/>
      </c>
      <c r="F68">
        <f>IF(All[[#This Row],[Wrote Exam]],All[[#This Row],[Exam/Def]],"")</f>
        <v>41</v>
      </c>
      <c r="G68" t="str">
        <f>IF(All[[#This Row],[Wrote Def]],All[[#This Row],[Exam/Def]],"")</f>
        <v/>
      </c>
      <c r="H68" t="str">
        <f>All[[#This Row],[Course Mark]]</f>
        <v/>
      </c>
      <c r="I68" t="str">
        <f>All[[#This Row],[Final]]</f>
        <v/>
      </c>
      <c r="J68" t="str">
        <f>IF(All[[#This Row],[Wrote Sup]],All[[#This Row],[Sup]],"")</f>
        <v/>
      </c>
      <c r="K68" t="str">
        <f>All[[#This Row],[My Grade]]</f>
        <v/>
      </c>
    </row>
    <row r="69" spans="1:11">
      <c r="A69" t="str">
        <f>All[[#This Row],[Student No.]]</f>
        <v>704140</v>
      </c>
      <c r="B69" t="str">
        <f>All[[#This Row],[Student Name]]</f>
        <v>Landgrebe, Michael</v>
      </c>
      <c r="C69" t="e">
        <f>All[[#This Row],[Engagement]]</f>
        <v>#REF!</v>
      </c>
      <c r="D69" t="str">
        <f>All[[#This Row],[Test]]</f>
        <v>Cannot find student!</v>
      </c>
      <c r="E69" t="str">
        <f>All[[#This Row],[Project]]</f>
        <v/>
      </c>
      <c r="F69">
        <f>IF(All[[#This Row],[Wrote Exam]],All[[#This Row],[Exam/Def]],"")</f>
        <v>60</v>
      </c>
      <c r="G69" t="str">
        <f>IF(All[[#This Row],[Wrote Def]],All[[#This Row],[Exam/Def]],"")</f>
        <v/>
      </c>
      <c r="H69" t="str">
        <f>All[[#This Row],[Course Mark]]</f>
        <v/>
      </c>
      <c r="I69" t="str">
        <f>All[[#This Row],[Final]]</f>
        <v/>
      </c>
      <c r="J69" t="str">
        <f>IF(All[[#This Row],[Wrote Sup]],All[[#This Row],[Sup]],"")</f>
        <v/>
      </c>
      <c r="K69" t="str">
        <f>All[[#This Row],[My Grade]]</f>
        <v/>
      </c>
    </row>
    <row r="70" spans="1:11">
      <c r="A70" t="str">
        <f>All[[#This Row],[Student No.]]</f>
        <v>2307157</v>
      </c>
      <c r="B70" t="str">
        <f>All[[#This Row],[Student Name]]</f>
        <v>Legoabe, Tebogo</v>
      </c>
      <c r="C70" t="e">
        <f>All[[#This Row],[Engagement]]</f>
        <v>#REF!</v>
      </c>
      <c r="D70" t="str">
        <f>All[[#This Row],[Test]]</f>
        <v/>
      </c>
      <c r="E70" t="str">
        <f>All[[#This Row],[Project]]</f>
        <v/>
      </c>
      <c r="F70">
        <f>IF(All[[#This Row],[Wrote Exam]],All[[#This Row],[Exam/Def]],"")</f>
        <v>12</v>
      </c>
      <c r="G70" t="str">
        <f>IF(All[[#This Row],[Wrote Def]],All[[#This Row],[Exam/Def]],"")</f>
        <v/>
      </c>
      <c r="H70" t="str">
        <f>All[[#This Row],[Course Mark]]</f>
        <v/>
      </c>
      <c r="I70" t="str">
        <f>All[[#This Row],[Final]]</f>
        <v/>
      </c>
      <c r="J70" t="str">
        <f>IF(All[[#This Row],[Wrote Sup]],All[[#This Row],[Sup]],"")</f>
        <v/>
      </c>
      <c r="K70" t="str">
        <f>All[[#This Row],[My Grade]]</f>
        <v/>
      </c>
    </row>
    <row r="71" spans="1:11">
      <c r="A71" t="str">
        <f>All[[#This Row],[Student No.]]</f>
        <v>1827340</v>
      </c>
      <c r="B71" t="str">
        <f>All[[#This Row],[Student Name]]</f>
        <v>Lepako, Mahlatse</v>
      </c>
      <c r="C71" t="e">
        <f>All[[#This Row],[Engagement]]</f>
        <v>#REF!</v>
      </c>
      <c r="D71" t="str">
        <f>All[[#This Row],[Test]]</f>
        <v>Cannot find student!</v>
      </c>
      <c r="E71" t="str">
        <f>All[[#This Row],[Project]]</f>
        <v/>
      </c>
      <c r="F71">
        <f>IF(All[[#This Row],[Wrote Exam]],All[[#This Row],[Exam/Def]],"")</f>
        <v>24</v>
      </c>
      <c r="G71" t="str">
        <f>IF(All[[#This Row],[Wrote Def]],All[[#This Row],[Exam/Def]],"")</f>
        <v/>
      </c>
      <c r="H71" t="str">
        <f>All[[#This Row],[Course Mark]]</f>
        <v/>
      </c>
      <c r="I71" t="str">
        <f>All[[#This Row],[Final]]</f>
        <v/>
      </c>
      <c r="J71" t="str">
        <f>IF(All[[#This Row],[Wrote Sup]],All[[#This Row],[Sup]],"")</f>
        <v/>
      </c>
      <c r="K71" t="str">
        <f>All[[#This Row],[My Grade]]</f>
        <v/>
      </c>
    </row>
    <row r="72" spans="1:11">
      <c r="A72" t="str">
        <f>All[[#This Row],[Student No.]]</f>
        <v>2306202</v>
      </c>
      <c r="B72" t="str">
        <f>All[[#This Row],[Student Name]]</f>
        <v>Lorgat, Sameer</v>
      </c>
      <c r="C72" t="e">
        <f>All[[#This Row],[Engagement]]</f>
        <v>#REF!</v>
      </c>
      <c r="D72" t="str">
        <f>All[[#This Row],[Test]]</f>
        <v>Cannot find student!</v>
      </c>
      <c r="E72" t="str">
        <f>All[[#This Row],[Project]]</f>
        <v/>
      </c>
      <c r="F72">
        <f>IF(All[[#This Row],[Wrote Exam]],All[[#This Row],[Exam/Def]],"")</f>
        <v>52</v>
      </c>
      <c r="G72" t="str">
        <f>IF(All[[#This Row],[Wrote Def]],All[[#This Row],[Exam/Def]],"")</f>
        <v/>
      </c>
      <c r="H72" t="str">
        <f>All[[#This Row],[Course Mark]]</f>
        <v/>
      </c>
      <c r="I72" t="str">
        <f>All[[#This Row],[Final]]</f>
        <v/>
      </c>
      <c r="J72" t="str">
        <f>IF(All[[#This Row],[Wrote Sup]],All[[#This Row],[Sup]],"")</f>
        <v/>
      </c>
      <c r="K72" t="str">
        <f>All[[#This Row],[My Grade]]</f>
        <v/>
      </c>
    </row>
    <row r="73" spans="1:11">
      <c r="A73" t="str">
        <f>All[[#This Row],[Student No.]]</f>
        <v>2108293</v>
      </c>
      <c r="B73" t="str">
        <f>All[[#This Row],[Student Name]]</f>
        <v>Luningo, Okuhle</v>
      </c>
      <c r="C73" t="e">
        <f>All[[#This Row],[Engagement]]</f>
        <v>#REF!</v>
      </c>
      <c r="D73" t="str">
        <f>All[[#This Row],[Test]]</f>
        <v/>
      </c>
      <c r="E73" t="str">
        <f>All[[#This Row],[Project]]</f>
        <v/>
      </c>
      <c r="F73" t="str">
        <f>IF(All[[#This Row],[Wrote Exam]],All[[#This Row],[Exam/Def]],"")</f>
        <v/>
      </c>
      <c r="G73" t="str">
        <f>IF(All[[#This Row],[Wrote Def]],All[[#This Row],[Exam/Def]],"")</f>
        <v/>
      </c>
      <c r="H73" t="str">
        <f>All[[#This Row],[Course Mark]]</f>
        <v/>
      </c>
      <c r="I73" t="str">
        <f>All[[#This Row],[Final]]</f>
        <v/>
      </c>
      <c r="J73" t="str">
        <f>IF(All[[#This Row],[Wrote Sup]],All[[#This Row],[Sup]],"")</f>
        <v/>
      </c>
      <c r="K73" t="str">
        <f>All[[#This Row],[My Grade]]</f>
        <v/>
      </c>
    </row>
    <row r="74" spans="1:11">
      <c r="A74" t="str">
        <f>All[[#This Row],[Student No.]]</f>
        <v>2356839</v>
      </c>
      <c r="B74" t="str">
        <f>All[[#This Row],[Student Name]]</f>
        <v>Mabula, Mosa</v>
      </c>
      <c r="C74" t="e">
        <f>All[[#This Row],[Engagement]]</f>
        <v>#REF!</v>
      </c>
      <c r="D74" t="str">
        <f>All[[#This Row],[Test]]</f>
        <v/>
      </c>
      <c r="E74" t="str">
        <f>All[[#This Row],[Project]]</f>
        <v/>
      </c>
      <c r="F74">
        <f>IF(All[[#This Row],[Wrote Exam]],All[[#This Row],[Exam/Def]],"")</f>
        <v>23</v>
      </c>
      <c r="G74" t="str">
        <f>IF(All[[#This Row],[Wrote Def]],All[[#This Row],[Exam/Def]],"")</f>
        <v/>
      </c>
      <c r="H74" t="str">
        <f>All[[#This Row],[Course Mark]]</f>
        <v/>
      </c>
      <c r="I74" t="str">
        <f>All[[#This Row],[Final]]</f>
        <v/>
      </c>
      <c r="J74" t="str">
        <f>IF(All[[#This Row],[Wrote Sup]],All[[#This Row],[Sup]],"")</f>
        <v/>
      </c>
      <c r="K74" t="str">
        <f>All[[#This Row],[My Grade]]</f>
        <v/>
      </c>
    </row>
    <row r="75" spans="1:11">
      <c r="A75" t="str">
        <f>All[[#This Row],[Student No.]]</f>
        <v>1864128</v>
      </c>
      <c r="B75" t="str">
        <f>All[[#This Row],[Student Name]]</f>
        <v>Magidi, Murendeni</v>
      </c>
      <c r="C75" t="e">
        <f>All[[#This Row],[Engagement]]</f>
        <v>#REF!</v>
      </c>
      <c r="D75" t="str">
        <f>All[[#This Row],[Test]]</f>
        <v>Cannot find student!</v>
      </c>
      <c r="E75" t="str">
        <f>All[[#This Row],[Project]]</f>
        <v/>
      </c>
      <c r="F75">
        <f>IF(All[[#This Row],[Wrote Exam]],All[[#This Row],[Exam/Def]],"")</f>
        <v>35</v>
      </c>
      <c r="G75" t="str">
        <f>IF(All[[#This Row],[Wrote Def]],All[[#This Row],[Exam/Def]],"")</f>
        <v/>
      </c>
      <c r="H75" t="str">
        <f>All[[#This Row],[Course Mark]]</f>
        <v/>
      </c>
      <c r="I75" t="str">
        <f>All[[#This Row],[Final]]</f>
        <v/>
      </c>
      <c r="J75" t="str">
        <f>IF(All[[#This Row],[Wrote Sup]],All[[#This Row],[Sup]],"")</f>
        <v/>
      </c>
      <c r="K75" t="str">
        <f>All[[#This Row],[My Grade]]</f>
        <v/>
      </c>
    </row>
    <row r="76" spans="1:11">
      <c r="A76" t="str">
        <f>All[[#This Row],[Student No.]]</f>
        <v>1077227</v>
      </c>
      <c r="B76" t="str">
        <f>All[[#This Row],[Student Name]]</f>
        <v>Mahlathi, Ntsikelelo</v>
      </c>
      <c r="C76" t="e">
        <f>All[[#This Row],[Engagement]]</f>
        <v>#REF!</v>
      </c>
      <c r="D76" t="str">
        <f>All[[#This Row],[Test]]</f>
        <v/>
      </c>
      <c r="E76" t="str">
        <f>All[[#This Row],[Project]]</f>
        <v/>
      </c>
      <c r="F76">
        <f>IF(All[[#This Row],[Wrote Exam]],All[[#This Row],[Exam/Def]],"")</f>
        <v>27</v>
      </c>
      <c r="G76" t="str">
        <f>IF(All[[#This Row],[Wrote Def]],All[[#This Row],[Exam/Def]],"")</f>
        <v/>
      </c>
      <c r="H76" t="str">
        <f>All[[#This Row],[Course Mark]]</f>
        <v/>
      </c>
      <c r="I76" t="str">
        <f>All[[#This Row],[Final]]</f>
        <v/>
      </c>
      <c r="J76" t="str">
        <f>IF(All[[#This Row],[Wrote Sup]],All[[#This Row],[Sup]],"")</f>
        <v/>
      </c>
      <c r="K76" t="str">
        <f>All[[#This Row],[My Grade]]</f>
        <v/>
      </c>
    </row>
    <row r="77" spans="1:11">
      <c r="A77" t="str">
        <f>All[[#This Row],[Student No.]]</f>
        <v>2165920</v>
      </c>
      <c r="B77" t="str">
        <f>All[[#This Row],[Student Name]]</f>
        <v>Makgwale, Mahlogonolo</v>
      </c>
      <c r="C77" t="e">
        <f>All[[#This Row],[Engagement]]</f>
        <v>#REF!</v>
      </c>
      <c r="D77" t="str">
        <f>All[[#This Row],[Test]]</f>
        <v>Cannot find student!</v>
      </c>
      <c r="E77" t="str">
        <f>All[[#This Row],[Project]]</f>
        <v/>
      </c>
      <c r="F77">
        <f>IF(All[[#This Row],[Wrote Exam]],All[[#This Row],[Exam/Def]],"")</f>
        <v>7</v>
      </c>
      <c r="G77" t="str">
        <f>IF(All[[#This Row],[Wrote Def]],All[[#This Row],[Exam/Def]],"")</f>
        <v/>
      </c>
      <c r="H77" t="str">
        <f>All[[#This Row],[Course Mark]]</f>
        <v/>
      </c>
      <c r="I77" t="str">
        <f>All[[#This Row],[Final]]</f>
        <v/>
      </c>
      <c r="J77" t="str">
        <f>IF(All[[#This Row],[Wrote Sup]],All[[#This Row],[Sup]],"")</f>
        <v/>
      </c>
      <c r="K77" t="str">
        <f>All[[#This Row],[My Grade]]</f>
        <v/>
      </c>
    </row>
    <row r="78" spans="1:11">
      <c r="A78" t="str">
        <f>All[[#This Row],[Student No.]]</f>
        <v>1775759</v>
      </c>
      <c r="B78" t="str">
        <f>All[[#This Row],[Student Name]]</f>
        <v>Mamatlepa, Ignatious</v>
      </c>
      <c r="C78" t="e">
        <f>All[[#This Row],[Engagement]]</f>
        <v>#REF!</v>
      </c>
      <c r="D78" t="str">
        <f>All[[#This Row],[Test]]</f>
        <v/>
      </c>
      <c r="E78" t="str">
        <f>All[[#This Row],[Project]]</f>
        <v/>
      </c>
      <c r="F78" t="str">
        <f>IF(All[[#This Row],[Wrote Exam]],All[[#This Row],[Exam/Def]],"")</f>
        <v/>
      </c>
      <c r="G78" t="str">
        <f>IF(All[[#This Row],[Wrote Def]],All[[#This Row],[Exam/Def]],"")</f>
        <v/>
      </c>
      <c r="H78" t="str">
        <f>All[[#This Row],[Course Mark]]</f>
        <v/>
      </c>
      <c r="I78" t="str">
        <f>All[[#This Row],[Final]]</f>
        <v/>
      </c>
      <c r="J78" t="str">
        <f>IF(All[[#This Row],[Wrote Sup]],All[[#This Row],[Sup]],"")</f>
        <v/>
      </c>
      <c r="K78" t="str">
        <f>All[[#This Row],[My Grade]]</f>
        <v/>
      </c>
    </row>
    <row r="79" spans="1:11">
      <c r="A79" t="str">
        <f>All[[#This Row],[Student No.]]</f>
        <v>2088691</v>
      </c>
      <c r="B79" t="str">
        <f>All[[#This Row],[Student Name]]</f>
        <v>Manjra, Ishak</v>
      </c>
      <c r="C79" t="e">
        <f>All[[#This Row],[Engagement]]</f>
        <v>#REF!</v>
      </c>
      <c r="D79" t="str">
        <f>All[[#This Row],[Test]]</f>
        <v>Cannot find student!</v>
      </c>
      <c r="E79" t="str">
        <f>All[[#This Row],[Project]]</f>
        <v/>
      </c>
      <c r="F79">
        <f>IF(All[[#This Row],[Wrote Exam]],All[[#This Row],[Exam/Def]],"")</f>
        <v>27</v>
      </c>
      <c r="G79" t="str">
        <f>IF(All[[#This Row],[Wrote Def]],All[[#This Row],[Exam/Def]],"")</f>
        <v/>
      </c>
      <c r="H79" t="str">
        <f>All[[#This Row],[Course Mark]]</f>
        <v/>
      </c>
      <c r="I79" t="str">
        <f>All[[#This Row],[Final]]</f>
        <v/>
      </c>
      <c r="J79" t="str">
        <f>IF(All[[#This Row],[Wrote Sup]],All[[#This Row],[Sup]],"")</f>
        <v/>
      </c>
      <c r="K79" t="str">
        <f>All[[#This Row],[My Grade]]</f>
        <v/>
      </c>
    </row>
    <row r="80" spans="1:11">
      <c r="A80" t="str">
        <f>All[[#This Row],[Student No.]]</f>
        <v>1832762</v>
      </c>
      <c r="B80" t="str">
        <f>All[[#This Row],[Student Name]]</f>
        <v>Manone, Martha</v>
      </c>
      <c r="C80" t="e">
        <f>All[[#This Row],[Engagement]]</f>
        <v>#REF!</v>
      </c>
      <c r="D80" t="str">
        <f>All[[#This Row],[Test]]</f>
        <v/>
      </c>
      <c r="E80" t="str">
        <f>All[[#This Row],[Project]]</f>
        <v/>
      </c>
      <c r="F80">
        <f>IF(All[[#This Row],[Wrote Exam]],All[[#This Row],[Exam/Def]],"")</f>
        <v>25</v>
      </c>
      <c r="G80" t="str">
        <f>IF(All[[#This Row],[Wrote Def]],All[[#This Row],[Exam/Def]],"")</f>
        <v/>
      </c>
      <c r="H80" t="str">
        <f>All[[#This Row],[Course Mark]]</f>
        <v/>
      </c>
      <c r="I80" t="str">
        <f>All[[#This Row],[Final]]</f>
        <v/>
      </c>
      <c r="J80" t="str">
        <f>IF(All[[#This Row],[Wrote Sup]],All[[#This Row],[Sup]],"")</f>
        <v/>
      </c>
      <c r="K80" t="str">
        <f>All[[#This Row],[My Grade]]</f>
        <v/>
      </c>
    </row>
    <row r="81" spans="1:11">
      <c r="A81" t="str">
        <f>All[[#This Row],[Student No.]]</f>
        <v>2136569</v>
      </c>
      <c r="B81" t="str">
        <f>All[[#This Row],[Student Name]]</f>
        <v>Manqele, Anele Pretty</v>
      </c>
      <c r="C81" t="e">
        <f>All[[#This Row],[Engagement]]</f>
        <v>#REF!</v>
      </c>
      <c r="D81" t="str">
        <f>All[[#This Row],[Test]]</f>
        <v>Cannot find student!</v>
      </c>
      <c r="E81" t="str">
        <f>All[[#This Row],[Project]]</f>
        <v/>
      </c>
      <c r="F81">
        <f>IF(All[[#This Row],[Wrote Exam]],All[[#This Row],[Exam/Def]],"")</f>
        <v>22</v>
      </c>
      <c r="G81" t="str">
        <f>IF(All[[#This Row],[Wrote Def]],All[[#This Row],[Exam/Def]],"")</f>
        <v/>
      </c>
      <c r="H81" t="str">
        <f>All[[#This Row],[Course Mark]]</f>
        <v/>
      </c>
      <c r="I81" t="str">
        <f>All[[#This Row],[Final]]</f>
        <v/>
      </c>
      <c r="J81" t="str">
        <f>IF(All[[#This Row],[Wrote Sup]],All[[#This Row],[Sup]],"")</f>
        <v/>
      </c>
      <c r="K81" t="str">
        <f>All[[#This Row],[My Grade]]</f>
        <v/>
      </c>
    </row>
    <row r="82" spans="1:11">
      <c r="A82" t="str">
        <f>All[[#This Row],[Student No.]]</f>
        <v>2305164</v>
      </c>
      <c r="B82" t="str">
        <f>All[[#This Row],[Student Name]]</f>
        <v>Mantsha, Rotenda</v>
      </c>
      <c r="C82" t="e">
        <f>All[[#This Row],[Engagement]]</f>
        <v>#REF!</v>
      </c>
      <c r="D82" t="str">
        <f>All[[#This Row],[Test]]</f>
        <v>Cannot find student!</v>
      </c>
      <c r="E82" t="str">
        <f>All[[#This Row],[Project]]</f>
        <v/>
      </c>
      <c r="F82">
        <f>IF(All[[#This Row],[Wrote Exam]],All[[#This Row],[Exam/Def]],"")</f>
        <v>46</v>
      </c>
      <c r="G82" t="str">
        <f>IF(All[[#This Row],[Wrote Def]],All[[#This Row],[Exam/Def]],"")</f>
        <v/>
      </c>
      <c r="H82" t="str">
        <f>All[[#This Row],[Course Mark]]</f>
        <v/>
      </c>
      <c r="I82" t="str">
        <f>All[[#This Row],[Final]]</f>
        <v/>
      </c>
      <c r="J82" t="str">
        <f>IF(All[[#This Row],[Wrote Sup]],All[[#This Row],[Sup]],"")</f>
        <v/>
      </c>
      <c r="K82" t="str">
        <f>All[[#This Row],[My Grade]]</f>
        <v/>
      </c>
    </row>
    <row r="83" spans="1:11">
      <c r="A83" t="str">
        <f>All[[#This Row],[Student No.]]</f>
        <v>2116287</v>
      </c>
      <c r="B83" t="str">
        <f>All[[#This Row],[Student Name]]</f>
        <v>Marantos, George</v>
      </c>
      <c r="C83" t="e">
        <f>All[[#This Row],[Engagement]]</f>
        <v>#REF!</v>
      </c>
      <c r="D83" t="str">
        <f>All[[#This Row],[Test]]</f>
        <v>Cannot find student!</v>
      </c>
      <c r="E83" t="str">
        <f>All[[#This Row],[Project]]</f>
        <v/>
      </c>
      <c r="F83">
        <f>IF(All[[#This Row],[Wrote Exam]],All[[#This Row],[Exam/Def]],"")</f>
        <v>48</v>
      </c>
      <c r="G83" t="str">
        <f>IF(All[[#This Row],[Wrote Def]],All[[#This Row],[Exam/Def]],"")</f>
        <v/>
      </c>
      <c r="H83" t="str">
        <f>All[[#This Row],[Course Mark]]</f>
        <v/>
      </c>
      <c r="I83" t="str">
        <f>All[[#This Row],[Final]]</f>
        <v/>
      </c>
      <c r="J83" t="str">
        <f>IF(All[[#This Row],[Wrote Sup]],All[[#This Row],[Sup]],"")</f>
        <v/>
      </c>
      <c r="K83" t="str">
        <f>All[[#This Row],[My Grade]]</f>
        <v/>
      </c>
    </row>
    <row r="84" spans="1:11">
      <c r="A84" t="str">
        <f>All[[#This Row],[Student No.]]</f>
        <v>2164579</v>
      </c>
      <c r="B84" t="str">
        <f>All[[#This Row],[Student Name]]</f>
        <v>Maseko, Koketso</v>
      </c>
      <c r="C84" t="e">
        <f>All[[#This Row],[Engagement]]</f>
        <v>#REF!</v>
      </c>
      <c r="D84" t="str">
        <f>All[[#This Row],[Test]]</f>
        <v/>
      </c>
      <c r="E84" t="str">
        <f>All[[#This Row],[Project]]</f>
        <v/>
      </c>
      <c r="F84">
        <f>IF(All[[#This Row],[Wrote Exam]],All[[#This Row],[Exam/Def]],"")</f>
        <v>25</v>
      </c>
      <c r="G84" t="str">
        <f>IF(All[[#This Row],[Wrote Def]],All[[#This Row],[Exam/Def]],"")</f>
        <v/>
      </c>
      <c r="H84" t="str">
        <f>All[[#This Row],[Course Mark]]</f>
        <v/>
      </c>
      <c r="I84" t="str">
        <f>All[[#This Row],[Final]]</f>
        <v/>
      </c>
      <c r="J84" t="str">
        <f>IF(All[[#This Row],[Wrote Sup]],All[[#This Row],[Sup]],"")</f>
        <v/>
      </c>
      <c r="K84" t="str">
        <f>All[[#This Row],[My Grade]]</f>
        <v/>
      </c>
    </row>
    <row r="85" spans="1:11">
      <c r="A85" t="str">
        <f>All[[#This Row],[Student No.]]</f>
        <v>2107610</v>
      </c>
      <c r="B85" t="str">
        <f>All[[#This Row],[Student Name]]</f>
        <v>Mashinini, Thamsanqa</v>
      </c>
      <c r="C85" t="e">
        <f>All[[#This Row],[Engagement]]</f>
        <v>#REF!</v>
      </c>
      <c r="D85" t="str">
        <f>All[[#This Row],[Test]]</f>
        <v>Cannot find student!</v>
      </c>
      <c r="E85" t="str">
        <f>All[[#This Row],[Project]]</f>
        <v/>
      </c>
      <c r="F85">
        <f>IF(All[[#This Row],[Wrote Exam]],All[[#This Row],[Exam/Def]],"")</f>
        <v>44</v>
      </c>
      <c r="G85" t="str">
        <f>IF(All[[#This Row],[Wrote Def]],All[[#This Row],[Exam/Def]],"")</f>
        <v/>
      </c>
      <c r="H85" t="str">
        <f>All[[#This Row],[Course Mark]]</f>
        <v/>
      </c>
      <c r="I85" t="str">
        <f>All[[#This Row],[Final]]</f>
        <v/>
      </c>
      <c r="J85" t="str">
        <f>IF(All[[#This Row],[Wrote Sup]],All[[#This Row],[Sup]],"")</f>
        <v/>
      </c>
      <c r="K85" t="str">
        <f>All[[#This Row],[My Grade]]</f>
        <v/>
      </c>
    </row>
    <row r="86" spans="1:11">
      <c r="A86" t="str">
        <f>All[[#This Row],[Student No.]]</f>
        <v>2367318</v>
      </c>
      <c r="B86" t="str">
        <f>All[[#This Row],[Student Name]]</f>
        <v>Masilela, Kabelo</v>
      </c>
      <c r="C86" t="e">
        <f>All[[#This Row],[Engagement]]</f>
        <v>#REF!</v>
      </c>
      <c r="D86" t="str">
        <f>All[[#This Row],[Test]]</f>
        <v>Cannot find student!</v>
      </c>
      <c r="E86" t="str">
        <f>All[[#This Row],[Project]]</f>
        <v/>
      </c>
      <c r="F86">
        <f>IF(All[[#This Row],[Wrote Exam]],All[[#This Row],[Exam/Def]],"")</f>
        <v>45</v>
      </c>
      <c r="G86" t="str">
        <f>IF(All[[#This Row],[Wrote Def]],All[[#This Row],[Exam/Def]],"")</f>
        <v/>
      </c>
      <c r="H86" t="str">
        <f>All[[#This Row],[Course Mark]]</f>
        <v/>
      </c>
      <c r="I86" t="str">
        <f>All[[#This Row],[Final]]</f>
        <v/>
      </c>
      <c r="J86" t="str">
        <f>IF(All[[#This Row],[Wrote Sup]],All[[#This Row],[Sup]],"")</f>
        <v/>
      </c>
      <c r="K86" t="str">
        <f>All[[#This Row],[My Grade]]</f>
        <v/>
      </c>
    </row>
    <row r="87" spans="1:11">
      <c r="A87" t="str">
        <f>All[[#This Row],[Student No.]]</f>
        <v>2352044</v>
      </c>
      <c r="B87" t="str">
        <f>All[[#This Row],[Student Name]]</f>
        <v>Mathebula, Vukosi</v>
      </c>
      <c r="C87" t="e">
        <f>All[[#This Row],[Engagement]]</f>
        <v>#REF!</v>
      </c>
      <c r="D87" t="str">
        <f>All[[#This Row],[Test]]</f>
        <v>Cannot find student!</v>
      </c>
      <c r="E87" t="str">
        <f>All[[#This Row],[Project]]</f>
        <v/>
      </c>
      <c r="F87">
        <f>IF(All[[#This Row],[Wrote Exam]],All[[#This Row],[Exam/Def]],"")</f>
        <v>33</v>
      </c>
      <c r="G87" t="str">
        <f>IF(All[[#This Row],[Wrote Def]],All[[#This Row],[Exam/Def]],"")</f>
        <v/>
      </c>
      <c r="H87" t="str">
        <f>All[[#This Row],[Course Mark]]</f>
        <v/>
      </c>
      <c r="I87" t="str">
        <f>All[[#This Row],[Final]]</f>
        <v/>
      </c>
      <c r="J87" t="str">
        <f>IF(All[[#This Row],[Wrote Sup]],All[[#This Row],[Sup]],"")</f>
        <v/>
      </c>
      <c r="K87" t="str">
        <f>All[[#This Row],[My Grade]]</f>
        <v/>
      </c>
    </row>
    <row r="88" spans="1:11">
      <c r="A88" t="str">
        <f>All[[#This Row],[Student No.]]</f>
        <v>2089948</v>
      </c>
      <c r="B88" t="str">
        <f>All[[#This Row],[Student Name]]</f>
        <v>Mbonani, Sfiso</v>
      </c>
      <c r="C88" t="e">
        <f>All[[#This Row],[Engagement]]</f>
        <v>#REF!</v>
      </c>
      <c r="D88" t="str">
        <f>All[[#This Row],[Test]]</f>
        <v>Cannot find student!</v>
      </c>
      <c r="E88" t="str">
        <f>All[[#This Row],[Project]]</f>
        <v/>
      </c>
      <c r="F88">
        <f>IF(All[[#This Row],[Wrote Exam]],All[[#This Row],[Exam/Def]],"")</f>
        <v>42</v>
      </c>
      <c r="G88" t="str">
        <f>IF(All[[#This Row],[Wrote Def]],All[[#This Row],[Exam/Def]],"")</f>
        <v/>
      </c>
      <c r="H88" t="str">
        <f>All[[#This Row],[Course Mark]]</f>
        <v/>
      </c>
      <c r="I88" t="str">
        <f>All[[#This Row],[Final]]</f>
        <v/>
      </c>
      <c r="J88" t="str">
        <f>IF(All[[#This Row],[Wrote Sup]],All[[#This Row],[Sup]],"")</f>
        <v/>
      </c>
      <c r="K88" t="str">
        <f>All[[#This Row],[My Grade]]</f>
        <v/>
      </c>
    </row>
    <row r="89" spans="1:11">
      <c r="A89" t="str">
        <f>All[[#This Row],[Student No.]]</f>
        <v>2313178</v>
      </c>
      <c r="B89" t="str">
        <f>All[[#This Row],[Student Name]]</f>
        <v>Menon, Rohit</v>
      </c>
      <c r="C89" t="e">
        <f>All[[#This Row],[Engagement]]</f>
        <v>#REF!</v>
      </c>
      <c r="D89" t="str">
        <f>All[[#This Row],[Test]]</f>
        <v>Cannot find student!</v>
      </c>
      <c r="E89" t="str">
        <f>All[[#This Row],[Project]]</f>
        <v/>
      </c>
      <c r="F89">
        <f>IF(All[[#This Row],[Wrote Exam]],All[[#This Row],[Exam/Def]],"")</f>
        <v>65</v>
      </c>
      <c r="G89" t="str">
        <f>IF(All[[#This Row],[Wrote Def]],All[[#This Row],[Exam/Def]],"")</f>
        <v/>
      </c>
      <c r="H89" t="str">
        <f>All[[#This Row],[Course Mark]]</f>
        <v/>
      </c>
      <c r="I89" t="str">
        <f>All[[#This Row],[Final]]</f>
        <v/>
      </c>
      <c r="J89" t="str">
        <f>IF(All[[#This Row],[Wrote Sup]],All[[#This Row],[Sup]],"")</f>
        <v/>
      </c>
      <c r="K89" t="str">
        <f>All[[#This Row],[My Grade]]</f>
        <v/>
      </c>
    </row>
    <row r="90" spans="1:11">
      <c r="A90" t="str">
        <f>All[[#This Row],[Student No.]]</f>
        <v>2142882</v>
      </c>
      <c r="B90" t="str">
        <f>All[[#This Row],[Student Name]]</f>
        <v>Mgano, Siphesihle</v>
      </c>
      <c r="C90" t="e">
        <f>All[[#This Row],[Engagement]]</f>
        <v>#REF!</v>
      </c>
      <c r="D90" t="str">
        <f>All[[#This Row],[Test]]</f>
        <v>Cannot find student!</v>
      </c>
      <c r="E90" t="str">
        <f>All[[#This Row],[Project]]</f>
        <v/>
      </c>
      <c r="F90">
        <f>IF(All[[#This Row],[Wrote Exam]],All[[#This Row],[Exam/Def]],"")</f>
        <v>2</v>
      </c>
      <c r="G90" t="str">
        <f>IF(All[[#This Row],[Wrote Def]],All[[#This Row],[Exam/Def]],"")</f>
        <v/>
      </c>
      <c r="H90" t="str">
        <f>All[[#This Row],[Course Mark]]</f>
        <v/>
      </c>
      <c r="I90" t="str">
        <f>All[[#This Row],[Final]]</f>
        <v/>
      </c>
      <c r="J90" t="str">
        <f>IF(All[[#This Row],[Wrote Sup]],All[[#This Row],[Sup]],"")</f>
        <v/>
      </c>
      <c r="K90" t="str">
        <f>All[[#This Row],[My Grade]]</f>
        <v/>
      </c>
    </row>
    <row r="91" spans="1:11">
      <c r="A91" t="str">
        <f>All[[#This Row],[Student No.]]</f>
        <v>2141245</v>
      </c>
      <c r="B91" t="str">
        <f>All[[#This Row],[Student Name]]</f>
        <v>Mkhize, Bhekanani</v>
      </c>
      <c r="C91" t="e">
        <f>All[[#This Row],[Engagement]]</f>
        <v>#REF!</v>
      </c>
      <c r="D91" t="str">
        <f>All[[#This Row],[Test]]</f>
        <v/>
      </c>
      <c r="E91" t="str">
        <f>All[[#This Row],[Project]]</f>
        <v/>
      </c>
      <c r="F91" t="str">
        <f>IF(All[[#This Row],[Wrote Exam]],All[[#This Row],[Exam/Def]],"")</f>
        <v/>
      </c>
      <c r="G91" t="str">
        <f>IF(All[[#This Row],[Wrote Def]],All[[#This Row],[Exam/Def]],"")</f>
        <v/>
      </c>
      <c r="H91" t="str">
        <f>All[[#This Row],[Course Mark]]</f>
        <v/>
      </c>
      <c r="I91" t="str">
        <f>All[[#This Row],[Final]]</f>
        <v/>
      </c>
      <c r="J91" t="str">
        <f>IF(All[[#This Row],[Wrote Sup]],All[[#This Row],[Sup]],"")</f>
        <v/>
      </c>
      <c r="K91" t="str">
        <f>All[[#This Row],[My Grade]]</f>
        <v/>
      </c>
    </row>
    <row r="92" spans="1:11">
      <c r="A92" t="str">
        <f>All[[#This Row],[Student No.]]</f>
        <v>1854920</v>
      </c>
      <c r="B92" t="str">
        <f>All[[#This Row],[Student Name]]</f>
        <v>Mkhize, Zethembe</v>
      </c>
      <c r="C92" t="e">
        <f>All[[#This Row],[Engagement]]</f>
        <v>#REF!</v>
      </c>
      <c r="D92" t="str">
        <f>All[[#This Row],[Test]]</f>
        <v>Cannot find student!</v>
      </c>
      <c r="E92" t="str">
        <f>All[[#This Row],[Project]]</f>
        <v/>
      </c>
      <c r="F92" t="str">
        <f>IF(All[[#This Row],[Wrote Exam]],All[[#This Row],[Exam/Def]],"")</f>
        <v/>
      </c>
      <c r="G92" t="str">
        <f>IF(All[[#This Row],[Wrote Def]],All[[#This Row],[Exam/Def]],"")</f>
        <v/>
      </c>
      <c r="H92" t="str">
        <f>All[[#This Row],[Course Mark]]</f>
        <v/>
      </c>
      <c r="I92" t="str">
        <f>All[[#This Row],[Final]]</f>
        <v/>
      </c>
      <c r="J92" t="str">
        <f>IF(All[[#This Row],[Wrote Sup]],All[[#This Row],[Sup]],"")</f>
        <v/>
      </c>
      <c r="K92" t="str">
        <f>All[[#This Row],[My Grade]]</f>
        <v/>
      </c>
    </row>
    <row r="93" spans="1:11">
      <c r="A93" t="str">
        <f>All[[#This Row],[Student No.]]</f>
        <v>2345339</v>
      </c>
      <c r="B93" t="str">
        <f>All[[#This Row],[Student Name]]</f>
        <v>Mlaba, Zamaswazi</v>
      </c>
      <c r="C93" t="e">
        <f>All[[#This Row],[Engagement]]</f>
        <v>#REF!</v>
      </c>
      <c r="D93" t="str">
        <f>All[[#This Row],[Test]]</f>
        <v>Cannot find student!</v>
      </c>
      <c r="E93" t="str">
        <f>All[[#This Row],[Project]]</f>
        <v/>
      </c>
      <c r="F93">
        <f>IF(All[[#This Row],[Wrote Exam]],All[[#This Row],[Exam/Def]],"")</f>
        <v>17</v>
      </c>
      <c r="G93" t="str">
        <f>IF(All[[#This Row],[Wrote Def]],All[[#This Row],[Exam/Def]],"")</f>
        <v/>
      </c>
      <c r="H93" t="str">
        <f>All[[#This Row],[Course Mark]]</f>
        <v/>
      </c>
      <c r="I93" t="str">
        <f>All[[#This Row],[Final]]</f>
        <v/>
      </c>
      <c r="J93" t="str">
        <f>IF(All[[#This Row],[Wrote Sup]],All[[#This Row],[Sup]],"")</f>
        <v/>
      </c>
      <c r="K93" t="str">
        <f>All[[#This Row],[My Grade]]</f>
        <v/>
      </c>
    </row>
    <row r="94" spans="1:11">
      <c r="A94" t="str">
        <f>All[[#This Row],[Student No.]]</f>
        <v>1284667</v>
      </c>
      <c r="B94" t="str">
        <f>All[[#This Row],[Student Name]]</f>
        <v>Mlambo, Bongani</v>
      </c>
      <c r="C94" t="e">
        <f>All[[#This Row],[Engagement]]</f>
        <v>#REF!</v>
      </c>
      <c r="D94" t="str">
        <f>All[[#This Row],[Test]]</f>
        <v>Cannot find student!</v>
      </c>
      <c r="E94" t="str">
        <f>All[[#This Row],[Project]]</f>
        <v/>
      </c>
      <c r="F94" t="str">
        <f>IF(All[[#This Row],[Wrote Exam]],All[[#This Row],[Exam/Def]],"")</f>
        <v/>
      </c>
      <c r="G94" t="str">
        <f>IF(All[[#This Row],[Wrote Def]],All[[#This Row],[Exam/Def]],"")</f>
        <v/>
      </c>
      <c r="H94" t="str">
        <f>All[[#This Row],[Course Mark]]</f>
        <v/>
      </c>
      <c r="I94" t="str">
        <f>All[[#This Row],[Final]]</f>
        <v/>
      </c>
      <c r="J94" t="str">
        <f>IF(All[[#This Row],[Wrote Sup]],All[[#This Row],[Sup]],"")</f>
        <v/>
      </c>
      <c r="K94" t="str">
        <f>All[[#This Row],[My Grade]]</f>
        <v/>
      </c>
    </row>
    <row r="95" spans="1:11">
      <c r="A95" t="str">
        <f>All[[#This Row],[Student No.]]</f>
        <v>2129606</v>
      </c>
      <c r="B95" t="str">
        <f>All[[#This Row],[Student Name]]</f>
        <v>Mngomeni, Nompumelelo</v>
      </c>
      <c r="C95" t="e">
        <f>All[[#This Row],[Engagement]]</f>
        <v>#REF!</v>
      </c>
      <c r="D95" t="str">
        <f>All[[#This Row],[Test]]</f>
        <v>Cannot find student!</v>
      </c>
      <c r="E95" t="str">
        <f>All[[#This Row],[Project]]</f>
        <v/>
      </c>
      <c r="F95" t="str">
        <f>IF(All[[#This Row],[Wrote Exam]],All[[#This Row],[Exam/Def]],"")</f>
        <v/>
      </c>
      <c r="G95" t="str">
        <f>IF(All[[#This Row],[Wrote Def]],All[[#This Row],[Exam/Def]],"")</f>
        <v/>
      </c>
      <c r="H95" t="str">
        <f>All[[#This Row],[Course Mark]]</f>
        <v/>
      </c>
      <c r="I95" t="str">
        <f>All[[#This Row],[Final]]</f>
        <v/>
      </c>
      <c r="J95" t="str">
        <f>IF(All[[#This Row],[Wrote Sup]],All[[#This Row],[Sup]],"")</f>
        <v/>
      </c>
      <c r="K95" t="str">
        <f>All[[#This Row],[My Grade]]</f>
        <v/>
      </c>
    </row>
    <row r="96" spans="1:11">
      <c r="A96" t="str">
        <f>All[[#This Row],[Student No.]]</f>
        <v>2363523</v>
      </c>
      <c r="B96" t="str">
        <f>All[[#This Row],[Student Name]]</f>
        <v>Mngomezulu, Nhlakanipho</v>
      </c>
      <c r="C96" t="e">
        <f>All[[#This Row],[Engagement]]</f>
        <v>#REF!</v>
      </c>
      <c r="D96" t="str">
        <f>All[[#This Row],[Test]]</f>
        <v/>
      </c>
      <c r="E96" t="str">
        <f>All[[#This Row],[Project]]</f>
        <v/>
      </c>
      <c r="F96" t="str">
        <f>IF(All[[#This Row],[Wrote Exam]],All[[#This Row],[Exam/Def]],"")</f>
        <v/>
      </c>
      <c r="G96" t="str">
        <f>IF(All[[#This Row],[Wrote Def]],All[[#This Row],[Exam/Def]],"")</f>
        <v/>
      </c>
      <c r="H96" t="str">
        <f>All[[#This Row],[Course Mark]]</f>
        <v/>
      </c>
      <c r="I96" t="str">
        <f>All[[#This Row],[Final]]</f>
        <v/>
      </c>
      <c r="J96" t="str">
        <f>IF(All[[#This Row],[Wrote Sup]],All[[#This Row],[Sup]],"")</f>
        <v/>
      </c>
      <c r="K96" t="str">
        <f>All[[#This Row],[My Grade]]</f>
        <v/>
      </c>
    </row>
    <row r="97" spans="1:11">
      <c r="A97" t="str">
        <f>All[[#This Row],[Student No.]]</f>
        <v>2347976</v>
      </c>
      <c r="B97" t="str">
        <f>All[[#This Row],[Student Name]]</f>
        <v>Moagi, Thapelo</v>
      </c>
      <c r="C97" t="e">
        <f>All[[#This Row],[Engagement]]</f>
        <v>#REF!</v>
      </c>
      <c r="D97" t="str">
        <f>All[[#This Row],[Test]]</f>
        <v>Cannot find student!</v>
      </c>
      <c r="E97" t="str">
        <f>All[[#This Row],[Project]]</f>
        <v/>
      </c>
      <c r="F97" t="str">
        <f>IF(All[[#This Row],[Wrote Exam]],All[[#This Row],[Exam/Def]],"")</f>
        <v/>
      </c>
      <c r="G97" t="str">
        <f>IF(All[[#This Row],[Wrote Def]],All[[#This Row],[Exam/Def]],"")</f>
        <v/>
      </c>
      <c r="H97" t="str">
        <f>All[[#This Row],[Course Mark]]</f>
        <v/>
      </c>
      <c r="I97" t="str">
        <f>All[[#This Row],[Final]]</f>
        <v/>
      </c>
      <c r="J97" t="str">
        <f>IF(All[[#This Row],[Wrote Sup]],All[[#This Row],[Sup]],"")</f>
        <v/>
      </c>
      <c r="K97" t="str">
        <f>All[[#This Row],[My Grade]]</f>
        <v/>
      </c>
    </row>
    <row r="98" spans="1:11">
      <c r="A98" t="str">
        <f>All[[#This Row],[Student No.]]</f>
        <v>1132593</v>
      </c>
      <c r="B98" t="str">
        <f>All[[#This Row],[Student Name]]</f>
        <v>Modise, Thokozani</v>
      </c>
      <c r="C98" t="e">
        <f>All[[#This Row],[Engagement]]</f>
        <v>#REF!</v>
      </c>
      <c r="D98" t="str">
        <f>All[[#This Row],[Test]]</f>
        <v/>
      </c>
      <c r="E98" t="str">
        <f>All[[#This Row],[Project]]</f>
        <v/>
      </c>
      <c r="F98">
        <f>IF(All[[#This Row],[Wrote Exam]],All[[#This Row],[Exam/Def]],"")</f>
        <v>24</v>
      </c>
      <c r="G98" t="str">
        <f>IF(All[[#This Row],[Wrote Def]],All[[#This Row],[Exam/Def]],"")</f>
        <v/>
      </c>
      <c r="H98" t="str">
        <f>All[[#This Row],[Course Mark]]</f>
        <v/>
      </c>
      <c r="I98" t="str">
        <f>All[[#This Row],[Final]]</f>
        <v/>
      </c>
      <c r="J98" t="str">
        <f>IF(All[[#This Row],[Wrote Sup]],All[[#This Row],[Sup]],"")</f>
        <v/>
      </c>
      <c r="K98" t="str">
        <f>All[[#This Row],[My Grade]]</f>
        <v/>
      </c>
    </row>
    <row r="99" spans="1:11">
      <c r="A99" t="str">
        <f>All[[#This Row],[Student No.]]</f>
        <v>1501646</v>
      </c>
      <c r="B99" t="str">
        <f>All[[#This Row],[Student Name]]</f>
        <v>Mofokeng, Lefa</v>
      </c>
      <c r="C99" t="e">
        <f>All[[#This Row],[Engagement]]</f>
        <v>#REF!</v>
      </c>
      <c r="D99" t="str">
        <f>All[[#This Row],[Test]]</f>
        <v/>
      </c>
      <c r="E99" t="str">
        <f>All[[#This Row],[Project]]</f>
        <v/>
      </c>
      <c r="F99">
        <f>IF(All[[#This Row],[Wrote Exam]],All[[#This Row],[Exam/Def]],"")</f>
        <v>25</v>
      </c>
      <c r="G99" t="str">
        <f>IF(All[[#This Row],[Wrote Def]],All[[#This Row],[Exam/Def]],"")</f>
        <v/>
      </c>
      <c r="H99" t="str">
        <f>All[[#This Row],[Course Mark]]</f>
        <v/>
      </c>
      <c r="I99" t="str">
        <f>All[[#This Row],[Final]]</f>
        <v/>
      </c>
      <c r="J99" t="str">
        <f>IF(All[[#This Row],[Wrote Sup]],All[[#This Row],[Sup]],"")</f>
        <v/>
      </c>
      <c r="K99" t="str">
        <f>All[[#This Row],[My Grade]]</f>
        <v/>
      </c>
    </row>
    <row r="100" spans="1:11">
      <c r="A100" t="str">
        <f>All[[#This Row],[Student No.]]</f>
        <v>2103173</v>
      </c>
      <c r="B100" t="str">
        <f>All[[#This Row],[Student Name]]</f>
        <v>Mohamed, Faadhil</v>
      </c>
      <c r="C100" t="e">
        <f>All[[#This Row],[Engagement]]</f>
        <v>#REF!</v>
      </c>
      <c r="D100" t="str">
        <f>All[[#This Row],[Test]]</f>
        <v/>
      </c>
      <c r="E100" t="str">
        <f>All[[#This Row],[Project]]</f>
        <v/>
      </c>
      <c r="F100">
        <f>IF(All[[#This Row],[Wrote Exam]],All[[#This Row],[Exam/Def]],"")</f>
        <v>23</v>
      </c>
      <c r="G100" t="str">
        <f>IF(All[[#This Row],[Wrote Def]],All[[#This Row],[Exam/Def]],"")</f>
        <v/>
      </c>
      <c r="H100" t="str">
        <f>All[[#This Row],[Course Mark]]</f>
        <v/>
      </c>
      <c r="I100" t="str">
        <f>All[[#This Row],[Final]]</f>
        <v/>
      </c>
      <c r="J100" t="str">
        <f>IF(All[[#This Row],[Wrote Sup]],All[[#This Row],[Sup]],"")</f>
        <v/>
      </c>
      <c r="K100" t="str">
        <f>All[[#This Row],[My Grade]]</f>
        <v/>
      </c>
    </row>
    <row r="101" spans="1:11">
      <c r="A101" t="str">
        <f>All[[#This Row],[Student No.]]</f>
        <v>1852217</v>
      </c>
      <c r="B101" t="str">
        <f>All[[#This Row],[Student Name]]</f>
        <v>Mokgehle, Phuti</v>
      </c>
      <c r="C101" t="e">
        <f>All[[#This Row],[Engagement]]</f>
        <v>#REF!</v>
      </c>
      <c r="D101" t="str">
        <f>All[[#This Row],[Test]]</f>
        <v/>
      </c>
      <c r="E101" t="str">
        <f>All[[#This Row],[Project]]</f>
        <v/>
      </c>
      <c r="F101">
        <f>IF(All[[#This Row],[Wrote Exam]],All[[#This Row],[Exam/Def]],"")</f>
        <v>31</v>
      </c>
      <c r="G101" t="str">
        <f>IF(All[[#This Row],[Wrote Def]],All[[#This Row],[Exam/Def]],"")</f>
        <v/>
      </c>
      <c r="H101" t="str">
        <f>All[[#This Row],[Course Mark]]</f>
        <v/>
      </c>
      <c r="I101" t="str">
        <f>All[[#This Row],[Final]]</f>
        <v/>
      </c>
      <c r="J101" t="str">
        <f>IF(All[[#This Row],[Wrote Sup]],All[[#This Row],[Sup]],"")</f>
        <v/>
      </c>
      <c r="K101" t="str">
        <f>All[[#This Row],[My Grade]]</f>
        <v/>
      </c>
    </row>
    <row r="102" spans="1:11">
      <c r="A102" t="str">
        <f>All[[#This Row],[Student No.]]</f>
        <v>2172598</v>
      </c>
      <c r="B102" t="str">
        <f>All[[#This Row],[Student Name]]</f>
        <v>Moloi, Maphale</v>
      </c>
      <c r="C102" t="e">
        <f>All[[#This Row],[Engagement]]</f>
        <v>#REF!</v>
      </c>
      <c r="D102" t="str">
        <f>All[[#This Row],[Test]]</f>
        <v>Cannot find student!</v>
      </c>
      <c r="E102" t="str">
        <f>All[[#This Row],[Project]]</f>
        <v/>
      </c>
      <c r="F102" t="str">
        <f>IF(All[[#This Row],[Wrote Exam]],All[[#This Row],[Exam/Def]],"")</f>
        <v/>
      </c>
      <c r="G102" t="str">
        <f>IF(All[[#This Row],[Wrote Def]],All[[#This Row],[Exam/Def]],"")</f>
        <v/>
      </c>
      <c r="H102" t="str">
        <f>All[[#This Row],[Course Mark]]</f>
        <v/>
      </c>
      <c r="I102" t="str">
        <f>All[[#This Row],[Final]]</f>
        <v/>
      </c>
      <c r="J102" t="str">
        <f>IF(All[[#This Row],[Wrote Sup]],All[[#This Row],[Sup]],"")</f>
        <v/>
      </c>
      <c r="K102" t="str">
        <f>All[[#This Row],[My Grade]]</f>
        <v/>
      </c>
    </row>
    <row r="103" spans="1:11">
      <c r="A103" t="str">
        <f>All[[#This Row],[Student No.]]</f>
        <v>2345892</v>
      </c>
      <c r="B103" t="str">
        <f>All[[#This Row],[Student Name]]</f>
        <v>Moloto, Revinah</v>
      </c>
      <c r="C103" t="e">
        <f>All[[#This Row],[Engagement]]</f>
        <v>#REF!</v>
      </c>
      <c r="D103" t="str">
        <f>All[[#This Row],[Test]]</f>
        <v/>
      </c>
      <c r="E103" t="str">
        <f>All[[#This Row],[Project]]</f>
        <v/>
      </c>
      <c r="F103">
        <f>IF(All[[#This Row],[Wrote Exam]],All[[#This Row],[Exam/Def]],"")</f>
        <v>21</v>
      </c>
      <c r="G103" t="str">
        <f>IF(All[[#This Row],[Wrote Def]],All[[#This Row],[Exam/Def]],"")</f>
        <v/>
      </c>
      <c r="H103" t="str">
        <f>All[[#This Row],[Course Mark]]</f>
        <v/>
      </c>
      <c r="I103" t="str">
        <f>All[[#This Row],[Final]]</f>
        <v/>
      </c>
      <c r="J103" t="str">
        <f>IF(All[[#This Row],[Wrote Sup]],All[[#This Row],[Sup]],"")</f>
        <v/>
      </c>
      <c r="K103" t="str">
        <f>All[[#This Row],[My Grade]]</f>
        <v/>
      </c>
    </row>
    <row r="104" spans="1:11">
      <c r="A104" t="str">
        <f>All[[#This Row],[Student No.]]</f>
        <v>1864879</v>
      </c>
      <c r="B104" t="str">
        <f>All[[#This Row],[Student Name]]</f>
        <v>Mongalo, Neo</v>
      </c>
      <c r="C104" t="e">
        <f>All[[#This Row],[Engagement]]</f>
        <v>#REF!</v>
      </c>
      <c r="D104" t="str">
        <f>All[[#This Row],[Test]]</f>
        <v/>
      </c>
      <c r="E104" t="str">
        <f>All[[#This Row],[Project]]</f>
        <v/>
      </c>
      <c r="F104" t="str">
        <f>IF(All[[#This Row],[Wrote Exam]],All[[#This Row],[Exam/Def]],"")</f>
        <v/>
      </c>
      <c r="G104" t="str">
        <f>IF(All[[#This Row],[Wrote Def]],All[[#This Row],[Exam/Def]],"")</f>
        <v/>
      </c>
      <c r="H104" t="str">
        <f>All[[#This Row],[Course Mark]]</f>
        <v/>
      </c>
      <c r="I104" t="str">
        <f>All[[#This Row],[Final]]</f>
        <v/>
      </c>
      <c r="J104" t="str">
        <f>IF(All[[#This Row],[Wrote Sup]],All[[#This Row],[Sup]],"")</f>
        <v/>
      </c>
      <c r="K104" t="str">
        <f>All[[#This Row],[My Grade]]</f>
        <v/>
      </c>
    </row>
    <row r="105" spans="1:11">
      <c r="A105" t="str">
        <f>All[[#This Row],[Student No.]]</f>
        <v>2089978</v>
      </c>
      <c r="B105" t="str">
        <f>All[[#This Row],[Student Name]]</f>
        <v>Moodie, Donato</v>
      </c>
      <c r="C105" t="e">
        <f>All[[#This Row],[Engagement]]</f>
        <v>#REF!</v>
      </c>
      <c r="D105" t="str">
        <f>All[[#This Row],[Test]]</f>
        <v>Cannot find student!</v>
      </c>
      <c r="E105" t="str">
        <f>All[[#This Row],[Project]]</f>
        <v/>
      </c>
      <c r="F105">
        <f>IF(All[[#This Row],[Wrote Exam]],All[[#This Row],[Exam/Def]],"")</f>
        <v>35</v>
      </c>
      <c r="G105" t="str">
        <f>IF(All[[#This Row],[Wrote Def]],All[[#This Row],[Exam/Def]],"")</f>
        <v/>
      </c>
      <c r="H105" t="str">
        <f>All[[#This Row],[Course Mark]]</f>
        <v/>
      </c>
      <c r="I105" t="str">
        <f>All[[#This Row],[Final]]</f>
        <v/>
      </c>
      <c r="J105" t="str">
        <f>IF(All[[#This Row],[Wrote Sup]],All[[#This Row],[Sup]],"")</f>
        <v/>
      </c>
      <c r="K105" t="str">
        <f>All[[#This Row],[My Grade]]</f>
        <v/>
      </c>
    </row>
    <row r="106" spans="1:11">
      <c r="A106" t="str">
        <f>All[[#This Row],[Student No.]]</f>
        <v>2327728</v>
      </c>
      <c r="B106" t="str">
        <f>All[[#This Row],[Student Name]]</f>
        <v>Moolla, Ahmad</v>
      </c>
      <c r="C106" t="e">
        <f>All[[#This Row],[Engagement]]</f>
        <v>#REF!</v>
      </c>
      <c r="D106" t="str">
        <f>All[[#This Row],[Test]]</f>
        <v>Cannot find student!</v>
      </c>
      <c r="E106" t="str">
        <f>All[[#This Row],[Project]]</f>
        <v/>
      </c>
      <c r="F106">
        <f>IF(All[[#This Row],[Wrote Exam]],All[[#This Row],[Exam/Def]],"")</f>
        <v>79</v>
      </c>
      <c r="G106" t="str">
        <f>IF(All[[#This Row],[Wrote Def]],All[[#This Row],[Exam/Def]],"")</f>
        <v/>
      </c>
      <c r="H106" t="str">
        <f>All[[#This Row],[Course Mark]]</f>
        <v/>
      </c>
      <c r="I106" t="str">
        <f>All[[#This Row],[Final]]</f>
        <v/>
      </c>
      <c r="J106" t="str">
        <f>IF(All[[#This Row],[Wrote Sup]],All[[#This Row],[Sup]],"")</f>
        <v/>
      </c>
      <c r="K106" t="str">
        <f>All[[#This Row],[My Grade]]</f>
        <v/>
      </c>
    </row>
    <row r="107" spans="1:11">
      <c r="A107" t="str">
        <f>All[[#This Row],[Student No.]]</f>
        <v>2118213</v>
      </c>
      <c r="B107" t="str">
        <f>All[[#This Row],[Student Name]]</f>
        <v>Moore, Michael</v>
      </c>
      <c r="C107" t="e">
        <f>All[[#This Row],[Engagement]]</f>
        <v>#REF!</v>
      </c>
      <c r="D107" t="str">
        <f>All[[#This Row],[Test]]</f>
        <v>Cannot find student!</v>
      </c>
      <c r="E107" t="str">
        <f>All[[#This Row],[Project]]</f>
        <v/>
      </c>
      <c r="F107">
        <f>IF(All[[#This Row],[Wrote Exam]],All[[#This Row],[Exam/Def]],"")</f>
        <v>39</v>
      </c>
      <c r="G107" t="str">
        <f>IF(All[[#This Row],[Wrote Def]],All[[#This Row],[Exam/Def]],"")</f>
        <v/>
      </c>
      <c r="H107" t="str">
        <f>All[[#This Row],[Course Mark]]</f>
        <v/>
      </c>
      <c r="I107" t="str">
        <f>All[[#This Row],[Final]]</f>
        <v/>
      </c>
      <c r="J107" t="str">
        <f>IF(All[[#This Row],[Wrote Sup]],All[[#This Row],[Sup]],"")</f>
        <v/>
      </c>
      <c r="K107" t="str">
        <f>All[[#This Row],[My Grade]]</f>
        <v/>
      </c>
    </row>
    <row r="108" spans="1:11">
      <c r="A108" t="str">
        <f>All[[#This Row],[Student No.]]</f>
        <v>1844501</v>
      </c>
      <c r="B108" t="str">
        <f>All[[#This Row],[Student Name]]</f>
        <v>Morukhu, Matome</v>
      </c>
      <c r="C108" t="e">
        <f>All[[#This Row],[Engagement]]</f>
        <v>#REF!</v>
      </c>
      <c r="D108" t="str">
        <f>All[[#This Row],[Test]]</f>
        <v/>
      </c>
      <c r="E108" t="str">
        <f>All[[#This Row],[Project]]</f>
        <v/>
      </c>
      <c r="F108">
        <f>IF(All[[#This Row],[Wrote Exam]],All[[#This Row],[Exam/Def]],"")</f>
        <v>41</v>
      </c>
      <c r="G108" t="str">
        <f>IF(All[[#This Row],[Wrote Def]],All[[#This Row],[Exam/Def]],"")</f>
        <v/>
      </c>
      <c r="H108" t="str">
        <f>All[[#This Row],[Course Mark]]</f>
        <v/>
      </c>
      <c r="I108" t="str">
        <f>All[[#This Row],[Final]]</f>
        <v/>
      </c>
      <c r="J108" t="str">
        <f>IF(All[[#This Row],[Wrote Sup]],All[[#This Row],[Sup]],"")</f>
        <v/>
      </c>
      <c r="K108" t="str">
        <f>All[[#This Row],[My Grade]]</f>
        <v/>
      </c>
    </row>
    <row r="109" spans="1:11">
      <c r="A109" t="str">
        <f>All[[#This Row],[Student No.]]</f>
        <v>2112071</v>
      </c>
      <c r="B109" t="str">
        <f>All[[#This Row],[Student Name]]</f>
        <v>Mosoeu, Mashudu</v>
      </c>
      <c r="C109" t="e">
        <f>All[[#This Row],[Engagement]]</f>
        <v>#REF!</v>
      </c>
      <c r="D109" t="str">
        <f>All[[#This Row],[Test]]</f>
        <v/>
      </c>
      <c r="E109" t="str">
        <f>All[[#This Row],[Project]]</f>
        <v/>
      </c>
      <c r="F109" t="str">
        <f>IF(All[[#This Row],[Wrote Exam]],All[[#This Row],[Exam/Def]],"")</f>
        <v/>
      </c>
      <c r="G109" t="str">
        <f>IF(All[[#This Row],[Wrote Def]],All[[#This Row],[Exam/Def]],"")</f>
        <v/>
      </c>
      <c r="H109" t="str">
        <f>All[[#This Row],[Course Mark]]</f>
        <v/>
      </c>
      <c r="I109" t="str">
        <f>All[[#This Row],[Final]]</f>
        <v/>
      </c>
      <c r="J109" t="str">
        <f>IF(All[[#This Row],[Wrote Sup]],All[[#This Row],[Sup]],"")</f>
        <v/>
      </c>
      <c r="K109" t="str">
        <f>All[[#This Row],[My Grade]]</f>
        <v/>
      </c>
    </row>
    <row r="110" spans="1:11">
      <c r="A110" t="str">
        <f>All[[#This Row],[Student No.]]</f>
        <v>2109796</v>
      </c>
      <c r="B110" t="str">
        <f>All[[#This Row],[Student Name]]</f>
        <v>Moteane, Bonolo</v>
      </c>
      <c r="C110" t="e">
        <f>All[[#This Row],[Engagement]]</f>
        <v>#REF!</v>
      </c>
      <c r="D110" t="str">
        <f>All[[#This Row],[Test]]</f>
        <v/>
      </c>
      <c r="E110" t="str">
        <f>All[[#This Row],[Project]]</f>
        <v/>
      </c>
      <c r="F110">
        <f>IF(All[[#This Row],[Wrote Exam]],All[[#This Row],[Exam/Def]],"")</f>
        <v>22</v>
      </c>
      <c r="G110" t="str">
        <f>IF(All[[#This Row],[Wrote Def]],All[[#This Row],[Exam/Def]],"")</f>
        <v/>
      </c>
      <c r="H110" t="str">
        <f>All[[#This Row],[Course Mark]]</f>
        <v/>
      </c>
      <c r="I110" t="str">
        <f>All[[#This Row],[Final]]</f>
        <v/>
      </c>
      <c r="J110" t="str">
        <f>IF(All[[#This Row],[Wrote Sup]],All[[#This Row],[Sup]],"")</f>
        <v/>
      </c>
      <c r="K110" t="str">
        <f>All[[#This Row],[My Grade]]</f>
        <v/>
      </c>
    </row>
    <row r="111" spans="1:11">
      <c r="A111" t="str">
        <f>All[[#This Row],[Student No.]]</f>
        <v>2088077</v>
      </c>
      <c r="B111" t="str">
        <f>All[[#This Row],[Student Name]]</f>
        <v>Moustafa, Umar</v>
      </c>
      <c r="C111" t="e">
        <f>All[[#This Row],[Engagement]]</f>
        <v>#REF!</v>
      </c>
      <c r="D111" t="str">
        <f>All[[#This Row],[Test]]</f>
        <v/>
      </c>
      <c r="E111" t="str">
        <f>All[[#This Row],[Project]]</f>
        <v/>
      </c>
      <c r="F111">
        <f>IF(All[[#This Row],[Wrote Exam]],All[[#This Row],[Exam/Def]],"")</f>
        <v>31</v>
      </c>
      <c r="G111" t="str">
        <f>IF(All[[#This Row],[Wrote Def]],All[[#This Row],[Exam/Def]],"")</f>
        <v/>
      </c>
      <c r="H111" t="str">
        <f>All[[#This Row],[Course Mark]]</f>
        <v/>
      </c>
      <c r="I111" t="str">
        <f>All[[#This Row],[Final]]</f>
        <v/>
      </c>
      <c r="J111" t="str">
        <f>IF(All[[#This Row],[Wrote Sup]],All[[#This Row],[Sup]],"")</f>
        <v/>
      </c>
      <c r="K111" t="str">
        <f>All[[#This Row],[My Grade]]</f>
        <v/>
      </c>
    </row>
    <row r="112" spans="1:11">
      <c r="A112" t="str">
        <f>All[[#This Row],[Student No.]]</f>
        <v>2320484</v>
      </c>
      <c r="B112" t="str">
        <f>All[[#This Row],[Student Name]]</f>
        <v>Mpano, Iverson</v>
      </c>
      <c r="C112" t="e">
        <f>All[[#This Row],[Engagement]]</f>
        <v>#REF!</v>
      </c>
      <c r="D112" t="str">
        <f>All[[#This Row],[Test]]</f>
        <v>Cannot find student!</v>
      </c>
      <c r="E112" t="str">
        <f>All[[#This Row],[Project]]</f>
        <v/>
      </c>
      <c r="F112">
        <f>IF(All[[#This Row],[Wrote Exam]],All[[#This Row],[Exam/Def]],"")</f>
        <v>64</v>
      </c>
      <c r="G112" t="str">
        <f>IF(All[[#This Row],[Wrote Def]],All[[#This Row],[Exam/Def]],"")</f>
        <v/>
      </c>
      <c r="H112" t="str">
        <f>All[[#This Row],[Course Mark]]</f>
        <v/>
      </c>
      <c r="I112" t="str">
        <f>All[[#This Row],[Final]]</f>
        <v/>
      </c>
      <c r="J112" t="str">
        <f>IF(All[[#This Row],[Wrote Sup]],All[[#This Row],[Sup]],"")</f>
        <v/>
      </c>
      <c r="K112" t="str">
        <f>All[[#This Row],[My Grade]]</f>
        <v/>
      </c>
    </row>
    <row r="113" spans="1:11">
      <c r="A113" t="str">
        <f>All[[#This Row],[Student No.]]</f>
        <v>2347343</v>
      </c>
      <c r="B113" t="str">
        <f>All[[#This Row],[Student Name]]</f>
        <v>Mphahlele, Tokelo</v>
      </c>
      <c r="C113" t="e">
        <f>All[[#This Row],[Engagement]]</f>
        <v>#REF!</v>
      </c>
      <c r="D113" t="str">
        <f>All[[#This Row],[Test]]</f>
        <v>Cannot find student!</v>
      </c>
      <c r="E113" t="str">
        <f>All[[#This Row],[Project]]</f>
        <v/>
      </c>
      <c r="F113">
        <f>IF(All[[#This Row],[Wrote Exam]],All[[#This Row],[Exam/Def]],"")</f>
        <v>17</v>
      </c>
      <c r="G113" t="str">
        <f>IF(All[[#This Row],[Wrote Def]],All[[#This Row],[Exam/Def]],"")</f>
        <v/>
      </c>
      <c r="H113" t="str">
        <f>All[[#This Row],[Course Mark]]</f>
        <v/>
      </c>
      <c r="I113" t="str">
        <f>All[[#This Row],[Final]]</f>
        <v/>
      </c>
      <c r="J113" t="str">
        <f>IF(All[[#This Row],[Wrote Sup]],All[[#This Row],[Sup]],"")</f>
        <v/>
      </c>
      <c r="K113" t="str">
        <f>All[[#This Row],[My Grade]]</f>
        <v/>
      </c>
    </row>
    <row r="114" spans="1:11">
      <c r="A114" t="str">
        <f>All[[#This Row],[Student No.]]</f>
        <v>1455713</v>
      </c>
      <c r="B114" t="str">
        <f>All[[#This Row],[Student Name]]</f>
        <v>Mpinga, Bonginkosi</v>
      </c>
      <c r="C114" t="e">
        <f>All[[#This Row],[Engagement]]</f>
        <v>#REF!</v>
      </c>
      <c r="D114" t="str">
        <f>All[[#This Row],[Test]]</f>
        <v/>
      </c>
      <c r="E114" t="str">
        <f>All[[#This Row],[Project]]</f>
        <v/>
      </c>
      <c r="F114" t="str">
        <f>IF(All[[#This Row],[Wrote Exam]],All[[#This Row],[Exam/Def]],"")</f>
        <v/>
      </c>
      <c r="G114" t="str">
        <f>IF(All[[#This Row],[Wrote Def]],All[[#This Row],[Exam/Def]],"")</f>
        <v/>
      </c>
      <c r="H114" t="str">
        <f>All[[#This Row],[Course Mark]]</f>
        <v/>
      </c>
      <c r="I114" t="str">
        <f>All[[#This Row],[Final]]</f>
        <v/>
      </c>
      <c r="J114" t="str">
        <f>IF(All[[#This Row],[Wrote Sup]],All[[#This Row],[Sup]],"")</f>
        <v/>
      </c>
      <c r="K114" t="str">
        <f>All[[#This Row],[My Grade]]</f>
        <v/>
      </c>
    </row>
    <row r="115" spans="1:11">
      <c r="A115" t="str">
        <f>All[[#This Row],[Student No.]]</f>
        <v>1815772</v>
      </c>
      <c r="B115" t="str">
        <f>All[[#This Row],[Student Name]]</f>
        <v>Msele, Mnelisi</v>
      </c>
      <c r="C115" t="e">
        <f>All[[#This Row],[Engagement]]</f>
        <v>#REF!</v>
      </c>
      <c r="D115" t="str">
        <f>All[[#This Row],[Test]]</f>
        <v>Cannot find student!</v>
      </c>
      <c r="E115" t="str">
        <f>All[[#This Row],[Project]]</f>
        <v/>
      </c>
      <c r="F115" t="str">
        <f>IF(All[[#This Row],[Wrote Exam]],All[[#This Row],[Exam/Def]],"")</f>
        <v/>
      </c>
      <c r="G115" t="str">
        <f>IF(All[[#This Row],[Wrote Def]],All[[#This Row],[Exam/Def]],"")</f>
        <v/>
      </c>
      <c r="H115" t="str">
        <f>All[[#This Row],[Course Mark]]</f>
        <v/>
      </c>
      <c r="I115" t="str">
        <f>All[[#This Row],[Final]]</f>
        <v/>
      </c>
      <c r="J115" t="str">
        <f>IF(All[[#This Row],[Wrote Sup]],All[[#This Row],[Sup]],"")</f>
        <v/>
      </c>
      <c r="K115" t="str">
        <f>All[[#This Row],[My Grade]]</f>
        <v/>
      </c>
    </row>
    <row r="116" spans="1:11">
      <c r="A116" t="str">
        <f>All[[#This Row],[Student No.]]</f>
        <v>2341407</v>
      </c>
      <c r="B116" t="str">
        <f>All[[#This Row],[Student Name]]</f>
        <v>Mthethwa, Dumisani</v>
      </c>
      <c r="C116" t="e">
        <f>All[[#This Row],[Engagement]]</f>
        <v>#REF!</v>
      </c>
      <c r="D116" t="str">
        <f>All[[#This Row],[Test]]</f>
        <v/>
      </c>
      <c r="E116" t="str">
        <f>All[[#This Row],[Project]]</f>
        <v/>
      </c>
      <c r="F116">
        <f>IF(All[[#This Row],[Wrote Exam]],All[[#This Row],[Exam/Def]],"")</f>
        <v>31</v>
      </c>
      <c r="G116" t="str">
        <f>IF(All[[#This Row],[Wrote Def]],All[[#This Row],[Exam/Def]],"")</f>
        <v/>
      </c>
      <c r="H116" t="str">
        <f>All[[#This Row],[Course Mark]]</f>
        <v/>
      </c>
      <c r="I116" t="str">
        <f>All[[#This Row],[Final]]</f>
        <v/>
      </c>
      <c r="J116" t="str">
        <f>IF(All[[#This Row],[Wrote Sup]],All[[#This Row],[Sup]],"")</f>
        <v/>
      </c>
      <c r="K116" t="str">
        <f>All[[#This Row],[My Grade]]</f>
        <v/>
      </c>
    </row>
    <row r="117" spans="1:11">
      <c r="A117" t="str">
        <f>All[[#This Row],[Student No.]]</f>
        <v>1851387</v>
      </c>
      <c r="B117" t="str">
        <f>All[[#This Row],[Student Name]]</f>
        <v>Mugawazi, Taziva</v>
      </c>
      <c r="C117" t="e">
        <f>All[[#This Row],[Engagement]]</f>
        <v>#REF!</v>
      </c>
      <c r="D117" t="str">
        <f>All[[#This Row],[Test]]</f>
        <v>Cannot find student!</v>
      </c>
      <c r="E117" t="str">
        <f>All[[#This Row],[Project]]</f>
        <v/>
      </c>
      <c r="F117" t="str">
        <f>IF(All[[#This Row],[Wrote Exam]],All[[#This Row],[Exam/Def]],"")</f>
        <v/>
      </c>
      <c r="G117" t="str">
        <f>IF(All[[#This Row],[Wrote Def]],All[[#This Row],[Exam/Def]],"")</f>
        <v/>
      </c>
      <c r="H117" t="str">
        <f>All[[#This Row],[Course Mark]]</f>
        <v/>
      </c>
      <c r="I117" t="str">
        <f>All[[#This Row],[Final]]</f>
        <v/>
      </c>
      <c r="J117" t="str">
        <f>IF(All[[#This Row],[Wrote Sup]],All[[#This Row],[Sup]],"")</f>
        <v/>
      </c>
      <c r="K117" t="str">
        <f>All[[#This Row],[My Grade]]</f>
        <v/>
      </c>
    </row>
    <row r="118" spans="1:11">
      <c r="A118" t="str">
        <f>All[[#This Row],[Student No.]]</f>
        <v>957850</v>
      </c>
      <c r="B118" t="str">
        <f>All[[#This Row],[Student Name]]</f>
        <v>Muller, David</v>
      </c>
      <c r="C118" t="e">
        <f>All[[#This Row],[Engagement]]</f>
        <v>#REF!</v>
      </c>
      <c r="D118" t="str">
        <f>All[[#This Row],[Test]]</f>
        <v/>
      </c>
      <c r="E118" t="str">
        <f>All[[#This Row],[Project]]</f>
        <v/>
      </c>
      <c r="F118">
        <f>IF(All[[#This Row],[Wrote Exam]],All[[#This Row],[Exam/Def]],"")</f>
        <v>18</v>
      </c>
      <c r="G118" t="str">
        <f>IF(All[[#This Row],[Wrote Def]],All[[#This Row],[Exam/Def]],"")</f>
        <v/>
      </c>
      <c r="H118" t="str">
        <f>All[[#This Row],[Course Mark]]</f>
        <v/>
      </c>
      <c r="I118" t="str">
        <f>All[[#This Row],[Final]]</f>
        <v/>
      </c>
      <c r="J118" t="str">
        <f>IF(All[[#This Row],[Wrote Sup]],All[[#This Row],[Sup]],"")</f>
        <v/>
      </c>
      <c r="K118" t="str">
        <f>All[[#This Row],[My Grade]]</f>
        <v/>
      </c>
    </row>
    <row r="119" spans="1:11">
      <c r="A119" t="str">
        <f>All[[#This Row],[Student No.]]</f>
        <v>2388404</v>
      </c>
      <c r="B119" t="str">
        <f>All[[#This Row],[Student Name]]</f>
        <v>Muradya, Anotidaishe</v>
      </c>
      <c r="C119" t="e">
        <f>All[[#This Row],[Engagement]]</f>
        <v>#REF!</v>
      </c>
      <c r="D119" t="str">
        <f>All[[#This Row],[Test]]</f>
        <v>Cannot find student!</v>
      </c>
      <c r="E119" t="str">
        <f>All[[#This Row],[Project]]</f>
        <v/>
      </c>
      <c r="F119">
        <f>IF(All[[#This Row],[Wrote Exam]],All[[#This Row],[Exam/Def]],"")</f>
        <v>44</v>
      </c>
      <c r="G119" t="str">
        <f>IF(All[[#This Row],[Wrote Def]],All[[#This Row],[Exam/Def]],"")</f>
        <v/>
      </c>
      <c r="H119" t="str">
        <f>All[[#This Row],[Course Mark]]</f>
        <v/>
      </c>
      <c r="I119" t="str">
        <f>All[[#This Row],[Final]]</f>
        <v/>
      </c>
      <c r="J119" t="str">
        <f>IF(All[[#This Row],[Wrote Sup]],All[[#This Row],[Sup]],"")</f>
        <v/>
      </c>
      <c r="K119" t="str">
        <f>All[[#This Row],[My Grade]]</f>
        <v/>
      </c>
    </row>
    <row r="120" spans="1:11">
      <c r="A120" t="str">
        <f>All[[#This Row],[Student No.]]</f>
        <v>2201238</v>
      </c>
      <c r="B120" t="str">
        <f>All[[#This Row],[Student Name]]</f>
        <v>Muthaphuli, Phathutshedzo</v>
      </c>
      <c r="C120" t="e">
        <f>All[[#This Row],[Engagement]]</f>
        <v>#REF!</v>
      </c>
      <c r="D120" t="str">
        <f>All[[#This Row],[Test]]</f>
        <v/>
      </c>
      <c r="E120" t="str">
        <f>All[[#This Row],[Project]]</f>
        <v/>
      </c>
      <c r="F120">
        <f>IF(All[[#This Row],[Wrote Exam]],All[[#This Row],[Exam/Def]],"")</f>
        <v>26</v>
      </c>
      <c r="G120" t="str">
        <f>IF(All[[#This Row],[Wrote Def]],All[[#This Row],[Exam/Def]],"")</f>
        <v/>
      </c>
      <c r="H120" t="str">
        <f>All[[#This Row],[Course Mark]]</f>
        <v/>
      </c>
      <c r="I120" t="str">
        <f>All[[#This Row],[Final]]</f>
        <v/>
      </c>
      <c r="J120" t="str">
        <f>IF(All[[#This Row],[Wrote Sup]],All[[#This Row],[Sup]],"")</f>
        <v/>
      </c>
      <c r="K120" t="str">
        <f>All[[#This Row],[My Grade]]</f>
        <v/>
      </c>
    </row>
    <row r="121" spans="1:11">
      <c r="A121" t="str">
        <f>All[[#This Row],[Student No.]]</f>
        <v>2305580</v>
      </c>
      <c r="B121" t="str">
        <f>All[[#This Row],[Student Name]]</f>
        <v>Naidoo, Jaryd</v>
      </c>
      <c r="C121" t="e">
        <f>All[[#This Row],[Engagement]]</f>
        <v>#REF!</v>
      </c>
      <c r="D121" t="str">
        <f>All[[#This Row],[Test]]</f>
        <v/>
      </c>
      <c r="E121" t="str">
        <f>All[[#This Row],[Project]]</f>
        <v/>
      </c>
      <c r="F121">
        <f>IF(All[[#This Row],[Wrote Exam]],All[[#This Row],[Exam/Def]],"")</f>
        <v>25</v>
      </c>
      <c r="G121" t="str">
        <f>IF(All[[#This Row],[Wrote Def]],All[[#This Row],[Exam/Def]],"")</f>
        <v/>
      </c>
      <c r="H121" t="str">
        <f>All[[#This Row],[Course Mark]]</f>
        <v/>
      </c>
      <c r="I121" t="str">
        <f>All[[#This Row],[Final]]</f>
        <v/>
      </c>
      <c r="J121" t="str">
        <f>IF(All[[#This Row],[Wrote Sup]],All[[#This Row],[Sup]],"")</f>
        <v/>
      </c>
      <c r="K121" t="str">
        <f>All[[#This Row],[My Grade]]</f>
        <v/>
      </c>
    </row>
    <row r="122" spans="1:11">
      <c r="A122" t="str">
        <f>All[[#This Row],[Student No.]]</f>
        <v>2416886</v>
      </c>
      <c r="B122" t="str">
        <f>All[[#This Row],[Student Name]]</f>
        <v>Ncube, Joseph</v>
      </c>
      <c r="C122" t="e">
        <f>All[[#This Row],[Engagement]]</f>
        <v>#REF!</v>
      </c>
      <c r="D122" t="str">
        <f>All[[#This Row],[Test]]</f>
        <v>Cannot find student!</v>
      </c>
      <c r="E122" t="str">
        <f>All[[#This Row],[Project]]</f>
        <v/>
      </c>
      <c r="F122" t="str">
        <f>IF(All[[#This Row],[Wrote Exam]],All[[#This Row],[Exam/Def]],"")</f>
        <v/>
      </c>
      <c r="G122" t="str">
        <f>IF(All[[#This Row],[Wrote Def]],All[[#This Row],[Exam/Def]],"")</f>
        <v/>
      </c>
      <c r="H122" t="str">
        <f>All[[#This Row],[Course Mark]]</f>
        <v/>
      </c>
      <c r="I122" t="str">
        <f>All[[#This Row],[Final]]</f>
        <v/>
      </c>
      <c r="J122" t="str">
        <f>IF(All[[#This Row],[Wrote Sup]],All[[#This Row],[Sup]],"")</f>
        <v/>
      </c>
      <c r="K122" t="str">
        <f>All[[#This Row],[My Grade]]</f>
        <v/>
      </c>
    </row>
    <row r="123" spans="1:11">
      <c r="A123" t="str">
        <f>All[[#This Row],[Student No.]]</f>
        <v>1767237</v>
      </c>
      <c r="B123" t="str">
        <f>All[[#This Row],[Student Name]]</f>
        <v>Ndaba, Lungelo</v>
      </c>
      <c r="C123" t="e">
        <f>All[[#This Row],[Engagement]]</f>
        <v>#REF!</v>
      </c>
      <c r="D123" t="str">
        <f>All[[#This Row],[Test]]</f>
        <v>Cannot find student!</v>
      </c>
      <c r="E123" t="str">
        <f>All[[#This Row],[Project]]</f>
        <v/>
      </c>
      <c r="F123">
        <f>IF(All[[#This Row],[Wrote Exam]],All[[#This Row],[Exam/Def]],"")</f>
        <v>19</v>
      </c>
      <c r="G123" t="str">
        <f>IF(All[[#This Row],[Wrote Def]],All[[#This Row],[Exam/Def]],"")</f>
        <v/>
      </c>
      <c r="H123" t="str">
        <f>All[[#This Row],[Course Mark]]</f>
        <v/>
      </c>
      <c r="I123" t="str">
        <f>All[[#This Row],[Final]]</f>
        <v/>
      </c>
      <c r="J123" t="str">
        <f>IF(All[[#This Row],[Wrote Sup]],All[[#This Row],[Sup]],"")</f>
        <v/>
      </c>
      <c r="K123" t="str">
        <f>All[[#This Row],[My Grade]]</f>
        <v/>
      </c>
    </row>
    <row r="124" spans="1:11">
      <c r="A124" t="str">
        <f>All[[#This Row],[Student No.]]</f>
        <v>2126340</v>
      </c>
      <c r="B124" t="str">
        <f>All[[#This Row],[Student Name]]</f>
        <v>Ndhlovu, Michael</v>
      </c>
      <c r="C124" t="e">
        <f>All[[#This Row],[Engagement]]</f>
        <v>#REF!</v>
      </c>
      <c r="D124" t="str">
        <f>All[[#This Row],[Test]]</f>
        <v>Cannot find student!</v>
      </c>
      <c r="E124" t="str">
        <f>All[[#This Row],[Project]]</f>
        <v/>
      </c>
      <c r="F124" t="str">
        <f>IF(All[[#This Row],[Wrote Exam]],All[[#This Row],[Exam/Def]],"")</f>
        <v/>
      </c>
      <c r="G124" t="str">
        <f>IF(All[[#This Row],[Wrote Def]],All[[#This Row],[Exam/Def]],"")</f>
        <v/>
      </c>
      <c r="H124" t="str">
        <f>All[[#This Row],[Course Mark]]</f>
        <v/>
      </c>
      <c r="I124" t="str">
        <f>All[[#This Row],[Final]]</f>
        <v/>
      </c>
      <c r="J124" t="str">
        <f>IF(All[[#This Row],[Wrote Sup]],All[[#This Row],[Sup]],"")</f>
        <v/>
      </c>
      <c r="K124" t="str">
        <f>All[[#This Row],[My Grade]]</f>
        <v/>
      </c>
    </row>
    <row r="125" spans="1:11">
      <c r="A125" t="str">
        <f>All[[#This Row],[Student No.]]</f>
        <v>1818219</v>
      </c>
      <c r="B125" t="str">
        <f>All[[#This Row],[Student Name]]</f>
        <v>Ndlambuzi, Mthandeki</v>
      </c>
      <c r="C125" t="e">
        <f>All[[#This Row],[Engagement]]</f>
        <v>#REF!</v>
      </c>
      <c r="D125" t="str">
        <f>All[[#This Row],[Test]]</f>
        <v/>
      </c>
      <c r="E125" t="str">
        <f>All[[#This Row],[Project]]</f>
        <v/>
      </c>
      <c r="F125">
        <f>IF(All[[#This Row],[Wrote Exam]],All[[#This Row],[Exam/Def]],"")</f>
        <v>23</v>
      </c>
      <c r="G125" t="str">
        <f>IF(All[[#This Row],[Wrote Def]],All[[#This Row],[Exam/Def]],"")</f>
        <v/>
      </c>
      <c r="H125" t="str">
        <f>All[[#This Row],[Course Mark]]</f>
        <v/>
      </c>
      <c r="I125" t="str">
        <f>All[[#This Row],[Final]]</f>
        <v/>
      </c>
      <c r="J125" t="str">
        <f>IF(All[[#This Row],[Wrote Sup]],All[[#This Row],[Sup]],"")</f>
        <v/>
      </c>
      <c r="K125" t="str">
        <f>All[[#This Row],[My Grade]]</f>
        <v/>
      </c>
    </row>
    <row r="126" spans="1:11">
      <c r="A126" t="str">
        <f>All[[#This Row],[Student No.]]</f>
        <v>1848116</v>
      </c>
      <c r="B126" t="str">
        <f>All[[#This Row],[Student Name]]</f>
        <v>Ngirazi, Rutendo</v>
      </c>
      <c r="C126" t="e">
        <f>All[[#This Row],[Engagement]]</f>
        <v>#REF!</v>
      </c>
      <c r="D126" t="str">
        <f>All[[#This Row],[Test]]</f>
        <v>Cannot find student!</v>
      </c>
      <c r="E126" t="str">
        <f>All[[#This Row],[Project]]</f>
        <v/>
      </c>
      <c r="F126">
        <f>IF(All[[#This Row],[Wrote Exam]],All[[#This Row],[Exam/Def]],"")</f>
        <v>25</v>
      </c>
      <c r="G126" t="str">
        <f>IF(All[[#This Row],[Wrote Def]],All[[#This Row],[Exam/Def]],"")</f>
        <v/>
      </c>
      <c r="H126" t="str">
        <f>All[[#This Row],[Course Mark]]</f>
        <v/>
      </c>
      <c r="I126" t="str">
        <f>All[[#This Row],[Final]]</f>
        <v/>
      </c>
      <c r="J126" t="str">
        <f>IF(All[[#This Row],[Wrote Sup]],All[[#This Row],[Sup]],"")</f>
        <v/>
      </c>
      <c r="K126" t="str">
        <f>All[[#This Row],[My Grade]]</f>
        <v/>
      </c>
    </row>
    <row r="127" spans="1:11">
      <c r="A127" t="str">
        <f>All[[#This Row],[Student No.]]</f>
        <v>2208622</v>
      </c>
      <c r="B127" t="str">
        <f>All[[#This Row],[Student Name]]</f>
        <v>Ngoepe, Edgar</v>
      </c>
      <c r="C127" t="e">
        <f>All[[#This Row],[Engagement]]</f>
        <v>#REF!</v>
      </c>
      <c r="D127" t="str">
        <f>All[[#This Row],[Test]]</f>
        <v/>
      </c>
      <c r="E127" t="str">
        <f>All[[#This Row],[Project]]</f>
        <v/>
      </c>
      <c r="F127">
        <f>IF(All[[#This Row],[Wrote Exam]],All[[#This Row],[Exam/Def]],"")</f>
        <v>34</v>
      </c>
      <c r="G127" t="str">
        <f>IF(All[[#This Row],[Wrote Def]],All[[#This Row],[Exam/Def]],"")</f>
        <v/>
      </c>
      <c r="H127" t="str">
        <f>All[[#This Row],[Course Mark]]</f>
        <v/>
      </c>
      <c r="I127" t="str">
        <f>All[[#This Row],[Final]]</f>
        <v/>
      </c>
      <c r="J127" t="str">
        <f>IF(All[[#This Row],[Wrote Sup]],All[[#This Row],[Sup]],"")</f>
        <v/>
      </c>
      <c r="K127" t="str">
        <f>All[[#This Row],[My Grade]]</f>
        <v/>
      </c>
    </row>
    <row r="128" spans="1:11">
      <c r="A128" t="str">
        <f>All[[#This Row],[Student No.]]</f>
        <v>1436500</v>
      </c>
      <c r="B128" t="str">
        <f>All[[#This Row],[Student Name]]</f>
        <v>Ngomane, Emarantia</v>
      </c>
      <c r="C128" t="e">
        <f>All[[#This Row],[Engagement]]</f>
        <v>#REF!</v>
      </c>
      <c r="D128" t="str">
        <f>All[[#This Row],[Test]]</f>
        <v/>
      </c>
      <c r="E128" t="str">
        <f>All[[#This Row],[Project]]</f>
        <v/>
      </c>
      <c r="F128">
        <f>IF(All[[#This Row],[Wrote Exam]],All[[#This Row],[Exam/Def]],"")</f>
        <v>33</v>
      </c>
      <c r="G128" t="str">
        <f>IF(All[[#This Row],[Wrote Def]],All[[#This Row],[Exam/Def]],"")</f>
        <v/>
      </c>
      <c r="H128" t="str">
        <f>All[[#This Row],[Course Mark]]</f>
        <v/>
      </c>
      <c r="I128" t="str">
        <f>All[[#This Row],[Final]]</f>
        <v/>
      </c>
      <c r="J128" t="str">
        <f>IF(All[[#This Row],[Wrote Sup]],All[[#This Row],[Sup]],"")</f>
        <v/>
      </c>
      <c r="K128" t="str">
        <f>All[[#This Row],[My Grade]]</f>
        <v/>
      </c>
    </row>
    <row r="129" spans="1:11">
      <c r="A129" t="str">
        <f>All[[#This Row],[Student No.]]</f>
        <v>2144205</v>
      </c>
      <c r="B129" t="str">
        <f>All[[#This Row],[Student Name]]</f>
        <v>Ngutshane, Mandlenkosi</v>
      </c>
      <c r="C129" t="e">
        <f>All[[#This Row],[Engagement]]</f>
        <v>#REF!</v>
      </c>
      <c r="D129" t="str">
        <f>All[[#This Row],[Test]]</f>
        <v/>
      </c>
      <c r="E129" t="str">
        <f>All[[#This Row],[Project]]</f>
        <v/>
      </c>
      <c r="F129">
        <f>IF(All[[#This Row],[Wrote Exam]],All[[#This Row],[Exam/Def]],"")</f>
        <v>22</v>
      </c>
      <c r="G129" t="str">
        <f>IF(All[[#This Row],[Wrote Def]],All[[#This Row],[Exam/Def]],"")</f>
        <v/>
      </c>
      <c r="H129" t="str">
        <f>All[[#This Row],[Course Mark]]</f>
        <v/>
      </c>
      <c r="I129" t="str">
        <f>All[[#This Row],[Final]]</f>
        <v/>
      </c>
      <c r="J129" t="str">
        <f>IF(All[[#This Row],[Wrote Sup]],All[[#This Row],[Sup]],"")</f>
        <v/>
      </c>
      <c r="K129" t="str">
        <f>All[[#This Row],[My Grade]]</f>
        <v/>
      </c>
    </row>
    <row r="130" spans="1:11">
      <c r="A130" t="str">
        <f>All[[#This Row],[Student No.]]</f>
        <v>1448040</v>
      </c>
      <c r="B130" t="str">
        <f>All[[#This Row],[Student Name]]</f>
        <v>Nomvela, Isabella</v>
      </c>
      <c r="C130" t="e">
        <f>All[[#This Row],[Engagement]]</f>
        <v>#REF!</v>
      </c>
      <c r="D130" t="str">
        <f>All[[#This Row],[Test]]</f>
        <v/>
      </c>
      <c r="E130" t="str">
        <f>All[[#This Row],[Project]]</f>
        <v/>
      </c>
      <c r="F130">
        <f>IF(All[[#This Row],[Wrote Exam]],All[[#This Row],[Exam/Def]],"")</f>
        <v>31</v>
      </c>
      <c r="G130" t="str">
        <f>IF(All[[#This Row],[Wrote Def]],All[[#This Row],[Exam/Def]],"")</f>
        <v/>
      </c>
      <c r="H130" t="str">
        <f>All[[#This Row],[Course Mark]]</f>
        <v/>
      </c>
      <c r="I130" t="str">
        <f>All[[#This Row],[Final]]</f>
        <v/>
      </c>
      <c r="J130" t="str">
        <f>IF(All[[#This Row],[Wrote Sup]],All[[#This Row],[Sup]],"")</f>
        <v/>
      </c>
      <c r="K130" t="str">
        <f>All[[#This Row],[My Grade]]</f>
        <v/>
      </c>
    </row>
    <row r="131" spans="1:11">
      <c r="A131" t="str">
        <f>All[[#This Row],[Student No.]]</f>
        <v>1832055</v>
      </c>
      <c r="B131" t="str">
        <f>All[[#This Row],[Student Name]]</f>
        <v>Nthoroane, Samuel</v>
      </c>
      <c r="C131" t="e">
        <f>All[[#This Row],[Engagement]]</f>
        <v>#REF!</v>
      </c>
      <c r="D131" t="str">
        <f>All[[#This Row],[Test]]</f>
        <v/>
      </c>
      <c r="E131" t="str">
        <f>All[[#This Row],[Project]]</f>
        <v/>
      </c>
      <c r="F131">
        <f>IF(All[[#This Row],[Wrote Exam]],All[[#This Row],[Exam/Def]],"")</f>
        <v>29</v>
      </c>
      <c r="G131" t="str">
        <f>IF(All[[#This Row],[Wrote Def]],All[[#This Row],[Exam/Def]],"")</f>
        <v/>
      </c>
      <c r="H131" t="str">
        <f>All[[#This Row],[Course Mark]]</f>
        <v/>
      </c>
      <c r="I131" t="str">
        <f>All[[#This Row],[Final]]</f>
        <v/>
      </c>
      <c r="J131" t="str">
        <f>IF(All[[#This Row],[Wrote Sup]],All[[#This Row],[Sup]],"")</f>
        <v/>
      </c>
      <c r="K131" t="str">
        <f>All[[#This Row],[My Grade]]</f>
        <v/>
      </c>
    </row>
    <row r="132" spans="1:11">
      <c r="A132" t="str">
        <f>All[[#This Row],[Student No.]]</f>
        <v>1287323</v>
      </c>
      <c r="B132" t="str">
        <f>All[[#This Row],[Student Name]]</f>
        <v>Ntshangase, Noluthando</v>
      </c>
      <c r="C132" t="e">
        <f>All[[#This Row],[Engagement]]</f>
        <v>#REF!</v>
      </c>
      <c r="D132" t="str">
        <f>All[[#This Row],[Test]]</f>
        <v>Cannot find student!</v>
      </c>
      <c r="E132" t="str">
        <f>All[[#This Row],[Project]]</f>
        <v/>
      </c>
      <c r="F132" t="str">
        <f>IF(All[[#This Row],[Wrote Exam]],All[[#This Row],[Exam/Def]],"")</f>
        <v/>
      </c>
      <c r="G132" t="str">
        <f>IF(All[[#This Row],[Wrote Def]],All[[#This Row],[Exam/Def]],"")</f>
        <v/>
      </c>
      <c r="H132" t="str">
        <f>All[[#This Row],[Course Mark]]</f>
        <v/>
      </c>
      <c r="I132" t="str">
        <f>All[[#This Row],[Final]]</f>
        <v/>
      </c>
      <c r="J132" t="str">
        <f>IF(All[[#This Row],[Wrote Sup]],All[[#This Row],[Sup]],"")</f>
        <v/>
      </c>
      <c r="K132" t="str">
        <f>All[[#This Row],[My Grade]]</f>
        <v/>
      </c>
    </row>
    <row r="133" spans="1:11">
      <c r="A133" t="str">
        <f>All[[#This Row],[Student No.]]</f>
        <v>1445411</v>
      </c>
      <c r="B133" t="str">
        <f>All[[#This Row],[Student Name]]</f>
        <v>Ntshingila, Lwazi</v>
      </c>
      <c r="C133" t="e">
        <f>All[[#This Row],[Engagement]]</f>
        <v>#REF!</v>
      </c>
      <c r="D133" t="str">
        <f>All[[#This Row],[Test]]</f>
        <v>Cannot find student!</v>
      </c>
      <c r="E133" t="str">
        <f>All[[#This Row],[Project]]</f>
        <v/>
      </c>
      <c r="F133">
        <f>IF(All[[#This Row],[Wrote Exam]],All[[#This Row],[Exam/Def]],"")</f>
        <v>18</v>
      </c>
      <c r="G133" t="str">
        <f>IF(All[[#This Row],[Wrote Def]],All[[#This Row],[Exam/Def]],"")</f>
        <v/>
      </c>
      <c r="H133" t="str">
        <f>All[[#This Row],[Course Mark]]</f>
        <v/>
      </c>
      <c r="I133" t="str">
        <f>All[[#This Row],[Final]]</f>
        <v/>
      </c>
      <c r="J133" t="str">
        <f>IF(All[[#This Row],[Wrote Sup]],All[[#This Row],[Sup]],"")</f>
        <v/>
      </c>
      <c r="K133" t="str">
        <f>All[[#This Row],[My Grade]]</f>
        <v/>
      </c>
    </row>
    <row r="134" spans="1:11">
      <c r="A134" t="str">
        <f>All[[#This Row],[Student No.]]</f>
        <v>2140390</v>
      </c>
      <c r="B134" t="str">
        <f>All[[#This Row],[Student Name]]</f>
        <v>Ntsooa, Refilwe</v>
      </c>
      <c r="C134" t="e">
        <f>All[[#This Row],[Engagement]]</f>
        <v>#REF!</v>
      </c>
      <c r="D134" t="str">
        <f>All[[#This Row],[Test]]</f>
        <v/>
      </c>
      <c r="E134" t="str">
        <f>All[[#This Row],[Project]]</f>
        <v/>
      </c>
      <c r="F134" t="str">
        <f>IF(All[[#This Row],[Wrote Exam]],All[[#This Row],[Exam/Def]],"")</f>
        <v/>
      </c>
      <c r="G134" t="str">
        <f>IF(All[[#This Row],[Wrote Def]],All[[#This Row],[Exam/Def]],"")</f>
        <v/>
      </c>
      <c r="H134" t="str">
        <f>All[[#This Row],[Course Mark]]</f>
        <v/>
      </c>
      <c r="I134" t="str">
        <f>All[[#This Row],[Final]]</f>
        <v/>
      </c>
      <c r="J134" t="str">
        <f>IF(All[[#This Row],[Wrote Sup]],All[[#This Row],[Sup]],"")</f>
        <v/>
      </c>
      <c r="K134" t="str">
        <f>All[[#This Row],[My Grade]]</f>
        <v/>
      </c>
    </row>
    <row r="135" spans="1:11">
      <c r="A135" t="str">
        <f>All[[#This Row],[Student No.]]</f>
        <v>1830373</v>
      </c>
      <c r="B135" t="str">
        <f>All[[#This Row],[Student Name]]</f>
        <v>Nzama, Ziphokazizamagcugcwa</v>
      </c>
      <c r="C135" t="e">
        <f>All[[#This Row],[Engagement]]</f>
        <v>#REF!</v>
      </c>
      <c r="D135" t="str">
        <f>All[[#This Row],[Test]]</f>
        <v/>
      </c>
      <c r="E135" t="str">
        <f>All[[#This Row],[Project]]</f>
        <v/>
      </c>
      <c r="F135">
        <f>IF(All[[#This Row],[Wrote Exam]],All[[#This Row],[Exam/Def]],"")</f>
        <v>6</v>
      </c>
      <c r="G135" t="str">
        <f>IF(All[[#This Row],[Wrote Def]],All[[#This Row],[Exam/Def]],"")</f>
        <v/>
      </c>
      <c r="H135" t="str">
        <f>All[[#This Row],[Course Mark]]</f>
        <v/>
      </c>
      <c r="I135" t="str">
        <f>All[[#This Row],[Final]]</f>
        <v/>
      </c>
      <c r="J135" t="str">
        <f>IF(All[[#This Row],[Wrote Sup]],All[[#This Row],[Sup]],"")</f>
        <v/>
      </c>
      <c r="K135" t="str">
        <f>All[[#This Row],[My Grade]]</f>
        <v/>
      </c>
    </row>
    <row r="136" spans="1:11">
      <c r="A136" t="str">
        <f>All[[#This Row],[Student No.]]</f>
        <v>2347919</v>
      </c>
      <c r="B136" t="str">
        <f>All[[#This Row],[Student Name]]</f>
        <v>Olivier, Liam</v>
      </c>
      <c r="C136" t="e">
        <f>All[[#This Row],[Engagement]]</f>
        <v>#REF!</v>
      </c>
      <c r="D136" t="str">
        <f>All[[#This Row],[Test]]</f>
        <v>Cannot find student!</v>
      </c>
      <c r="E136" t="str">
        <f>All[[#This Row],[Project]]</f>
        <v/>
      </c>
      <c r="F136">
        <f>IF(All[[#This Row],[Wrote Exam]],All[[#This Row],[Exam/Def]],"")</f>
        <v>63</v>
      </c>
      <c r="G136" t="str">
        <f>IF(All[[#This Row],[Wrote Def]],All[[#This Row],[Exam/Def]],"")</f>
        <v/>
      </c>
      <c r="H136" t="str">
        <f>All[[#This Row],[Course Mark]]</f>
        <v/>
      </c>
      <c r="I136" t="str">
        <f>All[[#This Row],[Final]]</f>
        <v/>
      </c>
      <c r="J136" t="str">
        <f>IF(All[[#This Row],[Wrote Sup]],All[[#This Row],[Sup]],"")</f>
        <v/>
      </c>
      <c r="K136" t="str">
        <f>All[[#This Row],[My Grade]]</f>
        <v/>
      </c>
    </row>
    <row r="137" spans="1:11">
      <c r="A137" t="str">
        <f>All[[#This Row],[Student No.]]</f>
        <v>2102640</v>
      </c>
      <c r="B137" t="str">
        <f>All[[#This Row],[Student Name]]</f>
        <v>Omar, Meezaan</v>
      </c>
      <c r="C137" t="e">
        <f>All[[#This Row],[Engagement]]</f>
        <v>#REF!</v>
      </c>
      <c r="D137" t="str">
        <f>All[[#This Row],[Test]]</f>
        <v/>
      </c>
      <c r="E137" t="str">
        <f>All[[#This Row],[Project]]</f>
        <v/>
      </c>
      <c r="F137">
        <f>IF(All[[#This Row],[Wrote Exam]],All[[#This Row],[Exam/Def]],"")</f>
        <v>48</v>
      </c>
      <c r="G137" t="str">
        <f>IF(All[[#This Row],[Wrote Def]],All[[#This Row],[Exam/Def]],"")</f>
        <v/>
      </c>
      <c r="H137" t="str">
        <f>All[[#This Row],[Course Mark]]</f>
        <v/>
      </c>
      <c r="I137" t="str">
        <f>All[[#This Row],[Final]]</f>
        <v/>
      </c>
      <c r="J137" t="str">
        <f>IF(All[[#This Row],[Wrote Sup]],All[[#This Row],[Sup]],"")</f>
        <v/>
      </c>
      <c r="K137" t="str">
        <f>All[[#This Row],[My Grade]]</f>
        <v/>
      </c>
    </row>
    <row r="138" spans="1:11">
      <c r="A138" t="str">
        <f>All[[#This Row],[Student No.]]</f>
        <v>2373287</v>
      </c>
      <c r="B138" t="str">
        <f>All[[#This Row],[Student Name]]</f>
        <v>Peretz, Liad</v>
      </c>
      <c r="C138" t="e">
        <f>All[[#This Row],[Engagement]]</f>
        <v>#REF!</v>
      </c>
      <c r="D138" t="str">
        <f>All[[#This Row],[Test]]</f>
        <v>Cannot find student!</v>
      </c>
      <c r="E138" t="str">
        <f>All[[#This Row],[Project]]</f>
        <v/>
      </c>
      <c r="F138">
        <f>IF(All[[#This Row],[Wrote Exam]],All[[#This Row],[Exam/Def]],"")</f>
        <v>61</v>
      </c>
      <c r="G138" t="str">
        <f>IF(All[[#This Row],[Wrote Def]],All[[#This Row],[Exam/Def]],"")</f>
        <v/>
      </c>
      <c r="H138" t="str">
        <f>All[[#This Row],[Course Mark]]</f>
        <v/>
      </c>
      <c r="I138" t="str">
        <f>All[[#This Row],[Final]]</f>
        <v/>
      </c>
      <c r="J138" t="str">
        <f>IF(All[[#This Row],[Wrote Sup]],All[[#This Row],[Sup]],"")</f>
        <v/>
      </c>
      <c r="K138" t="str">
        <f>All[[#This Row],[My Grade]]</f>
        <v/>
      </c>
    </row>
    <row r="139" spans="1:11">
      <c r="A139" t="str">
        <f>All[[#This Row],[Student No.]]</f>
        <v>2309354</v>
      </c>
      <c r="B139" t="str">
        <f>All[[#This Row],[Student Name]]</f>
        <v>Petersen, Jozeal</v>
      </c>
      <c r="C139" t="e">
        <f>All[[#This Row],[Engagement]]</f>
        <v>#REF!</v>
      </c>
      <c r="D139" t="str">
        <f>All[[#This Row],[Test]]</f>
        <v/>
      </c>
      <c r="E139" t="str">
        <f>All[[#This Row],[Project]]</f>
        <v/>
      </c>
      <c r="F139">
        <f>IF(All[[#This Row],[Wrote Exam]],All[[#This Row],[Exam/Def]],"")</f>
        <v>39</v>
      </c>
      <c r="G139" t="str">
        <f>IF(All[[#This Row],[Wrote Def]],All[[#This Row],[Exam/Def]],"")</f>
        <v/>
      </c>
      <c r="H139" t="str">
        <f>All[[#This Row],[Course Mark]]</f>
        <v/>
      </c>
      <c r="I139" t="str">
        <f>All[[#This Row],[Final]]</f>
        <v/>
      </c>
      <c r="J139" t="str">
        <f>IF(All[[#This Row],[Wrote Sup]],All[[#This Row],[Sup]],"")</f>
        <v/>
      </c>
      <c r="K139" t="str">
        <f>All[[#This Row],[My Grade]]</f>
        <v/>
      </c>
    </row>
    <row r="140" spans="1:11">
      <c r="A140" t="str">
        <f>All[[#This Row],[Student No.]]</f>
        <v>482412</v>
      </c>
      <c r="B140" t="str">
        <f>All[[#This Row],[Student Name]]</f>
        <v>Pule, Mabasata</v>
      </c>
      <c r="C140" t="e">
        <f>All[[#This Row],[Engagement]]</f>
        <v>#REF!</v>
      </c>
      <c r="D140" t="str">
        <f>All[[#This Row],[Test]]</f>
        <v>Cannot find student!</v>
      </c>
      <c r="E140" t="str">
        <f>All[[#This Row],[Project]]</f>
        <v/>
      </c>
      <c r="F140">
        <f>IF(All[[#This Row],[Wrote Exam]],All[[#This Row],[Exam/Def]],"")</f>
        <v>41</v>
      </c>
      <c r="G140" t="str">
        <f>IF(All[[#This Row],[Wrote Def]],All[[#This Row],[Exam/Def]],"")</f>
        <v/>
      </c>
      <c r="H140" t="str">
        <f>All[[#This Row],[Course Mark]]</f>
        <v/>
      </c>
      <c r="I140" t="str">
        <f>All[[#This Row],[Final]]</f>
        <v/>
      </c>
      <c r="J140" t="str">
        <f>IF(All[[#This Row],[Wrote Sup]],All[[#This Row],[Sup]],"")</f>
        <v/>
      </c>
      <c r="K140" t="str">
        <f>All[[#This Row],[My Grade]]</f>
        <v/>
      </c>
    </row>
    <row r="141" spans="1:11">
      <c r="A141" t="str">
        <f>All[[#This Row],[Student No.]]</f>
        <v>1608406</v>
      </c>
      <c r="B141" t="str">
        <f>All[[#This Row],[Student Name]]</f>
        <v>Radebe, Nonofo</v>
      </c>
      <c r="C141" t="e">
        <f>All[[#This Row],[Engagement]]</f>
        <v>#REF!</v>
      </c>
      <c r="D141" t="str">
        <f>All[[#This Row],[Test]]</f>
        <v/>
      </c>
      <c r="E141" t="str">
        <f>All[[#This Row],[Project]]</f>
        <v/>
      </c>
      <c r="F141">
        <f>IF(All[[#This Row],[Wrote Exam]],All[[#This Row],[Exam/Def]],"")</f>
        <v>19</v>
      </c>
      <c r="G141" t="str">
        <f>IF(All[[#This Row],[Wrote Def]],All[[#This Row],[Exam/Def]],"")</f>
        <v/>
      </c>
      <c r="H141" t="str">
        <f>All[[#This Row],[Course Mark]]</f>
        <v/>
      </c>
      <c r="I141" t="str">
        <f>All[[#This Row],[Final]]</f>
        <v/>
      </c>
      <c r="J141" t="str">
        <f>IF(All[[#This Row],[Wrote Sup]],All[[#This Row],[Sup]],"")</f>
        <v/>
      </c>
      <c r="K141" t="str">
        <f>All[[#This Row],[My Grade]]</f>
        <v/>
      </c>
    </row>
    <row r="142" spans="1:11">
      <c r="A142" t="str">
        <f>All[[#This Row],[Student No.]]</f>
        <v>2366643</v>
      </c>
      <c r="B142" t="str">
        <f>All[[#This Row],[Student Name]]</f>
        <v>Radowsky, Asher</v>
      </c>
      <c r="C142" t="e">
        <f>All[[#This Row],[Engagement]]</f>
        <v>#REF!</v>
      </c>
      <c r="D142" t="str">
        <f>All[[#This Row],[Test]]</f>
        <v>Cannot find student!</v>
      </c>
      <c r="E142" t="str">
        <f>All[[#This Row],[Project]]</f>
        <v/>
      </c>
      <c r="F142">
        <f>IF(All[[#This Row],[Wrote Exam]],All[[#This Row],[Exam/Def]],"")</f>
        <v>58</v>
      </c>
      <c r="G142" t="str">
        <f>IF(All[[#This Row],[Wrote Def]],All[[#This Row],[Exam/Def]],"")</f>
        <v/>
      </c>
      <c r="H142" t="str">
        <f>All[[#This Row],[Course Mark]]</f>
        <v/>
      </c>
      <c r="I142" t="str">
        <f>All[[#This Row],[Final]]</f>
        <v/>
      </c>
      <c r="J142" t="str">
        <f>IF(All[[#This Row],[Wrote Sup]],All[[#This Row],[Sup]],"")</f>
        <v/>
      </c>
      <c r="K142" t="str">
        <f>All[[#This Row],[My Grade]]</f>
        <v/>
      </c>
    </row>
    <row r="143" spans="1:11">
      <c r="A143" t="str">
        <f>All[[#This Row],[Student No.]]</f>
        <v>2152679</v>
      </c>
      <c r="B143" t="str">
        <f>All[[#This Row],[Student Name]]</f>
        <v>Ralph, Matthew</v>
      </c>
      <c r="C143" t="e">
        <f>All[[#This Row],[Engagement]]</f>
        <v>#REF!</v>
      </c>
      <c r="D143" t="str">
        <f>All[[#This Row],[Test]]</f>
        <v/>
      </c>
      <c r="E143" t="str">
        <f>All[[#This Row],[Project]]</f>
        <v/>
      </c>
      <c r="F143">
        <f>IF(All[[#This Row],[Wrote Exam]],All[[#This Row],[Exam/Def]],"")</f>
        <v>33</v>
      </c>
      <c r="G143" t="str">
        <f>IF(All[[#This Row],[Wrote Def]],All[[#This Row],[Exam/Def]],"")</f>
        <v/>
      </c>
      <c r="H143" t="str">
        <f>All[[#This Row],[Course Mark]]</f>
        <v/>
      </c>
      <c r="I143" t="str">
        <f>All[[#This Row],[Final]]</f>
        <v/>
      </c>
      <c r="J143" t="str">
        <f>IF(All[[#This Row],[Wrote Sup]],All[[#This Row],[Sup]],"")</f>
        <v/>
      </c>
      <c r="K143" t="str">
        <f>All[[#This Row],[My Grade]]</f>
        <v/>
      </c>
    </row>
    <row r="144" spans="1:11">
      <c r="A144" t="str">
        <f>All[[#This Row],[Student No.]]</f>
        <v>2327104</v>
      </c>
      <c r="B144" t="str">
        <f>All[[#This Row],[Student Name]]</f>
        <v>Rasesepa, Takalani</v>
      </c>
      <c r="C144" t="e">
        <f>All[[#This Row],[Engagement]]</f>
        <v>#REF!</v>
      </c>
      <c r="D144" t="str">
        <f>All[[#This Row],[Test]]</f>
        <v>Cannot find student!</v>
      </c>
      <c r="E144" t="str">
        <f>All[[#This Row],[Project]]</f>
        <v/>
      </c>
      <c r="F144">
        <f>IF(All[[#This Row],[Wrote Exam]],All[[#This Row],[Exam/Def]],"")</f>
        <v>51</v>
      </c>
      <c r="G144" t="str">
        <f>IF(All[[#This Row],[Wrote Def]],All[[#This Row],[Exam/Def]],"")</f>
        <v/>
      </c>
      <c r="H144" t="str">
        <f>All[[#This Row],[Course Mark]]</f>
        <v/>
      </c>
      <c r="I144" t="str">
        <f>All[[#This Row],[Final]]</f>
        <v/>
      </c>
      <c r="J144" t="str">
        <f>IF(All[[#This Row],[Wrote Sup]],All[[#This Row],[Sup]],"")</f>
        <v/>
      </c>
      <c r="K144" t="str">
        <f>All[[#This Row],[My Grade]]</f>
        <v/>
      </c>
    </row>
    <row r="145" spans="1:11">
      <c r="A145" t="str">
        <f>All[[#This Row],[Student No.]]</f>
        <v>2179595</v>
      </c>
      <c r="B145" t="str">
        <f>All[[#This Row],[Student Name]]</f>
        <v>Rawlings, Christopher</v>
      </c>
      <c r="C145" t="e">
        <f>All[[#This Row],[Engagement]]</f>
        <v>#REF!</v>
      </c>
      <c r="D145" t="str">
        <f>All[[#This Row],[Test]]</f>
        <v>Cannot find student!</v>
      </c>
      <c r="E145" t="str">
        <f>All[[#This Row],[Project]]</f>
        <v/>
      </c>
      <c r="F145">
        <f>IF(All[[#This Row],[Wrote Exam]],All[[#This Row],[Exam/Def]],"")</f>
        <v>57</v>
      </c>
      <c r="G145" t="str">
        <f>IF(All[[#This Row],[Wrote Def]],All[[#This Row],[Exam/Def]],"")</f>
        <v/>
      </c>
      <c r="H145" t="str">
        <f>All[[#This Row],[Course Mark]]</f>
        <v/>
      </c>
      <c r="I145" t="str">
        <f>All[[#This Row],[Final]]</f>
        <v/>
      </c>
      <c r="J145" t="str">
        <f>IF(All[[#This Row],[Wrote Sup]],All[[#This Row],[Sup]],"")</f>
        <v/>
      </c>
      <c r="K145" t="str">
        <f>All[[#This Row],[My Grade]]</f>
        <v/>
      </c>
    </row>
    <row r="146" spans="1:11">
      <c r="A146" t="str">
        <f>All[[#This Row],[Student No.]]</f>
        <v>1730123</v>
      </c>
      <c r="B146" t="str">
        <f>All[[#This Row],[Student Name]]</f>
        <v>Rawuka, Alungile</v>
      </c>
      <c r="C146" t="e">
        <f>All[[#This Row],[Engagement]]</f>
        <v>#REF!</v>
      </c>
      <c r="D146" t="str">
        <f>All[[#This Row],[Test]]</f>
        <v>Cannot find student!</v>
      </c>
      <c r="E146" t="str">
        <f>All[[#This Row],[Project]]</f>
        <v/>
      </c>
      <c r="F146" t="str">
        <f>IF(All[[#This Row],[Wrote Exam]],All[[#This Row],[Exam/Def]],"")</f>
        <v/>
      </c>
      <c r="G146" t="str">
        <f>IF(All[[#This Row],[Wrote Def]],All[[#This Row],[Exam/Def]],"")</f>
        <v/>
      </c>
      <c r="H146" t="str">
        <f>All[[#This Row],[Course Mark]]</f>
        <v/>
      </c>
      <c r="I146" t="str">
        <f>All[[#This Row],[Final]]</f>
        <v/>
      </c>
      <c r="J146" t="str">
        <f>IF(All[[#This Row],[Wrote Sup]],All[[#This Row],[Sup]],"")</f>
        <v/>
      </c>
      <c r="K146" t="str">
        <f>All[[#This Row],[My Grade]]</f>
        <v/>
      </c>
    </row>
    <row r="147" spans="1:11">
      <c r="A147" t="str">
        <f>All[[#This Row],[Student No.]]</f>
        <v>2304928</v>
      </c>
      <c r="B147" t="str">
        <f>All[[#This Row],[Student Name]]</f>
        <v>Rolle, Michael</v>
      </c>
      <c r="C147" t="e">
        <f>All[[#This Row],[Engagement]]</f>
        <v>#REF!</v>
      </c>
      <c r="D147" t="str">
        <f>All[[#This Row],[Test]]</f>
        <v>Cannot find student!</v>
      </c>
      <c r="E147" t="str">
        <f>All[[#This Row],[Project]]</f>
        <v/>
      </c>
      <c r="F147">
        <f>IF(All[[#This Row],[Wrote Exam]],All[[#This Row],[Exam/Def]],"")</f>
        <v>72</v>
      </c>
      <c r="G147" t="str">
        <f>IF(All[[#This Row],[Wrote Def]],All[[#This Row],[Exam/Def]],"")</f>
        <v/>
      </c>
      <c r="H147" t="str">
        <f>All[[#This Row],[Course Mark]]</f>
        <v/>
      </c>
      <c r="I147" t="str">
        <f>All[[#This Row],[Final]]</f>
        <v/>
      </c>
      <c r="J147" t="str">
        <f>IF(All[[#This Row],[Wrote Sup]],All[[#This Row],[Sup]],"")</f>
        <v/>
      </c>
      <c r="K147" t="str">
        <f>All[[#This Row],[My Grade]]</f>
        <v/>
      </c>
    </row>
    <row r="148" spans="1:11">
      <c r="A148" t="str">
        <f>All[[#This Row],[Student No.]]</f>
        <v>2366020</v>
      </c>
      <c r="B148" t="str">
        <f>All[[#This Row],[Student Name]]</f>
        <v>Ruthel, Joshua-Daniel</v>
      </c>
      <c r="C148" t="e">
        <f>All[[#This Row],[Engagement]]</f>
        <v>#REF!</v>
      </c>
      <c r="D148" t="str">
        <f>All[[#This Row],[Test]]</f>
        <v>Cannot find student!</v>
      </c>
      <c r="E148" t="str">
        <f>All[[#This Row],[Project]]</f>
        <v/>
      </c>
      <c r="F148">
        <f>IF(All[[#This Row],[Wrote Exam]],All[[#This Row],[Exam/Def]],"")</f>
        <v>65</v>
      </c>
      <c r="G148" t="str">
        <f>IF(All[[#This Row],[Wrote Def]],All[[#This Row],[Exam/Def]],"")</f>
        <v/>
      </c>
      <c r="H148" t="str">
        <f>All[[#This Row],[Course Mark]]</f>
        <v/>
      </c>
      <c r="I148" t="str">
        <f>All[[#This Row],[Final]]</f>
        <v/>
      </c>
      <c r="J148" t="str">
        <f>IF(All[[#This Row],[Wrote Sup]],All[[#This Row],[Sup]],"")</f>
        <v/>
      </c>
      <c r="K148" t="str">
        <f>All[[#This Row],[My Grade]]</f>
        <v/>
      </c>
    </row>
    <row r="149" spans="1:11">
      <c r="A149" t="str">
        <f>All[[#This Row],[Student No.]]</f>
        <v>2156293</v>
      </c>
      <c r="B149" t="str">
        <f>All[[#This Row],[Student Name]]</f>
        <v>Seedat, Ismail</v>
      </c>
      <c r="C149" t="e">
        <f>All[[#This Row],[Engagement]]</f>
        <v>#REF!</v>
      </c>
      <c r="D149" t="str">
        <f>All[[#This Row],[Test]]</f>
        <v/>
      </c>
      <c r="E149" t="str">
        <f>All[[#This Row],[Project]]</f>
        <v/>
      </c>
      <c r="F149" t="str">
        <f>IF(All[[#This Row],[Wrote Exam]],All[[#This Row],[Exam/Def]],"")</f>
        <v/>
      </c>
      <c r="G149" t="str">
        <f>IF(All[[#This Row],[Wrote Def]],All[[#This Row],[Exam/Def]],"")</f>
        <v/>
      </c>
      <c r="H149" t="str">
        <f>All[[#This Row],[Course Mark]]</f>
        <v/>
      </c>
      <c r="I149" t="str">
        <f>All[[#This Row],[Final]]</f>
        <v/>
      </c>
      <c r="J149" t="str">
        <f>IF(All[[#This Row],[Wrote Sup]],All[[#This Row],[Sup]],"")</f>
        <v/>
      </c>
      <c r="K149" t="str">
        <f>All[[#This Row],[My Grade]]</f>
        <v/>
      </c>
    </row>
    <row r="150" spans="1:11">
      <c r="A150" t="str">
        <f>All[[#This Row],[Student No.]]</f>
        <v>0200223N</v>
      </c>
      <c r="B150" t="str">
        <f>All[[#This Row],[Student Name]]</f>
        <v>Sekamogeng, Letlhogonolo</v>
      </c>
      <c r="C150" t="e">
        <f>All[[#This Row],[Engagement]]</f>
        <v>#REF!</v>
      </c>
      <c r="D150" t="str">
        <f>All[[#This Row],[Test]]</f>
        <v>Cannot find student!</v>
      </c>
      <c r="E150" t="str">
        <f>All[[#This Row],[Project]]</f>
        <v/>
      </c>
      <c r="F150" t="str">
        <f>IF(All[[#This Row],[Wrote Exam]],All[[#This Row],[Exam/Def]],"")</f>
        <v/>
      </c>
      <c r="G150" t="str">
        <f>IF(All[[#This Row],[Wrote Def]],All[[#This Row],[Exam/Def]],"")</f>
        <v/>
      </c>
      <c r="H150" t="str">
        <f>All[[#This Row],[Course Mark]]</f>
        <v/>
      </c>
      <c r="I150" t="str">
        <f>All[[#This Row],[Final]]</f>
        <v/>
      </c>
      <c r="J150" t="str">
        <f>IF(All[[#This Row],[Wrote Sup]],All[[#This Row],[Sup]],"")</f>
        <v/>
      </c>
      <c r="K150" t="str">
        <f>All[[#This Row],[My Grade]]</f>
        <v/>
      </c>
    </row>
    <row r="151" spans="1:11">
      <c r="A151" t="str">
        <f>All[[#This Row],[Student No.]]</f>
        <v>1715463</v>
      </c>
      <c r="B151" t="str">
        <f>All[[#This Row],[Student Name]]</f>
        <v>Sekhwama, Motchinya</v>
      </c>
      <c r="C151" t="e">
        <f>All[[#This Row],[Engagement]]</f>
        <v>#REF!</v>
      </c>
      <c r="D151" t="str">
        <f>All[[#This Row],[Test]]</f>
        <v/>
      </c>
      <c r="E151" t="str">
        <f>All[[#This Row],[Project]]</f>
        <v/>
      </c>
      <c r="F151">
        <f>IF(All[[#This Row],[Wrote Exam]],All[[#This Row],[Exam/Def]],"")</f>
        <v>21</v>
      </c>
      <c r="G151" t="str">
        <f>IF(All[[#This Row],[Wrote Def]],All[[#This Row],[Exam/Def]],"")</f>
        <v/>
      </c>
      <c r="H151" t="str">
        <f>All[[#This Row],[Course Mark]]</f>
        <v/>
      </c>
      <c r="I151" t="str">
        <f>All[[#This Row],[Final]]</f>
        <v/>
      </c>
      <c r="J151" t="str">
        <f>IF(All[[#This Row],[Wrote Sup]],All[[#This Row],[Sup]],"")</f>
        <v/>
      </c>
      <c r="K151" t="str">
        <f>All[[#This Row],[My Grade]]</f>
        <v/>
      </c>
    </row>
    <row r="152" spans="1:11">
      <c r="A152" t="str">
        <f>All[[#This Row],[Student No.]]</f>
        <v>2332451</v>
      </c>
      <c r="B152" t="str">
        <f>All[[#This Row],[Student Name]]</f>
        <v>Sender, Daron</v>
      </c>
      <c r="C152" t="e">
        <f>All[[#This Row],[Engagement]]</f>
        <v>#REF!</v>
      </c>
      <c r="D152" t="str">
        <f>All[[#This Row],[Test]]</f>
        <v>Cannot find student!</v>
      </c>
      <c r="E152" t="str">
        <f>All[[#This Row],[Project]]</f>
        <v/>
      </c>
      <c r="F152">
        <f>IF(All[[#This Row],[Wrote Exam]],All[[#This Row],[Exam/Def]],"")</f>
        <v>56</v>
      </c>
      <c r="G152" t="str">
        <f>IF(All[[#This Row],[Wrote Def]],All[[#This Row],[Exam/Def]],"")</f>
        <v/>
      </c>
      <c r="H152" t="str">
        <f>All[[#This Row],[Course Mark]]</f>
        <v/>
      </c>
      <c r="I152" t="str">
        <f>All[[#This Row],[Final]]</f>
        <v/>
      </c>
      <c r="J152" t="str">
        <f>IF(All[[#This Row],[Wrote Sup]],All[[#This Row],[Sup]],"")</f>
        <v/>
      </c>
      <c r="K152" t="str">
        <f>All[[#This Row],[My Grade]]</f>
        <v/>
      </c>
    </row>
    <row r="153" spans="1:11">
      <c r="A153" t="str">
        <f>All[[#This Row],[Student No.]]</f>
        <v>2096785</v>
      </c>
      <c r="B153" t="str">
        <f>All[[#This Row],[Student Name]]</f>
        <v>Sengoane, Koketso</v>
      </c>
      <c r="C153" t="e">
        <f>All[[#This Row],[Engagement]]</f>
        <v>#REF!</v>
      </c>
      <c r="D153" t="str">
        <f>All[[#This Row],[Test]]</f>
        <v/>
      </c>
      <c r="E153" t="str">
        <f>All[[#This Row],[Project]]</f>
        <v/>
      </c>
      <c r="F153">
        <f>IF(All[[#This Row],[Wrote Exam]],All[[#This Row],[Exam/Def]],"")</f>
        <v>26</v>
      </c>
      <c r="G153" t="str">
        <f>IF(All[[#This Row],[Wrote Def]],All[[#This Row],[Exam/Def]],"")</f>
        <v/>
      </c>
      <c r="H153" t="str">
        <f>All[[#This Row],[Course Mark]]</f>
        <v/>
      </c>
      <c r="I153" t="str">
        <f>All[[#This Row],[Final]]</f>
        <v/>
      </c>
      <c r="J153" t="str">
        <f>IF(All[[#This Row],[Wrote Sup]],All[[#This Row],[Sup]],"")</f>
        <v/>
      </c>
      <c r="K153" t="str">
        <f>All[[#This Row],[My Grade]]</f>
        <v/>
      </c>
    </row>
    <row r="154" spans="1:11">
      <c r="A154" t="str">
        <f>All[[#This Row],[Student No.]]</f>
        <v>2010805</v>
      </c>
      <c r="B154" t="str">
        <f>All[[#This Row],[Student Name]]</f>
        <v>Shakir, Muhammad</v>
      </c>
      <c r="C154" t="e">
        <f>All[[#This Row],[Engagement]]</f>
        <v>#REF!</v>
      </c>
      <c r="D154" t="str">
        <f>All[[#This Row],[Test]]</f>
        <v>Cannot find student!</v>
      </c>
      <c r="E154" t="str">
        <f>All[[#This Row],[Project]]</f>
        <v/>
      </c>
      <c r="F154">
        <f>IF(All[[#This Row],[Wrote Exam]],All[[#This Row],[Exam/Def]],"")</f>
        <v>34</v>
      </c>
      <c r="G154" t="str">
        <f>IF(All[[#This Row],[Wrote Def]],All[[#This Row],[Exam/Def]],"")</f>
        <v/>
      </c>
      <c r="H154" t="str">
        <f>All[[#This Row],[Course Mark]]</f>
        <v/>
      </c>
      <c r="I154" t="str">
        <f>All[[#This Row],[Final]]</f>
        <v/>
      </c>
      <c r="J154" t="str">
        <f>IF(All[[#This Row],[Wrote Sup]],All[[#This Row],[Sup]],"")</f>
        <v/>
      </c>
      <c r="K154" t="str">
        <f>All[[#This Row],[My Grade]]</f>
        <v/>
      </c>
    </row>
    <row r="155" spans="1:11">
      <c r="A155" t="str">
        <f>All[[#This Row],[Student No.]]</f>
        <v>1860900</v>
      </c>
      <c r="B155" t="str">
        <f>All[[#This Row],[Student Name]]</f>
        <v>Shapiro, Joshua</v>
      </c>
      <c r="C155" t="e">
        <f>All[[#This Row],[Engagement]]</f>
        <v>#REF!</v>
      </c>
      <c r="D155" t="str">
        <f>All[[#This Row],[Test]]</f>
        <v>Cannot find student!</v>
      </c>
      <c r="E155" t="str">
        <f>All[[#This Row],[Project]]</f>
        <v/>
      </c>
      <c r="F155">
        <f>IF(All[[#This Row],[Wrote Exam]],All[[#This Row],[Exam/Def]],"")</f>
        <v>62</v>
      </c>
      <c r="G155" t="str">
        <f>IF(All[[#This Row],[Wrote Def]],All[[#This Row],[Exam/Def]],"")</f>
        <v/>
      </c>
      <c r="H155" t="str">
        <f>All[[#This Row],[Course Mark]]</f>
        <v/>
      </c>
      <c r="I155" t="str">
        <f>All[[#This Row],[Final]]</f>
        <v/>
      </c>
      <c r="J155" t="str">
        <f>IF(All[[#This Row],[Wrote Sup]],All[[#This Row],[Sup]],"")</f>
        <v/>
      </c>
      <c r="K155" t="str">
        <f>All[[#This Row],[My Grade]]</f>
        <v/>
      </c>
    </row>
    <row r="156" spans="1:11">
      <c r="A156" t="str">
        <f>All[[#This Row],[Student No.]]</f>
        <v>2308227</v>
      </c>
      <c r="B156" t="str">
        <f>All[[#This Row],[Student Name]]</f>
        <v>Singh, Chad</v>
      </c>
      <c r="C156" t="e">
        <f>All[[#This Row],[Engagement]]</f>
        <v>#REF!</v>
      </c>
      <c r="D156" t="str">
        <f>All[[#This Row],[Test]]</f>
        <v>Cannot find student!</v>
      </c>
      <c r="E156" t="str">
        <f>All[[#This Row],[Project]]</f>
        <v/>
      </c>
      <c r="F156">
        <f>IF(All[[#This Row],[Wrote Exam]],All[[#This Row],[Exam/Def]],"")</f>
        <v>26</v>
      </c>
      <c r="G156" t="str">
        <f>IF(All[[#This Row],[Wrote Def]],All[[#This Row],[Exam/Def]],"")</f>
        <v/>
      </c>
      <c r="H156" t="str">
        <f>All[[#This Row],[Course Mark]]</f>
        <v/>
      </c>
      <c r="I156" t="str">
        <f>All[[#This Row],[Final]]</f>
        <v/>
      </c>
      <c r="J156" t="str">
        <f>IF(All[[#This Row],[Wrote Sup]],All[[#This Row],[Sup]],"")</f>
        <v/>
      </c>
      <c r="K156" t="str">
        <f>All[[#This Row],[My Grade]]</f>
        <v/>
      </c>
    </row>
    <row r="157" spans="1:11">
      <c r="A157" t="str">
        <f>All[[#This Row],[Student No.]]</f>
        <v>1823178</v>
      </c>
      <c r="B157" t="str">
        <f>All[[#This Row],[Student Name]]</f>
        <v>Sithole, Bongane</v>
      </c>
      <c r="C157" t="e">
        <f>All[[#This Row],[Engagement]]</f>
        <v>#REF!</v>
      </c>
      <c r="D157" t="str">
        <f>All[[#This Row],[Test]]</f>
        <v/>
      </c>
      <c r="E157" t="str">
        <f>All[[#This Row],[Project]]</f>
        <v/>
      </c>
      <c r="F157">
        <f>IF(All[[#This Row],[Wrote Exam]],All[[#This Row],[Exam/Def]],"")</f>
        <v>27</v>
      </c>
      <c r="G157" t="str">
        <f>IF(All[[#This Row],[Wrote Def]],All[[#This Row],[Exam/Def]],"")</f>
        <v/>
      </c>
      <c r="H157" t="str">
        <f>All[[#This Row],[Course Mark]]</f>
        <v/>
      </c>
      <c r="I157" t="str">
        <f>All[[#This Row],[Final]]</f>
        <v/>
      </c>
      <c r="J157" t="str">
        <f>IF(All[[#This Row],[Wrote Sup]],All[[#This Row],[Sup]],"")</f>
        <v/>
      </c>
      <c r="K157" t="str">
        <f>All[[#This Row],[My Grade]]</f>
        <v/>
      </c>
    </row>
    <row r="158" spans="1:11">
      <c r="A158" t="str">
        <f>All[[#This Row],[Student No.]]</f>
        <v>2155841</v>
      </c>
      <c r="B158" t="str">
        <f>All[[#This Row],[Student Name]]</f>
        <v>Sithole, Morihle</v>
      </c>
      <c r="C158" t="e">
        <f>All[[#This Row],[Engagement]]</f>
        <v>#REF!</v>
      </c>
      <c r="D158" t="str">
        <f>All[[#This Row],[Test]]</f>
        <v>Cannot find student!</v>
      </c>
      <c r="E158" t="str">
        <f>All[[#This Row],[Project]]</f>
        <v/>
      </c>
      <c r="F158" t="str">
        <f>IF(All[[#This Row],[Wrote Exam]],All[[#This Row],[Exam/Def]],"")</f>
        <v/>
      </c>
      <c r="G158" t="str">
        <f>IF(All[[#This Row],[Wrote Def]],All[[#This Row],[Exam/Def]],"")</f>
        <v/>
      </c>
      <c r="H158" t="str">
        <f>All[[#This Row],[Course Mark]]</f>
        <v/>
      </c>
      <c r="I158" t="str">
        <f>All[[#This Row],[Final]]</f>
        <v/>
      </c>
      <c r="J158" t="str">
        <f>IF(All[[#This Row],[Wrote Sup]],All[[#This Row],[Sup]],"")</f>
        <v/>
      </c>
      <c r="K158" t="str">
        <f>All[[#This Row],[My Grade]]</f>
        <v/>
      </c>
    </row>
    <row r="159" spans="1:11">
      <c r="A159" t="str">
        <f>All[[#This Row],[Student No.]]</f>
        <v>1722529</v>
      </c>
      <c r="B159" t="str">
        <f>All[[#This Row],[Student Name]]</f>
        <v>Solomao, Amelia</v>
      </c>
      <c r="C159" t="e">
        <f>All[[#This Row],[Engagement]]</f>
        <v>#REF!</v>
      </c>
      <c r="D159" t="str">
        <f>All[[#This Row],[Test]]</f>
        <v/>
      </c>
      <c r="E159" t="str">
        <f>All[[#This Row],[Project]]</f>
        <v/>
      </c>
      <c r="F159">
        <f>IF(All[[#This Row],[Wrote Exam]],All[[#This Row],[Exam/Def]],"")</f>
        <v>31</v>
      </c>
      <c r="G159" t="str">
        <f>IF(All[[#This Row],[Wrote Def]],All[[#This Row],[Exam/Def]],"")</f>
        <v/>
      </c>
      <c r="H159" t="str">
        <f>All[[#This Row],[Course Mark]]</f>
        <v/>
      </c>
      <c r="I159" t="str">
        <f>All[[#This Row],[Final]]</f>
        <v/>
      </c>
      <c r="J159" t="str">
        <f>IF(All[[#This Row],[Wrote Sup]],All[[#This Row],[Sup]],"")</f>
        <v/>
      </c>
      <c r="K159" t="str">
        <f>All[[#This Row],[My Grade]]</f>
        <v/>
      </c>
    </row>
    <row r="160" spans="1:11">
      <c r="A160" t="str">
        <f>All[[#This Row],[Student No.]]</f>
        <v>2305656</v>
      </c>
      <c r="B160" t="str">
        <f>All[[#This Row],[Student Name]]</f>
        <v>Taim, Daniel</v>
      </c>
      <c r="C160" t="e">
        <f>All[[#This Row],[Engagement]]</f>
        <v>#REF!</v>
      </c>
      <c r="D160" t="str">
        <f>All[[#This Row],[Test]]</f>
        <v>Cannot find student!</v>
      </c>
      <c r="E160" t="str">
        <f>All[[#This Row],[Project]]</f>
        <v/>
      </c>
      <c r="F160">
        <f>IF(All[[#This Row],[Wrote Exam]],All[[#This Row],[Exam/Def]],"")</f>
        <v>58</v>
      </c>
      <c r="G160" t="str">
        <f>IF(All[[#This Row],[Wrote Def]],All[[#This Row],[Exam/Def]],"")</f>
        <v/>
      </c>
      <c r="H160" t="str">
        <f>All[[#This Row],[Course Mark]]</f>
        <v/>
      </c>
      <c r="I160" t="str">
        <f>All[[#This Row],[Final]]</f>
        <v/>
      </c>
      <c r="J160" t="str">
        <f>IF(All[[#This Row],[Wrote Sup]],All[[#This Row],[Sup]],"")</f>
        <v/>
      </c>
      <c r="K160" t="str">
        <f>All[[#This Row],[My Grade]]</f>
        <v/>
      </c>
    </row>
    <row r="161" spans="1:11">
      <c r="A161" t="str">
        <f>All[[#This Row],[Student No.]]</f>
        <v>2328822</v>
      </c>
      <c r="B161" t="str">
        <f>All[[#This Row],[Student Name]]</f>
        <v>Tar-Mahomed, Mohammed</v>
      </c>
      <c r="C161" t="e">
        <f>All[[#This Row],[Engagement]]</f>
        <v>#REF!</v>
      </c>
      <c r="D161" t="str">
        <f>All[[#This Row],[Test]]</f>
        <v>Cannot find student!</v>
      </c>
      <c r="E161" t="str">
        <f>All[[#This Row],[Project]]</f>
        <v/>
      </c>
      <c r="F161">
        <f>IF(All[[#This Row],[Wrote Exam]],All[[#This Row],[Exam/Def]],"")</f>
        <v>88</v>
      </c>
      <c r="G161" t="str">
        <f>IF(All[[#This Row],[Wrote Def]],All[[#This Row],[Exam/Def]],"")</f>
        <v/>
      </c>
      <c r="H161" t="str">
        <f>All[[#This Row],[Course Mark]]</f>
        <v/>
      </c>
      <c r="I161" t="str">
        <f>All[[#This Row],[Final]]</f>
        <v/>
      </c>
      <c r="J161" t="str">
        <f>IF(All[[#This Row],[Wrote Sup]],All[[#This Row],[Sup]],"")</f>
        <v/>
      </c>
      <c r="K161" t="str">
        <f>All[[#This Row],[My Grade]]</f>
        <v/>
      </c>
    </row>
    <row r="162" spans="1:11">
      <c r="A162" t="str">
        <f>All[[#This Row],[Student No.]]</f>
        <v>2103308</v>
      </c>
      <c r="B162" t="str">
        <f>All[[#This Row],[Student Name]]</f>
        <v>Thamane, Neo</v>
      </c>
      <c r="C162" t="e">
        <f>All[[#This Row],[Engagement]]</f>
        <v>#REF!</v>
      </c>
      <c r="D162" t="str">
        <f>All[[#This Row],[Test]]</f>
        <v>Cannot find student!</v>
      </c>
      <c r="E162" t="str">
        <f>All[[#This Row],[Project]]</f>
        <v/>
      </c>
      <c r="F162">
        <f>IF(All[[#This Row],[Wrote Exam]],All[[#This Row],[Exam/Def]],"")</f>
        <v>35</v>
      </c>
      <c r="G162" t="str">
        <f>IF(All[[#This Row],[Wrote Def]],All[[#This Row],[Exam/Def]],"")</f>
        <v/>
      </c>
      <c r="H162" t="str">
        <f>All[[#This Row],[Course Mark]]</f>
        <v/>
      </c>
      <c r="I162" t="str">
        <f>All[[#This Row],[Final]]</f>
        <v/>
      </c>
      <c r="J162" t="str">
        <f>IF(All[[#This Row],[Wrote Sup]],All[[#This Row],[Sup]],"")</f>
        <v/>
      </c>
      <c r="K162" t="str">
        <f>All[[#This Row],[My Grade]]</f>
        <v/>
      </c>
    </row>
    <row r="163" spans="1:11">
      <c r="A163" t="str">
        <f>All[[#This Row],[Student No.]]</f>
        <v>2186479</v>
      </c>
      <c r="B163" t="str">
        <f>All[[#This Row],[Student Name]]</f>
        <v>Thomson, Ethan</v>
      </c>
      <c r="C163" t="e">
        <f>All[[#This Row],[Engagement]]</f>
        <v>#REF!</v>
      </c>
      <c r="D163" t="str">
        <f>All[[#This Row],[Test]]</f>
        <v>Cannot find student!</v>
      </c>
      <c r="E163" t="str">
        <f>All[[#This Row],[Project]]</f>
        <v/>
      </c>
      <c r="F163" t="str">
        <f>IF(All[[#This Row],[Wrote Exam]],All[[#This Row],[Exam/Def]],"")</f>
        <v/>
      </c>
      <c r="G163" t="str">
        <f>IF(All[[#This Row],[Wrote Def]],All[[#This Row],[Exam/Def]],"")</f>
        <v/>
      </c>
      <c r="H163" t="str">
        <f>All[[#This Row],[Course Mark]]</f>
        <v/>
      </c>
      <c r="I163" t="str">
        <f>All[[#This Row],[Final]]</f>
        <v/>
      </c>
      <c r="J163" t="str">
        <f>IF(All[[#This Row],[Wrote Sup]],All[[#This Row],[Sup]],"")</f>
        <v/>
      </c>
      <c r="K163" t="str">
        <f>All[[#This Row],[My Grade]]</f>
        <v/>
      </c>
    </row>
    <row r="164" spans="1:11">
      <c r="A164" t="str">
        <f>All[[#This Row],[Student No.]]</f>
        <v>2340555</v>
      </c>
      <c r="B164" t="str">
        <f>All[[#This Row],[Student Name]]</f>
        <v>Tom, Shaleen</v>
      </c>
      <c r="C164" t="e">
        <f>All[[#This Row],[Engagement]]</f>
        <v>#REF!</v>
      </c>
      <c r="D164" t="str">
        <f>All[[#This Row],[Test]]</f>
        <v>Cannot find student!</v>
      </c>
      <c r="E164" t="str">
        <f>All[[#This Row],[Project]]</f>
        <v/>
      </c>
      <c r="F164" t="str">
        <f>IF(All[[#This Row],[Wrote Exam]],All[[#This Row],[Exam/Def]],"")</f>
        <v/>
      </c>
      <c r="G164" t="str">
        <f>IF(All[[#This Row],[Wrote Def]],All[[#This Row],[Exam/Def]],"")</f>
        <v/>
      </c>
      <c r="H164" t="str">
        <f>All[[#This Row],[Course Mark]]</f>
        <v/>
      </c>
      <c r="I164" t="str">
        <f>All[[#This Row],[Final]]</f>
        <v/>
      </c>
      <c r="J164" t="str">
        <f>IF(All[[#This Row],[Wrote Sup]],All[[#This Row],[Sup]],"")</f>
        <v/>
      </c>
      <c r="K164" t="str">
        <f>All[[#This Row],[My Grade]]</f>
        <v/>
      </c>
    </row>
    <row r="165" spans="1:11">
      <c r="A165" t="str">
        <f>All[[#This Row],[Student No.]]</f>
        <v>1823614</v>
      </c>
      <c r="B165" t="str">
        <f>All[[#This Row],[Student Name]]</f>
        <v>Tshibalo, Tondani</v>
      </c>
      <c r="C165" t="e">
        <f>All[[#This Row],[Engagement]]</f>
        <v>#REF!</v>
      </c>
      <c r="D165" t="str">
        <f>All[[#This Row],[Test]]</f>
        <v>Cannot find student!</v>
      </c>
      <c r="E165" t="str">
        <f>All[[#This Row],[Project]]</f>
        <v/>
      </c>
      <c r="F165">
        <f>IF(All[[#This Row],[Wrote Exam]],All[[#This Row],[Exam/Def]],"")</f>
        <v>22</v>
      </c>
      <c r="G165" t="str">
        <f>IF(All[[#This Row],[Wrote Def]],All[[#This Row],[Exam/Def]],"")</f>
        <v/>
      </c>
      <c r="H165" t="str">
        <f>All[[#This Row],[Course Mark]]</f>
        <v/>
      </c>
      <c r="I165" t="str">
        <f>All[[#This Row],[Final]]</f>
        <v/>
      </c>
      <c r="J165" t="str">
        <f>IF(All[[#This Row],[Wrote Sup]],All[[#This Row],[Sup]],"")</f>
        <v/>
      </c>
      <c r="K165" t="str">
        <f>All[[#This Row],[My Grade]]</f>
        <v/>
      </c>
    </row>
    <row r="166" spans="1:11">
      <c r="A166" t="str">
        <f>All[[#This Row],[Student No.]]</f>
        <v>1908825</v>
      </c>
      <c r="B166" t="str">
        <f>All[[#This Row],[Student Name]]</f>
        <v>Tshikombeni, Ompha</v>
      </c>
      <c r="C166" t="e">
        <f>All[[#This Row],[Engagement]]</f>
        <v>#REF!</v>
      </c>
      <c r="D166" t="str">
        <f>All[[#This Row],[Test]]</f>
        <v/>
      </c>
      <c r="E166" t="str">
        <f>All[[#This Row],[Project]]</f>
        <v/>
      </c>
      <c r="F166">
        <f>IF(All[[#This Row],[Wrote Exam]],All[[#This Row],[Exam/Def]],"")</f>
        <v>23</v>
      </c>
      <c r="G166" t="str">
        <f>IF(All[[#This Row],[Wrote Def]],All[[#This Row],[Exam/Def]],"")</f>
        <v/>
      </c>
      <c r="H166" t="str">
        <f>All[[#This Row],[Course Mark]]</f>
        <v/>
      </c>
      <c r="I166" t="str">
        <f>All[[#This Row],[Final]]</f>
        <v/>
      </c>
      <c r="J166" t="str">
        <f>IF(All[[#This Row],[Wrote Sup]],All[[#This Row],[Sup]],"")</f>
        <v/>
      </c>
      <c r="K166" t="str">
        <f>All[[#This Row],[My Grade]]</f>
        <v/>
      </c>
    </row>
    <row r="167" spans="1:11">
      <c r="A167" t="str">
        <f>All[[#This Row],[Student No.]]</f>
        <v>2219934</v>
      </c>
      <c r="B167" t="str">
        <f>All[[#This Row],[Student Name]]</f>
        <v>Tshude, Ziyanda</v>
      </c>
      <c r="C167" t="e">
        <f>All[[#This Row],[Engagement]]</f>
        <v>#REF!</v>
      </c>
      <c r="D167" t="str">
        <f>All[[#This Row],[Test]]</f>
        <v/>
      </c>
      <c r="E167" t="str">
        <f>All[[#This Row],[Project]]</f>
        <v/>
      </c>
      <c r="F167" t="str">
        <f>IF(All[[#This Row],[Wrote Exam]],All[[#This Row],[Exam/Def]],"")</f>
        <v/>
      </c>
      <c r="G167" t="str">
        <f>IF(All[[#This Row],[Wrote Def]],All[[#This Row],[Exam/Def]],"")</f>
        <v/>
      </c>
      <c r="H167" t="str">
        <f>All[[#This Row],[Course Mark]]</f>
        <v/>
      </c>
      <c r="I167" t="str">
        <f>All[[#This Row],[Final]]</f>
        <v/>
      </c>
      <c r="J167" t="str">
        <f>IF(All[[#This Row],[Wrote Sup]],All[[#This Row],[Sup]],"")</f>
        <v/>
      </c>
      <c r="K167" t="str">
        <f>All[[#This Row],[My Grade]]</f>
        <v/>
      </c>
    </row>
    <row r="168" spans="1:11">
      <c r="A168" t="str">
        <f>All[[#This Row],[Student No.]]</f>
        <v>2353833</v>
      </c>
      <c r="B168" t="str">
        <f>All[[#This Row],[Student Name]]</f>
        <v>Valla, Karan</v>
      </c>
      <c r="C168" t="e">
        <f>All[[#This Row],[Engagement]]</f>
        <v>#REF!</v>
      </c>
      <c r="D168" t="str">
        <f>All[[#This Row],[Test]]</f>
        <v>Cannot find student!</v>
      </c>
      <c r="E168" t="str">
        <f>All[[#This Row],[Project]]</f>
        <v/>
      </c>
      <c r="F168">
        <f>IF(All[[#This Row],[Wrote Exam]],All[[#This Row],[Exam/Def]],"")</f>
        <v>28</v>
      </c>
      <c r="G168" t="str">
        <f>IF(All[[#This Row],[Wrote Def]],All[[#This Row],[Exam/Def]],"")</f>
        <v/>
      </c>
      <c r="H168" t="str">
        <f>All[[#This Row],[Course Mark]]</f>
        <v/>
      </c>
      <c r="I168" t="str">
        <f>All[[#This Row],[Final]]</f>
        <v/>
      </c>
      <c r="J168" t="str">
        <f>IF(All[[#This Row],[Wrote Sup]],All[[#This Row],[Sup]],"")</f>
        <v/>
      </c>
      <c r="K168" t="str">
        <f>All[[#This Row],[My Grade]]</f>
        <v/>
      </c>
    </row>
    <row r="169" spans="1:11">
      <c r="A169" t="str">
        <f>All[[#This Row],[Student No.]]</f>
        <v>2113490</v>
      </c>
      <c r="B169" t="str">
        <f>All[[#This Row],[Student Name]]</f>
        <v>Van Staden, Erin</v>
      </c>
      <c r="C169" t="e">
        <f>All[[#This Row],[Engagement]]</f>
        <v>#REF!</v>
      </c>
      <c r="D169" t="str">
        <f>All[[#This Row],[Test]]</f>
        <v>Cannot find student!</v>
      </c>
      <c r="E169" t="str">
        <f>All[[#This Row],[Project]]</f>
        <v/>
      </c>
      <c r="F169">
        <f>IF(All[[#This Row],[Wrote Exam]],All[[#This Row],[Exam/Def]],"")</f>
        <v>14</v>
      </c>
      <c r="G169" t="str">
        <f>IF(All[[#This Row],[Wrote Def]],All[[#This Row],[Exam/Def]],"")</f>
        <v/>
      </c>
      <c r="H169" t="str">
        <f>All[[#This Row],[Course Mark]]</f>
        <v/>
      </c>
      <c r="I169" t="str">
        <f>All[[#This Row],[Final]]</f>
        <v/>
      </c>
      <c r="J169" t="str">
        <f>IF(All[[#This Row],[Wrote Sup]],All[[#This Row],[Sup]],"")</f>
        <v/>
      </c>
      <c r="K169" t="str">
        <f>All[[#This Row],[My Grade]]</f>
        <v/>
      </c>
    </row>
    <row r="170" spans="1:11">
      <c r="A170" t="str">
        <f>All[[#This Row],[Student No.]]</f>
        <v>2351852</v>
      </c>
      <c r="B170" t="str">
        <f>All[[#This Row],[Student Name]]</f>
        <v>Wright, Ruth-Ann</v>
      </c>
      <c r="C170" t="e">
        <f>All[[#This Row],[Engagement]]</f>
        <v>#REF!</v>
      </c>
      <c r="D170" t="str">
        <f>All[[#This Row],[Test]]</f>
        <v>Cannot find student!</v>
      </c>
      <c r="E170" t="str">
        <f>All[[#This Row],[Project]]</f>
        <v/>
      </c>
      <c r="F170">
        <f>IF(All[[#This Row],[Wrote Exam]],All[[#This Row],[Exam/Def]],"")</f>
        <v>76</v>
      </c>
      <c r="G170" t="str">
        <f>IF(All[[#This Row],[Wrote Def]],All[[#This Row],[Exam/Def]],"")</f>
        <v/>
      </c>
      <c r="H170" t="str">
        <f>All[[#This Row],[Course Mark]]</f>
        <v/>
      </c>
      <c r="I170" t="str">
        <f>All[[#This Row],[Final]]</f>
        <v/>
      </c>
      <c r="J170" t="str">
        <f>IF(All[[#This Row],[Wrote Sup]],All[[#This Row],[Sup]],"")</f>
        <v/>
      </c>
      <c r="K170" t="str">
        <f>All[[#This Row],[My Grade]]</f>
        <v/>
      </c>
    </row>
    <row r="171" spans="1:11">
      <c r="A171" t="str">
        <f>All[[#This Row],[Student No.]]</f>
        <v>2141604</v>
      </c>
      <c r="B171" t="str">
        <f>All[[#This Row],[Student Name]]</f>
        <v>Zulase, Nathan</v>
      </c>
      <c r="C171" t="e">
        <f>All[[#This Row],[Engagement]]</f>
        <v>#REF!</v>
      </c>
      <c r="D171" t="str">
        <f>All[[#This Row],[Test]]</f>
        <v>Cannot find student!</v>
      </c>
      <c r="E171" t="str">
        <f>All[[#This Row],[Project]]</f>
        <v/>
      </c>
      <c r="F171">
        <f>IF(All[[#This Row],[Wrote Exam]],All[[#This Row],[Exam/Def]],"")</f>
        <v>33</v>
      </c>
      <c r="G171" t="str">
        <f>IF(All[[#This Row],[Wrote Def]],All[[#This Row],[Exam/Def]],"")</f>
        <v/>
      </c>
      <c r="H171" t="str">
        <f>All[[#This Row],[Course Mark]]</f>
        <v/>
      </c>
      <c r="I171" t="str">
        <f>All[[#This Row],[Final]]</f>
        <v/>
      </c>
      <c r="J171" t="str">
        <f>IF(All[[#This Row],[Wrote Sup]],All[[#This Row],[Sup]],"")</f>
        <v/>
      </c>
      <c r="K171" t="str">
        <f>All[[#This Row],[My Grade]]</f>
        <v/>
      </c>
    </row>
    <row r="172" spans="1:11">
      <c r="A172" t="str">
        <f>All[[#This Row],[Student No.]]</f>
        <v>2373926</v>
      </c>
      <c r="B172" t="str">
        <f>All[[#This Row],[Student Name]]</f>
        <v>Zulu, Cebolenkosi</v>
      </c>
      <c r="C172" t="e">
        <f>All[[#This Row],[Engagement]]</f>
        <v>#REF!</v>
      </c>
      <c r="D172" t="str">
        <f>All[[#This Row],[Test]]</f>
        <v>Cannot find student!</v>
      </c>
      <c r="E172" t="str">
        <f>All[[#This Row],[Project]]</f>
        <v/>
      </c>
      <c r="F172">
        <f>IF(All[[#This Row],[Wrote Exam]],All[[#This Row],[Exam/Def]],"")</f>
        <v>32</v>
      </c>
      <c r="G172" t="str">
        <f>IF(All[[#This Row],[Wrote Def]],All[[#This Row],[Exam/Def]],"")</f>
        <v/>
      </c>
      <c r="H172" t="str">
        <f>All[[#This Row],[Course Mark]]</f>
        <v/>
      </c>
      <c r="I172" t="str">
        <f>All[[#This Row],[Final]]</f>
        <v/>
      </c>
      <c r="J172" t="str">
        <f>IF(All[[#This Row],[Wrote Sup]],All[[#This Row],[Sup]],"")</f>
        <v/>
      </c>
      <c r="K172" t="str">
        <f>All[[#This Row],[My Grade]]</f>
        <v/>
      </c>
    </row>
    <row r="173" spans="1:11">
      <c r="A173" t="str">
        <f>All[[#This Row],[Student No.]]</f>
        <v>1437039</v>
      </c>
      <c r="B173" t="str">
        <f>All[[#This Row],[Student Name]]</f>
        <v>Zwane, Kwazinkosi</v>
      </c>
      <c r="C173" t="e">
        <f>All[[#This Row],[Engagement]]</f>
        <v>#REF!</v>
      </c>
      <c r="D173" t="str">
        <f>All[[#This Row],[Test]]</f>
        <v>Cannot find student!</v>
      </c>
      <c r="E173" t="str">
        <f>All[[#This Row],[Project]]</f>
        <v/>
      </c>
      <c r="F173" t="str">
        <f>IF(All[[#This Row],[Wrote Exam]],All[[#This Row],[Exam/Def]],"")</f>
        <v/>
      </c>
      <c r="G173" t="str">
        <f>IF(All[[#This Row],[Wrote Def]],All[[#This Row],[Exam/Def]],"")</f>
        <v/>
      </c>
      <c r="H173" t="str">
        <f>All[[#This Row],[Course Mark]]</f>
        <v/>
      </c>
      <c r="I173" t="str">
        <f>All[[#This Row],[Final]]</f>
        <v/>
      </c>
      <c r="J173" t="str">
        <f>IF(All[[#This Row],[Wrote Sup]],All[[#This Row],[Sup]],"")</f>
        <v/>
      </c>
      <c r="K173" t="str">
        <f>All[[#This Row],[My Grade]]</f>
        <v/>
      </c>
    </row>
  </sheetData>
  <conditionalFormatting sqref="I7:I173">
    <cfRule type="expression" dxfId="167" priority="1">
      <formula>$I7&lt;&gt;$H7</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M220"/>
  <sheetViews>
    <sheetView showGridLines="0" topLeftCell="A169" zoomScale="97" zoomScaleNormal="97" workbookViewId="0">
      <selection activeCell="R25" sqref="R25"/>
    </sheetView>
  </sheetViews>
  <sheetFormatPr defaultRowHeight="14.4"/>
  <cols>
    <col min="1" max="1" width="8.88671875" style="210"/>
    <col min="2" max="2" width="8.33203125" bestFit="1" customWidth="1"/>
    <col min="3" max="3" width="30.21875" bestFit="1" customWidth="1"/>
    <col min="4" max="9" width="8.6640625" style="2" customWidth="1"/>
    <col min="10" max="10" width="12.88671875" style="2" customWidth="1"/>
  </cols>
  <sheetData>
    <row r="1" spans="1:13">
      <c r="A1" t="s">
        <v>1252</v>
      </c>
      <c r="D1" s="209" t="s">
        <v>1251</v>
      </c>
      <c r="E1" s="208"/>
      <c r="F1" s="208"/>
      <c r="G1" s="208"/>
      <c r="H1" s="208"/>
      <c r="I1" s="208"/>
      <c r="J1" s="208"/>
      <c r="K1" s="209"/>
      <c r="L1" s="209"/>
      <c r="M1" s="209"/>
    </row>
    <row r="3" spans="1:13">
      <c r="A3" s="224" t="s">
        <v>1250</v>
      </c>
      <c r="B3" s="181" t="s">
        <v>14</v>
      </c>
      <c r="C3" s="182" t="s">
        <v>1010</v>
      </c>
      <c r="D3" s="182" t="s">
        <v>1221</v>
      </c>
      <c r="E3" s="182" t="s">
        <v>1220</v>
      </c>
      <c r="F3" s="182" t="s">
        <v>1219</v>
      </c>
      <c r="G3" s="182" t="s">
        <v>1218</v>
      </c>
      <c r="H3" s="182" t="s">
        <v>1229</v>
      </c>
      <c r="I3" s="182" t="s">
        <v>1043</v>
      </c>
      <c r="J3" s="183" t="s">
        <v>31</v>
      </c>
    </row>
    <row r="4" spans="1:13" s="210" customFormat="1">
      <c r="A4" s="222" t="str">
        <f>TEXT(captured[[#This Row],[ID]],"0")</f>
        <v>1906349</v>
      </c>
      <c r="B4" s="207">
        <v>1906349</v>
      </c>
      <c r="C4" s="169" t="s">
        <v>1207</v>
      </c>
      <c r="D4" s="211"/>
      <c r="E4" s="211"/>
      <c r="F4" s="211"/>
      <c r="G4" s="211"/>
      <c r="H4" s="211"/>
      <c r="I4" s="211" t="s">
        <v>1045</v>
      </c>
      <c r="J4" s="177">
        <v>31</v>
      </c>
    </row>
    <row r="5" spans="1:13" s="210" customFormat="1">
      <c r="A5" s="218" t="str">
        <f>TEXT(captured[[#This Row],[ID]],"0")</f>
        <v>1849732</v>
      </c>
      <c r="B5" s="207">
        <v>1849732</v>
      </c>
      <c r="C5" s="169" t="s">
        <v>1206</v>
      </c>
      <c r="D5" s="211"/>
      <c r="E5" s="211"/>
      <c r="F5" s="211"/>
      <c r="G5" s="211"/>
      <c r="H5" s="211"/>
      <c r="I5" s="211" t="s">
        <v>1045</v>
      </c>
      <c r="J5" s="177">
        <v>26</v>
      </c>
    </row>
    <row r="6" spans="1:13" s="210" customFormat="1">
      <c r="A6" s="218" t="str">
        <f>TEXT(captured[[#This Row],[ID]],"0")</f>
        <v>2303450</v>
      </c>
      <c r="B6" s="207">
        <v>2303450</v>
      </c>
      <c r="C6" s="169" t="s">
        <v>1205</v>
      </c>
      <c r="D6" s="211"/>
      <c r="E6" s="211"/>
      <c r="F6" s="211"/>
      <c r="G6" s="211"/>
      <c r="H6" s="211"/>
      <c r="I6" s="211" t="s">
        <v>1045</v>
      </c>
      <c r="J6" s="177">
        <v>33</v>
      </c>
    </row>
    <row r="7" spans="1:13" s="210" customFormat="1">
      <c r="A7" s="218" t="str">
        <f>TEXT(captured[[#This Row],[ID]],"0")</f>
        <v>2199951</v>
      </c>
      <c r="B7" s="207">
        <v>2199951</v>
      </c>
      <c r="C7" s="169" t="s">
        <v>1204</v>
      </c>
      <c r="D7" s="211"/>
      <c r="E7" s="211"/>
      <c r="F7" s="211"/>
      <c r="G7" s="211"/>
      <c r="H7" s="211"/>
      <c r="I7" s="211" t="s">
        <v>1045</v>
      </c>
      <c r="J7" s="177">
        <v>37</v>
      </c>
    </row>
    <row r="8" spans="1:13" s="210" customFormat="1">
      <c r="A8" s="218" t="str">
        <f>TEXT(captured[[#This Row],[ID]],"0")</f>
        <v>1660819</v>
      </c>
      <c r="B8" s="207">
        <v>1660819</v>
      </c>
      <c r="C8" s="169" t="s">
        <v>1203</v>
      </c>
      <c r="D8" s="211"/>
      <c r="E8" s="211"/>
      <c r="F8" s="211"/>
      <c r="G8" s="211"/>
      <c r="H8" s="211"/>
      <c r="I8" s="211" t="s">
        <v>1045</v>
      </c>
      <c r="J8" s="177">
        <v>27</v>
      </c>
    </row>
    <row r="9" spans="1:13" s="210" customFormat="1">
      <c r="A9" s="218" t="str">
        <f>TEXT(captured[[#This Row],[ID]],"0")</f>
        <v>2309262</v>
      </c>
      <c r="B9" s="207">
        <v>2309262</v>
      </c>
      <c r="C9" s="169" t="s">
        <v>1202</v>
      </c>
      <c r="D9" s="211"/>
      <c r="E9" s="211"/>
      <c r="F9" s="211"/>
      <c r="G9" s="211"/>
      <c r="H9" s="211"/>
      <c r="I9" s="211" t="s">
        <v>1209</v>
      </c>
      <c r="J9" s="177" t="s">
        <v>1208</v>
      </c>
    </row>
    <row r="10" spans="1:13" s="210" customFormat="1">
      <c r="A10" s="218" t="str">
        <f>TEXT(captured[[#This Row],[ID]],"0")</f>
        <v>1744150</v>
      </c>
      <c r="B10" s="207">
        <v>1744150</v>
      </c>
      <c r="C10" s="169" t="s">
        <v>1201</v>
      </c>
      <c r="D10" s="211"/>
      <c r="E10" s="211"/>
      <c r="F10" s="211"/>
      <c r="G10" s="211"/>
      <c r="H10" s="211"/>
      <c r="I10" s="211" t="s">
        <v>1045</v>
      </c>
      <c r="J10" s="177">
        <v>33</v>
      </c>
    </row>
    <row r="11" spans="1:13" s="210" customFormat="1">
      <c r="A11" s="218" t="str">
        <f>TEXT(captured[[#This Row],[ID]],"0")</f>
        <v>2108293</v>
      </c>
      <c r="B11" s="207">
        <v>2108293</v>
      </c>
      <c r="C11" s="169" t="s">
        <v>1200</v>
      </c>
      <c r="D11" s="211"/>
      <c r="E11" s="211"/>
      <c r="F11" s="211"/>
      <c r="G11" s="211"/>
      <c r="H11" s="211"/>
      <c r="I11" s="211" t="s">
        <v>1209</v>
      </c>
      <c r="J11" s="177" t="s">
        <v>1208</v>
      </c>
    </row>
    <row r="12" spans="1:13" s="210" customFormat="1">
      <c r="A12" s="218" t="str">
        <f>TEXT(captured[[#This Row],[ID]],"0")</f>
        <v>1775759</v>
      </c>
      <c r="B12" s="207">
        <v>1775759</v>
      </c>
      <c r="C12" s="169" t="s">
        <v>1199</v>
      </c>
      <c r="D12" s="211"/>
      <c r="E12" s="211"/>
      <c r="F12" s="211"/>
      <c r="G12" s="211"/>
      <c r="H12" s="211"/>
      <c r="I12" s="211" t="s">
        <v>1045</v>
      </c>
      <c r="J12" s="177">
        <v>8</v>
      </c>
    </row>
    <row r="13" spans="1:13" s="210" customFormat="1">
      <c r="A13" s="218" t="str">
        <f>TEXT(captured[[#This Row],[ID]],"0")</f>
        <v>2141245</v>
      </c>
      <c r="B13" s="207">
        <v>2141245</v>
      </c>
      <c r="C13" s="169" t="s">
        <v>1198</v>
      </c>
      <c r="D13" s="211"/>
      <c r="E13" s="211"/>
      <c r="F13" s="211"/>
      <c r="G13" s="211"/>
      <c r="H13" s="211"/>
      <c r="I13" s="211" t="s">
        <v>1045</v>
      </c>
      <c r="J13" s="177">
        <v>34</v>
      </c>
    </row>
    <row r="14" spans="1:13" s="210" customFormat="1">
      <c r="A14" s="218" t="str">
        <f>TEXT(captured[[#This Row],[ID]],"0")</f>
        <v>1854920</v>
      </c>
      <c r="B14" s="207">
        <v>1854920</v>
      </c>
      <c r="C14" s="169" t="s">
        <v>1197</v>
      </c>
      <c r="D14" s="211"/>
      <c r="E14" s="211"/>
      <c r="F14" s="211"/>
      <c r="G14" s="211"/>
      <c r="H14" s="211"/>
      <c r="I14" s="211" t="s">
        <v>1045</v>
      </c>
      <c r="J14" s="177">
        <v>27</v>
      </c>
    </row>
    <row r="15" spans="1:13" s="210" customFormat="1">
      <c r="A15" s="218" t="str">
        <f>TEXT(captured[[#This Row],[ID]],"0")</f>
        <v>2129606</v>
      </c>
      <c r="B15" s="207">
        <v>2129606</v>
      </c>
      <c r="C15" s="169" t="s">
        <v>1196</v>
      </c>
      <c r="D15" s="211"/>
      <c r="E15" s="211"/>
      <c r="F15" s="211"/>
      <c r="G15" s="211"/>
      <c r="H15" s="211"/>
      <c r="I15" s="211" t="s">
        <v>1045</v>
      </c>
      <c r="J15" s="177">
        <v>13</v>
      </c>
    </row>
    <row r="16" spans="1:13" s="210" customFormat="1" ht="27.6">
      <c r="A16" s="218" t="str">
        <f>TEXT(captured[[#This Row],[ID]],"0")</f>
        <v>2363523</v>
      </c>
      <c r="B16" s="207">
        <v>2363523</v>
      </c>
      <c r="C16" s="169" t="s">
        <v>1195</v>
      </c>
      <c r="D16" s="211"/>
      <c r="E16" s="211"/>
      <c r="F16" s="211"/>
      <c r="G16" s="211"/>
      <c r="H16" s="211"/>
      <c r="I16" s="211" t="s">
        <v>1045</v>
      </c>
      <c r="J16" s="177">
        <v>35</v>
      </c>
    </row>
    <row r="17" spans="1:10" s="210" customFormat="1">
      <c r="A17" s="218" t="str">
        <f>TEXT(captured[[#This Row],[ID]],"0")</f>
        <v>2172598</v>
      </c>
      <c r="B17" s="207">
        <v>2172598</v>
      </c>
      <c r="C17" s="169" t="s">
        <v>1194</v>
      </c>
      <c r="D17" s="211"/>
      <c r="E17" s="211"/>
      <c r="F17" s="211"/>
      <c r="G17" s="211"/>
      <c r="H17" s="211"/>
      <c r="I17" s="211" t="s">
        <v>1127</v>
      </c>
      <c r="J17" s="177">
        <v>51</v>
      </c>
    </row>
    <row r="18" spans="1:10" s="210" customFormat="1">
      <c r="A18" s="218" t="str">
        <f>TEXT(captured[[#This Row],[ID]],"0")</f>
        <v>1864879</v>
      </c>
      <c r="B18" s="207">
        <v>1864879</v>
      </c>
      <c r="C18" s="169" t="s">
        <v>1193</v>
      </c>
      <c r="D18" s="211"/>
      <c r="E18" s="211"/>
      <c r="F18" s="211"/>
      <c r="G18" s="211"/>
      <c r="H18" s="211"/>
      <c r="I18" s="211" t="s">
        <v>1045</v>
      </c>
      <c r="J18" s="177">
        <v>24</v>
      </c>
    </row>
    <row r="19" spans="1:10" s="210" customFormat="1">
      <c r="A19" s="218" t="str">
        <f>TEXT(captured[[#This Row],[ID]],"0")</f>
        <v>1455713</v>
      </c>
      <c r="B19" s="207">
        <v>1455713</v>
      </c>
      <c r="C19" s="169" t="s">
        <v>1192</v>
      </c>
      <c r="D19" s="211"/>
      <c r="E19" s="211"/>
      <c r="F19" s="211"/>
      <c r="G19" s="211"/>
      <c r="H19" s="211"/>
      <c r="I19" s="211" t="s">
        <v>1045</v>
      </c>
      <c r="J19" s="177">
        <v>23</v>
      </c>
    </row>
    <row r="20" spans="1:10" s="210" customFormat="1">
      <c r="A20" s="218" t="str">
        <f>TEXT(captured[[#This Row],[ID]],"0")</f>
        <v>1815772</v>
      </c>
      <c r="B20" s="207">
        <v>1815772</v>
      </c>
      <c r="C20" s="169" t="s">
        <v>1191</v>
      </c>
      <c r="D20" s="211"/>
      <c r="E20" s="211"/>
      <c r="F20" s="211"/>
      <c r="G20" s="211"/>
      <c r="H20" s="211"/>
      <c r="I20" s="211" t="s">
        <v>1209</v>
      </c>
      <c r="J20" s="177" t="s">
        <v>1208</v>
      </c>
    </row>
    <row r="21" spans="1:10" s="210" customFormat="1">
      <c r="A21" s="218" t="str">
        <f>TEXT(captured[[#This Row],[ID]],"0")</f>
        <v>1851387</v>
      </c>
      <c r="B21" s="207">
        <v>1851387</v>
      </c>
      <c r="C21" s="169" t="s">
        <v>1190</v>
      </c>
      <c r="D21" s="211"/>
      <c r="E21" s="211"/>
      <c r="F21" s="211"/>
      <c r="G21" s="211"/>
      <c r="H21" s="211"/>
      <c r="I21" s="211" t="s">
        <v>1045</v>
      </c>
      <c r="J21" s="177">
        <v>29</v>
      </c>
    </row>
    <row r="22" spans="1:10" s="210" customFormat="1">
      <c r="A22" s="218" t="str">
        <f>TEXT(captured[[#This Row],[ID]],"0")</f>
        <v>1287323</v>
      </c>
      <c r="B22" s="207">
        <v>1287323</v>
      </c>
      <c r="C22" s="169" t="s">
        <v>1188</v>
      </c>
      <c r="D22" s="211"/>
      <c r="E22" s="211"/>
      <c r="F22" s="211"/>
      <c r="G22" s="211"/>
      <c r="H22" s="211"/>
      <c r="I22" s="211" t="s">
        <v>1045</v>
      </c>
      <c r="J22" s="177">
        <v>21</v>
      </c>
    </row>
    <row r="23" spans="1:10" s="210" customFormat="1">
      <c r="A23" s="218" t="str">
        <f>TEXT(captured[[#This Row],[ID]],"0")</f>
        <v>2140390</v>
      </c>
      <c r="B23" s="207">
        <v>2140390</v>
      </c>
      <c r="C23" s="169" t="s">
        <v>1187</v>
      </c>
      <c r="D23" s="211"/>
      <c r="E23" s="211"/>
      <c r="F23" s="211"/>
      <c r="G23" s="211"/>
      <c r="H23" s="211"/>
      <c r="I23" s="211" t="s">
        <v>1045</v>
      </c>
      <c r="J23" s="177">
        <v>42</v>
      </c>
    </row>
    <row r="24" spans="1:10" s="210" customFormat="1">
      <c r="A24" s="218" t="str">
        <f>TEXT(captured[[#This Row],[ID]],"0")</f>
        <v>2156293</v>
      </c>
      <c r="B24" s="207">
        <v>2156293</v>
      </c>
      <c r="C24" s="169" t="s">
        <v>1185</v>
      </c>
      <c r="D24" s="211"/>
      <c r="E24" s="211"/>
      <c r="F24" s="211"/>
      <c r="G24" s="211"/>
      <c r="H24" s="211"/>
      <c r="I24" s="211" t="s">
        <v>1045</v>
      </c>
      <c r="J24" s="177">
        <v>44</v>
      </c>
    </row>
    <row r="25" spans="1:10" s="210" customFormat="1" ht="27.6">
      <c r="A25" s="218" t="str">
        <f>TEXT(captured[[#This Row],[ID]],"0")</f>
        <v>0200223N</v>
      </c>
      <c r="B25" s="207" t="s">
        <v>418</v>
      </c>
      <c r="C25" s="169" t="s">
        <v>1184</v>
      </c>
      <c r="D25" s="211"/>
      <c r="E25" s="211"/>
      <c r="F25" s="211"/>
      <c r="G25" s="211"/>
      <c r="H25" s="211"/>
      <c r="I25" s="211" t="s">
        <v>1209</v>
      </c>
      <c r="J25" s="177" t="s">
        <v>1208</v>
      </c>
    </row>
    <row r="26" spans="1:10" s="210" customFormat="1">
      <c r="A26" s="218" t="str">
        <f>TEXT(captured[[#This Row],[ID]],"0")</f>
        <v>2219934</v>
      </c>
      <c r="B26" s="207">
        <v>2219934</v>
      </c>
      <c r="C26" s="169" t="s">
        <v>1183</v>
      </c>
      <c r="D26" s="211"/>
      <c r="E26" s="211"/>
      <c r="F26" s="211"/>
      <c r="G26" s="211"/>
      <c r="H26" s="211"/>
      <c r="I26" s="211" t="s">
        <v>1045</v>
      </c>
      <c r="J26" s="177">
        <v>24</v>
      </c>
    </row>
    <row r="27" spans="1:10" s="210" customFormat="1">
      <c r="A27" s="218" t="str">
        <f>TEXT(captured[[#This Row],[ID]],"0")</f>
        <v>1437039</v>
      </c>
      <c r="B27" s="207">
        <v>1437039</v>
      </c>
      <c r="C27" s="169" t="s">
        <v>1182</v>
      </c>
      <c r="D27" s="211"/>
      <c r="E27" s="211"/>
      <c r="F27" s="211"/>
      <c r="G27" s="211"/>
      <c r="H27" s="211"/>
      <c r="I27" s="211" t="s">
        <v>1209</v>
      </c>
      <c r="J27" s="177" t="s">
        <v>1208</v>
      </c>
    </row>
    <row r="28" spans="1:10" s="210" customFormat="1">
      <c r="A28" s="225" t="str">
        <f>TEXT(captured[[#This Row],[ID]],"0")</f>
        <v>2166010</v>
      </c>
      <c r="B28" s="226">
        <v>2166010</v>
      </c>
      <c r="C28" s="213" t="s">
        <v>1134</v>
      </c>
      <c r="D28" s="214"/>
      <c r="E28" s="214"/>
      <c r="F28" s="214"/>
      <c r="G28" s="214"/>
      <c r="H28" s="214"/>
      <c r="I28" s="214"/>
      <c r="J28" s="227">
        <v>35</v>
      </c>
    </row>
    <row r="29" spans="1:10" s="210" customFormat="1">
      <c r="A29" s="218" t="str">
        <f>TEXT(captured[[#This Row],[ID]],"0")</f>
        <v>2104199</v>
      </c>
      <c r="B29" s="207">
        <v>2104199</v>
      </c>
      <c r="C29" s="169" t="s">
        <v>1099</v>
      </c>
      <c r="D29" s="211"/>
      <c r="E29" s="211"/>
      <c r="F29" s="211"/>
      <c r="G29" s="211"/>
      <c r="H29" s="211"/>
      <c r="I29" s="211"/>
      <c r="J29" s="177">
        <v>42</v>
      </c>
    </row>
    <row r="30" spans="1:10" s="210" customFormat="1">
      <c r="A30" s="218" t="str">
        <f>TEXT(captured[[#This Row],[ID]],"0")</f>
        <v>2050175</v>
      </c>
      <c r="B30" s="207">
        <v>2050175</v>
      </c>
      <c r="C30" s="169" t="s">
        <v>1121</v>
      </c>
      <c r="D30" s="211"/>
      <c r="E30" s="211"/>
      <c r="F30" s="211"/>
      <c r="G30" s="211"/>
      <c r="H30" s="211"/>
      <c r="I30" s="211"/>
      <c r="J30" s="177">
        <v>35</v>
      </c>
    </row>
    <row r="31" spans="1:10" s="210" customFormat="1">
      <c r="A31" s="218" t="str">
        <f>TEXT(captured[[#This Row],[ID]],"0")</f>
        <v>1876297</v>
      </c>
      <c r="B31" s="207">
        <v>1876297</v>
      </c>
      <c r="C31" s="169" t="s">
        <v>1118</v>
      </c>
      <c r="D31" s="211"/>
      <c r="E31" s="211"/>
      <c r="F31" s="211"/>
      <c r="G31" s="211"/>
      <c r="H31" s="211"/>
      <c r="I31" s="211"/>
      <c r="J31" s="177">
        <v>50</v>
      </c>
    </row>
    <row r="32" spans="1:10" s="210" customFormat="1">
      <c r="A32" s="218" t="str">
        <f>TEXT(captured[[#This Row],[ID]],"0")</f>
        <v>1832991</v>
      </c>
      <c r="B32" s="207">
        <v>1832991</v>
      </c>
      <c r="C32" s="169" t="s">
        <v>1112</v>
      </c>
      <c r="D32" s="211"/>
      <c r="E32" s="211"/>
      <c r="F32" s="211"/>
      <c r="G32" s="211"/>
      <c r="H32" s="211"/>
      <c r="I32" s="211"/>
      <c r="J32" s="177">
        <v>50</v>
      </c>
    </row>
    <row r="33" spans="1:10" s="210" customFormat="1">
      <c r="A33" s="218" t="str">
        <f>TEXT(captured[[#This Row],[ID]],"0")</f>
        <v>1834022</v>
      </c>
      <c r="B33" s="207">
        <v>1834022</v>
      </c>
      <c r="C33" s="169" t="s">
        <v>1111</v>
      </c>
      <c r="D33" s="211"/>
      <c r="E33" s="211"/>
      <c r="F33" s="211"/>
      <c r="G33" s="211"/>
      <c r="H33" s="211"/>
      <c r="I33" s="211"/>
      <c r="J33" s="177">
        <v>40</v>
      </c>
    </row>
    <row r="34" spans="1:10" s="210" customFormat="1">
      <c r="A34" s="218" t="str">
        <f>TEXT(captured[[#This Row],[ID]],"0")</f>
        <v>2307157</v>
      </c>
      <c r="B34" s="207">
        <v>2307157</v>
      </c>
      <c r="C34" s="169" t="s">
        <v>1074</v>
      </c>
      <c r="D34" s="211"/>
      <c r="E34" s="211"/>
      <c r="F34" s="211"/>
      <c r="G34" s="211"/>
      <c r="H34" s="211"/>
      <c r="I34" s="211"/>
      <c r="J34" s="177">
        <v>25</v>
      </c>
    </row>
    <row r="35" spans="1:10" s="210" customFormat="1">
      <c r="A35" s="218" t="str">
        <f>TEXT(captured[[#This Row],[ID]],"0")</f>
        <v>1864128</v>
      </c>
      <c r="B35" s="207">
        <v>1864128</v>
      </c>
      <c r="C35" s="169" t="s">
        <v>1073</v>
      </c>
      <c r="D35" s="211"/>
      <c r="E35" s="211"/>
      <c r="F35" s="211"/>
      <c r="G35" s="211"/>
      <c r="H35" s="211"/>
      <c r="I35" s="211"/>
      <c r="J35" s="177">
        <v>34</v>
      </c>
    </row>
    <row r="36" spans="1:10" s="210" customFormat="1">
      <c r="A36" s="218" t="str">
        <f>TEXT(captured[[#This Row],[ID]],"0")</f>
        <v>2088691</v>
      </c>
      <c r="B36" s="207">
        <v>2088691</v>
      </c>
      <c r="C36" s="169" t="s">
        <v>1091</v>
      </c>
      <c r="D36" s="211"/>
      <c r="E36" s="211"/>
      <c r="F36" s="211"/>
      <c r="G36" s="211"/>
      <c r="H36" s="211"/>
      <c r="I36" s="211"/>
      <c r="J36" s="177">
        <v>50</v>
      </c>
    </row>
    <row r="37" spans="1:10" s="210" customFormat="1">
      <c r="A37" s="218" t="str">
        <f>TEXT(captured[[#This Row],[ID]],"0")</f>
        <v>2352044</v>
      </c>
      <c r="B37" s="207">
        <v>2352044</v>
      </c>
      <c r="C37" s="169" t="s">
        <v>1108</v>
      </c>
      <c r="D37" s="211"/>
      <c r="E37" s="211"/>
      <c r="F37" s="211"/>
      <c r="G37" s="211"/>
      <c r="H37" s="211"/>
      <c r="I37" s="211"/>
      <c r="J37" s="177">
        <v>50</v>
      </c>
    </row>
    <row r="38" spans="1:10" s="210" customFormat="1">
      <c r="A38" s="218" t="str">
        <f>TEXT(captured[[#This Row],[ID]],"0")</f>
        <v>2345892</v>
      </c>
      <c r="B38" s="207">
        <v>2345892</v>
      </c>
      <c r="C38" s="169" t="s">
        <v>1089</v>
      </c>
      <c r="D38" s="211"/>
      <c r="E38" s="211"/>
      <c r="F38" s="211"/>
      <c r="G38" s="211"/>
      <c r="H38" s="211"/>
      <c r="I38" s="211"/>
      <c r="J38" s="177">
        <v>36</v>
      </c>
    </row>
    <row r="39" spans="1:10" s="210" customFormat="1">
      <c r="A39" s="218" t="str">
        <f>TEXT(captured[[#This Row],[ID]],"0")</f>
        <v>1844501</v>
      </c>
      <c r="B39" s="207">
        <v>1844501</v>
      </c>
      <c r="C39" s="169" t="s">
        <v>1117</v>
      </c>
      <c r="D39" s="211"/>
      <c r="E39" s="211"/>
      <c r="F39" s="211"/>
      <c r="G39" s="211"/>
      <c r="H39" s="211"/>
      <c r="I39" s="211"/>
      <c r="J39" s="177">
        <v>42</v>
      </c>
    </row>
    <row r="40" spans="1:10" s="210" customFormat="1">
      <c r="A40" s="218" t="str">
        <f>TEXT(captured[[#This Row],[ID]],"0")</f>
        <v>1848116</v>
      </c>
      <c r="B40" s="207">
        <v>1848116</v>
      </c>
      <c r="C40" s="169" t="s">
        <v>1115</v>
      </c>
      <c r="D40" s="211"/>
      <c r="E40" s="211"/>
      <c r="F40" s="211"/>
      <c r="G40" s="211"/>
      <c r="H40" s="211"/>
      <c r="I40" s="211"/>
      <c r="J40" s="177">
        <v>34</v>
      </c>
    </row>
    <row r="41" spans="1:10" s="210" customFormat="1">
      <c r="A41" s="218" t="str">
        <f>TEXT(captured[[#This Row],[ID]],"0")</f>
        <v>2208622</v>
      </c>
      <c r="B41" s="207">
        <v>2208622</v>
      </c>
      <c r="C41" s="169" t="s">
        <v>1086</v>
      </c>
      <c r="D41" s="211"/>
      <c r="E41" s="211"/>
      <c r="F41" s="211"/>
      <c r="G41" s="211"/>
      <c r="H41" s="211"/>
      <c r="I41" s="211"/>
      <c r="J41" s="177">
        <v>30</v>
      </c>
    </row>
    <row r="42" spans="1:10" s="210" customFormat="1">
      <c r="A42" s="218" t="str">
        <f>TEXT(captured[[#This Row],[ID]],"0")</f>
        <v>2144205</v>
      </c>
      <c r="B42" s="207">
        <v>2144205</v>
      </c>
      <c r="C42" s="169" t="s">
        <v>1104</v>
      </c>
      <c r="D42" s="211"/>
      <c r="E42" s="211"/>
      <c r="F42" s="211"/>
      <c r="G42" s="211"/>
      <c r="H42" s="211"/>
      <c r="I42" s="211"/>
      <c r="J42" s="177">
        <v>32</v>
      </c>
    </row>
    <row r="43" spans="1:10" s="210" customFormat="1">
      <c r="A43" s="218" t="str">
        <f>TEXT(captured[[#This Row],[ID]],"0")</f>
        <v>1832055</v>
      </c>
      <c r="B43" s="207">
        <v>1832055</v>
      </c>
      <c r="C43" s="169" t="s">
        <v>1088</v>
      </c>
      <c r="D43" s="211"/>
      <c r="E43" s="211"/>
      <c r="F43" s="211"/>
      <c r="G43" s="211"/>
      <c r="H43" s="211"/>
      <c r="I43" s="211"/>
      <c r="J43" s="177">
        <v>34</v>
      </c>
    </row>
    <row r="44" spans="1:10" s="210" customFormat="1">
      <c r="A44" s="218" t="str">
        <f>TEXT(captured[[#This Row],[ID]],"0")</f>
        <v>1715463</v>
      </c>
      <c r="B44" s="207">
        <v>1715463</v>
      </c>
      <c r="C44" s="169" t="s">
        <v>1107</v>
      </c>
      <c r="D44" s="211"/>
      <c r="E44" s="211"/>
      <c r="F44" s="211"/>
      <c r="G44" s="211"/>
      <c r="H44" s="211"/>
      <c r="I44" s="211"/>
      <c r="J44" s="177">
        <v>21</v>
      </c>
    </row>
    <row r="45" spans="1:10" s="210" customFormat="1">
      <c r="A45" s="218" t="str">
        <f>TEXT(captured[[#This Row],[ID]],"0")</f>
        <v>2010805</v>
      </c>
      <c r="B45" s="207">
        <v>2010805</v>
      </c>
      <c r="C45" s="169" t="s">
        <v>1114</v>
      </c>
      <c r="D45" s="211"/>
      <c r="E45" s="211"/>
      <c r="F45" s="211"/>
      <c r="G45" s="211"/>
      <c r="H45" s="211"/>
      <c r="I45" s="211"/>
      <c r="J45" s="177">
        <v>50</v>
      </c>
    </row>
    <row r="46" spans="1:10" s="210" customFormat="1">
      <c r="A46" s="218" t="str">
        <f>TEXT(captured[[#This Row],[ID]],"0")</f>
        <v>2308227</v>
      </c>
      <c r="B46" s="207">
        <v>2308227</v>
      </c>
      <c r="C46" s="169" t="s">
        <v>1080</v>
      </c>
      <c r="D46" s="211"/>
      <c r="E46" s="211"/>
      <c r="F46" s="211"/>
      <c r="G46" s="211"/>
      <c r="H46" s="211"/>
      <c r="I46" s="211"/>
      <c r="J46" s="177">
        <v>50</v>
      </c>
    </row>
    <row r="47" spans="1:10" s="210" customFormat="1">
      <c r="A47" s="218" t="str">
        <f>TEXT(captured[[#This Row],[ID]],"0")</f>
        <v>1823178</v>
      </c>
      <c r="B47" s="207">
        <v>1823178</v>
      </c>
      <c r="C47" s="169" t="s">
        <v>1094</v>
      </c>
      <c r="D47" s="211"/>
      <c r="E47" s="211"/>
      <c r="F47" s="211"/>
      <c r="G47" s="211"/>
      <c r="H47" s="211"/>
      <c r="I47" s="211"/>
      <c r="J47" s="177">
        <v>35</v>
      </c>
    </row>
    <row r="48" spans="1:10" s="210" customFormat="1">
      <c r="A48" s="218" t="str">
        <f>TEXT(captured[[#This Row],[ID]],"0")</f>
        <v>1823614</v>
      </c>
      <c r="B48" s="207">
        <v>1823614</v>
      </c>
      <c r="C48" s="169" t="s">
        <v>1102</v>
      </c>
      <c r="D48" s="211"/>
      <c r="E48" s="211"/>
      <c r="F48" s="211"/>
      <c r="G48" s="211"/>
      <c r="H48" s="211"/>
      <c r="I48" s="211"/>
      <c r="J48" s="177">
        <v>44</v>
      </c>
    </row>
    <row r="49" spans="1:10" s="210" customFormat="1">
      <c r="A49" s="218" t="str">
        <f>TEXT(captured[[#This Row],[ID]],"0")</f>
        <v>2353833</v>
      </c>
      <c r="B49" s="207">
        <v>2353833</v>
      </c>
      <c r="C49" s="169" t="s">
        <v>1093</v>
      </c>
      <c r="D49" s="211"/>
      <c r="E49" s="211"/>
      <c r="F49" s="211"/>
      <c r="G49" s="211"/>
      <c r="H49" s="211"/>
      <c r="I49" s="211"/>
      <c r="J49" s="177">
        <v>50</v>
      </c>
    </row>
    <row r="50" spans="1:10" s="210" customFormat="1">
      <c r="A50" s="218" t="str">
        <f>TEXT(captured[[#This Row],[ID]],"0")</f>
        <v>2373926</v>
      </c>
      <c r="B50" s="207">
        <v>2373926</v>
      </c>
      <c r="C50" s="169" t="s">
        <v>1101</v>
      </c>
      <c r="D50" s="211"/>
      <c r="E50" s="211"/>
      <c r="F50" s="211"/>
      <c r="G50" s="211"/>
      <c r="H50" s="211"/>
      <c r="I50" s="211"/>
      <c r="J50" s="177">
        <v>50</v>
      </c>
    </row>
    <row r="51" spans="1:10" s="217" customFormat="1">
      <c r="A51" s="219" t="str">
        <f>TEXT(captured[[#This Row],[ID]],"0")</f>
        <v>1906349</v>
      </c>
      <c r="B51" s="212">
        <v>1906349</v>
      </c>
      <c r="C51" s="213" t="s">
        <v>1207</v>
      </c>
      <c r="D51" s="214">
        <v>37</v>
      </c>
      <c r="E51" s="214">
        <v>20</v>
      </c>
      <c r="F51" s="214">
        <v>38</v>
      </c>
      <c r="G51" s="215"/>
      <c r="H51" s="214">
        <v>0</v>
      </c>
      <c r="I51" s="215" t="s">
        <v>1181</v>
      </c>
      <c r="J51" s="216" t="s">
        <v>1181</v>
      </c>
    </row>
    <row r="52" spans="1:10">
      <c r="A52" s="220" t="str">
        <f>TEXT(captured[[#This Row],[ID]],"0")</f>
        <v>1845217</v>
      </c>
      <c r="B52" s="206">
        <v>1845217</v>
      </c>
      <c r="C52" s="169" t="s">
        <v>1157</v>
      </c>
      <c r="D52" s="168">
        <v>74</v>
      </c>
      <c r="E52" s="168">
        <v>100</v>
      </c>
      <c r="F52" s="168">
        <v>63</v>
      </c>
      <c r="G52" s="168">
        <v>46</v>
      </c>
      <c r="H52" s="168">
        <v>46</v>
      </c>
      <c r="I52" s="168" t="s">
        <v>1127</v>
      </c>
      <c r="J52" s="177">
        <v>61</v>
      </c>
    </row>
    <row r="53" spans="1:10">
      <c r="A53" s="221" t="str">
        <f>TEXT(captured[[#This Row],[ID]],"0")</f>
        <v>2166010</v>
      </c>
      <c r="B53" s="206">
        <v>2166010</v>
      </c>
      <c r="C53" s="169" t="s">
        <v>1134</v>
      </c>
      <c r="D53" s="168">
        <v>37</v>
      </c>
      <c r="E53" s="168">
        <v>100</v>
      </c>
      <c r="F53" s="168">
        <v>71</v>
      </c>
      <c r="G53" s="168">
        <v>32</v>
      </c>
      <c r="H53" s="168">
        <v>32</v>
      </c>
      <c r="I53" s="176" t="s">
        <v>1045</v>
      </c>
      <c r="J53" s="179">
        <v>51</v>
      </c>
    </row>
    <row r="54" spans="1:10">
      <c r="A54" s="220" t="str">
        <f>TEXT(captured[[#This Row],[ID]],"0")</f>
        <v>2377042</v>
      </c>
      <c r="B54" s="206">
        <v>2377042</v>
      </c>
      <c r="C54" s="169" t="s">
        <v>1150</v>
      </c>
      <c r="D54" s="168">
        <v>54</v>
      </c>
      <c r="E54" s="168">
        <v>85</v>
      </c>
      <c r="F54" s="168">
        <v>56</v>
      </c>
      <c r="G54" s="168">
        <v>55</v>
      </c>
      <c r="H54" s="168">
        <v>55</v>
      </c>
      <c r="I54" s="168" t="s">
        <v>1127</v>
      </c>
      <c r="J54" s="177">
        <v>58</v>
      </c>
    </row>
    <row r="55" spans="1:10">
      <c r="A55" s="220" t="str">
        <f>TEXT(captured[[#This Row],[ID]],"0")</f>
        <v>2136605</v>
      </c>
      <c r="B55" s="206">
        <v>2136605</v>
      </c>
      <c r="C55" s="169" t="s">
        <v>1138</v>
      </c>
      <c r="D55" s="168">
        <v>40</v>
      </c>
      <c r="E55" s="168">
        <v>100</v>
      </c>
      <c r="F55" s="168">
        <v>64</v>
      </c>
      <c r="G55" s="168">
        <v>39</v>
      </c>
      <c r="H55" s="168">
        <v>39</v>
      </c>
      <c r="I55" s="168" t="s">
        <v>1127</v>
      </c>
      <c r="J55" s="177">
        <v>53</v>
      </c>
    </row>
    <row r="56" spans="1:10">
      <c r="A56" s="220" t="str">
        <f>TEXT(captured[[#This Row],[ID]],"0")</f>
        <v>2304150</v>
      </c>
      <c r="B56" s="206">
        <v>2304150</v>
      </c>
      <c r="C56" s="169" t="s">
        <v>1048</v>
      </c>
      <c r="D56" s="168">
        <v>14</v>
      </c>
      <c r="E56" s="168">
        <v>20</v>
      </c>
      <c r="F56" s="168">
        <v>9</v>
      </c>
      <c r="G56" s="168">
        <v>16</v>
      </c>
      <c r="H56" s="168">
        <v>16</v>
      </c>
      <c r="I56" s="168" t="s">
        <v>1045</v>
      </c>
      <c r="J56" s="177">
        <v>14</v>
      </c>
    </row>
    <row r="57" spans="1:10">
      <c r="A57" s="220" t="str">
        <f>TEXT(captured[[#This Row],[ID]],"0")</f>
        <v>1849732</v>
      </c>
      <c r="B57" s="206">
        <v>1849732</v>
      </c>
      <c r="C57" s="169" t="s">
        <v>1206</v>
      </c>
      <c r="D57" s="168">
        <v>9</v>
      </c>
      <c r="E57" s="168">
        <v>40</v>
      </c>
      <c r="F57" s="168">
        <v>43</v>
      </c>
      <c r="G57" s="170"/>
      <c r="H57" s="168">
        <v>0</v>
      </c>
      <c r="I57" s="170" t="s">
        <v>1181</v>
      </c>
      <c r="J57" s="178" t="s">
        <v>1181</v>
      </c>
    </row>
    <row r="58" spans="1:10">
      <c r="A58" s="220" t="str">
        <f>TEXT(captured[[#This Row],[ID]],"0")</f>
        <v>1826929</v>
      </c>
      <c r="B58" s="206">
        <v>1826929</v>
      </c>
      <c r="C58" s="169" t="s">
        <v>1084</v>
      </c>
      <c r="D58" s="168">
        <v>9</v>
      </c>
      <c r="E58" s="168">
        <v>85</v>
      </c>
      <c r="F58" s="168">
        <v>55</v>
      </c>
      <c r="G58" s="168">
        <v>17</v>
      </c>
      <c r="H58" s="168">
        <v>17</v>
      </c>
      <c r="I58" s="168" t="s">
        <v>1045</v>
      </c>
      <c r="J58" s="177">
        <v>34</v>
      </c>
    </row>
    <row r="59" spans="1:10">
      <c r="A59" s="220" t="str">
        <f>TEXT(captured[[#This Row],[ID]],"0")</f>
        <v>2327745</v>
      </c>
      <c r="B59" s="206">
        <v>2327745</v>
      </c>
      <c r="C59" s="169" t="s">
        <v>1110</v>
      </c>
      <c r="D59" s="168">
        <v>17</v>
      </c>
      <c r="E59" s="168">
        <v>100</v>
      </c>
      <c r="F59" s="168">
        <v>68</v>
      </c>
      <c r="G59" s="168">
        <v>22</v>
      </c>
      <c r="H59" s="168">
        <v>22</v>
      </c>
      <c r="I59" s="171" t="s">
        <v>1045</v>
      </c>
      <c r="J59" s="180">
        <v>43</v>
      </c>
    </row>
    <row r="60" spans="1:10">
      <c r="A60" s="220" t="str">
        <f>TEXT(captured[[#This Row],[ID]],"0")</f>
        <v>2324917</v>
      </c>
      <c r="B60" s="206">
        <v>2324917</v>
      </c>
      <c r="C60" s="169" t="s">
        <v>1050</v>
      </c>
      <c r="D60" s="168">
        <v>6</v>
      </c>
      <c r="E60" s="168">
        <v>40</v>
      </c>
      <c r="F60" s="168">
        <v>9</v>
      </c>
      <c r="G60" s="168">
        <v>20</v>
      </c>
      <c r="H60" s="168">
        <v>20</v>
      </c>
      <c r="I60" s="168" t="s">
        <v>1045</v>
      </c>
      <c r="J60" s="177">
        <v>17</v>
      </c>
    </row>
    <row r="61" spans="1:10">
      <c r="A61" s="220" t="str">
        <f>TEXT(captured[[#This Row],[ID]],"0")</f>
        <v>2303789</v>
      </c>
      <c r="B61" s="206">
        <v>2303789</v>
      </c>
      <c r="C61" s="169" t="s">
        <v>1164</v>
      </c>
      <c r="D61" s="168">
        <v>51</v>
      </c>
      <c r="E61" s="168">
        <v>100</v>
      </c>
      <c r="F61" s="168">
        <v>71</v>
      </c>
      <c r="G61" s="168">
        <v>54</v>
      </c>
      <c r="H61" s="168">
        <v>54</v>
      </c>
      <c r="I61" s="168" t="s">
        <v>1127</v>
      </c>
      <c r="J61" s="177">
        <v>63</v>
      </c>
    </row>
    <row r="62" spans="1:10">
      <c r="A62" s="220" t="str">
        <f>TEXT(captured[[#This Row],[ID]],"0")</f>
        <v>2094752</v>
      </c>
      <c r="B62" s="206">
        <v>2094752</v>
      </c>
      <c r="C62" s="169" t="s">
        <v>1133</v>
      </c>
      <c r="D62" s="168">
        <v>23</v>
      </c>
      <c r="E62" s="168">
        <v>100</v>
      </c>
      <c r="F62" s="168">
        <v>64</v>
      </c>
      <c r="G62" s="168">
        <v>38</v>
      </c>
      <c r="H62" s="168">
        <v>38</v>
      </c>
      <c r="I62" s="168" t="s">
        <v>1127</v>
      </c>
      <c r="J62" s="177">
        <v>50</v>
      </c>
    </row>
    <row r="63" spans="1:10">
      <c r="A63" s="220" t="str">
        <f>TEXT(captured[[#This Row],[ID]],"0")</f>
        <v>2130436</v>
      </c>
      <c r="B63" s="206">
        <v>2130436</v>
      </c>
      <c r="C63" s="169" t="s">
        <v>1132</v>
      </c>
      <c r="D63" s="168">
        <v>54</v>
      </c>
      <c r="E63" s="168">
        <v>40</v>
      </c>
      <c r="F63" s="168">
        <v>62</v>
      </c>
      <c r="G63" s="168">
        <v>43</v>
      </c>
      <c r="H63" s="168">
        <v>43</v>
      </c>
      <c r="I63" s="168" t="s">
        <v>1127</v>
      </c>
      <c r="J63" s="177">
        <v>50</v>
      </c>
    </row>
    <row r="64" spans="1:10">
      <c r="A64" s="220" t="str">
        <f>TEXT(captured[[#This Row],[ID]],"0")</f>
        <v>1701547</v>
      </c>
      <c r="B64" s="206">
        <v>1701547</v>
      </c>
      <c r="C64" s="169" t="s">
        <v>1083</v>
      </c>
      <c r="D64" s="168">
        <v>37</v>
      </c>
      <c r="E64" s="168">
        <v>70</v>
      </c>
      <c r="F64" s="168">
        <v>32</v>
      </c>
      <c r="G64" s="168">
        <v>27</v>
      </c>
      <c r="H64" s="168">
        <v>27</v>
      </c>
      <c r="I64" s="168" t="s">
        <v>1045</v>
      </c>
      <c r="J64" s="177">
        <v>34</v>
      </c>
    </row>
    <row r="65" spans="1:10">
      <c r="A65" s="220" t="str">
        <f>TEXT(captured[[#This Row],[ID]],"0")</f>
        <v>2303450</v>
      </c>
      <c r="B65" s="206">
        <v>2303450</v>
      </c>
      <c r="C65" s="169" t="s">
        <v>1205</v>
      </c>
      <c r="D65" s="168">
        <v>34</v>
      </c>
      <c r="E65" s="168">
        <v>10</v>
      </c>
      <c r="F65" s="168">
        <v>43</v>
      </c>
      <c r="G65" s="170"/>
      <c r="H65" s="168">
        <v>0</v>
      </c>
      <c r="I65" s="170" t="s">
        <v>1181</v>
      </c>
      <c r="J65" s="178" t="s">
        <v>1181</v>
      </c>
    </row>
    <row r="66" spans="1:10">
      <c r="A66" s="220" t="str">
        <f>TEXT(captured[[#This Row],[ID]],"0")</f>
        <v>2306815</v>
      </c>
      <c r="B66" s="206">
        <v>2306815</v>
      </c>
      <c r="C66" s="169" t="s">
        <v>1122</v>
      </c>
      <c r="D66" s="168">
        <v>0</v>
      </c>
      <c r="E66" s="168">
        <v>85</v>
      </c>
      <c r="F66" s="168">
        <v>78</v>
      </c>
      <c r="G66" s="168">
        <v>20</v>
      </c>
      <c r="H66" s="168">
        <v>20</v>
      </c>
      <c r="I66" s="171" t="s">
        <v>1045</v>
      </c>
      <c r="J66" s="180">
        <v>50</v>
      </c>
    </row>
    <row r="67" spans="1:10">
      <c r="A67" s="220" t="str">
        <f>TEXT(captured[[#This Row],[ID]],"0")</f>
        <v>2168179</v>
      </c>
      <c r="B67" s="206">
        <v>2168179</v>
      </c>
      <c r="C67" s="169" t="s">
        <v>1145</v>
      </c>
      <c r="D67" s="168">
        <v>49</v>
      </c>
      <c r="E67" s="168">
        <v>40</v>
      </c>
      <c r="F67" s="168">
        <v>88</v>
      </c>
      <c r="G67" s="168">
        <v>40</v>
      </c>
      <c r="H67" s="168">
        <v>40</v>
      </c>
      <c r="I67" s="168" t="s">
        <v>1127</v>
      </c>
      <c r="J67" s="177">
        <v>56</v>
      </c>
    </row>
    <row r="68" spans="1:10">
      <c r="A68" s="220" t="str">
        <f>TEXT(captured[[#This Row],[ID]],"0")</f>
        <v>2118894</v>
      </c>
      <c r="B68" s="206">
        <v>2118894</v>
      </c>
      <c r="C68" s="169" t="s">
        <v>1155</v>
      </c>
      <c r="D68" s="168">
        <v>29</v>
      </c>
      <c r="E68" s="168">
        <v>100</v>
      </c>
      <c r="F68" s="168">
        <v>80</v>
      </c>
      <c r="G68" s="168">
        <v>48</v>
      </c>
      <c r="H68" s="168">
        <v>48</v>
      </c>
      <c r="I68" s="168" t="s">
        <v>1127</v>
      </c>
      <c r="J68" s="177">
        <v>60</v>
      </c>
    </row>
    <row r="69" spans="1:10">
      <c r="A69" s="220" t="str">
        <f>TEXT(captured[[#This Row],[ID]],"0")</f>
        <v>2199951</v>
      </c>
      <c r="B69" s="206">
        <v>2199951</v>
      </c>
      <c r="C69" s="169" t="s">
        <v>1204</v>
      </c>
      <c r="D69" s="168">
        <v>34</v>
      </c>
      <c r="E69" s="168">
        <v>70</v>
      </c>
      <c r="F69" s="168">
        <v>54</v>
      </c>
      <c r="G69" s="170"/>
      <c r="H69" s="168">
        <v>0</v>
      </c>
      <c r="I69" s="170" t="s">
        <v>1181</v>
      </c>
      <c r="J69" s="178" t="s">
        <v>1181</v>
      </c>
    </row>
    <row r="70" spans="1:10">
      <c r="A70" s="220" t="str">
        <f>TEXT(captured[[#This Row],[ID]],"0")</f>
        <v>1278510</v>
      </c>
      <c r="B70" s="206">
        <v>1278510</v>
      </c>
      <c r="C70" s="169" t="s">
        <v>1100</v>
      </c>
      <c r="D70" s="168">
        <v>17</v>
      </c>
      <c r="E70" s="168">
        <v>40</v>
      </c>
      <c r="F70" s="168">
        <v>58</v>
      </c>
      <c r="G70" s="168">
        <v>34</v>
      </c>
      <c r="H70" s="168">
        <v>34</v>
      </c>
      <c r="I70" s="171" t="s">
        <v>1045</v>
      </c>
      <c r="J70" s="180">
        <v>39</v>
      </c>
    </row>
    <row r="71" spans="1:10">
      <c r="A71" s="220" t="str">
        <f>TEXT(captured[[#This Row],[ID]],"0")</f>
        <v>1610736</v>
      </c>
      <c r="B71" s="206">
        <v>1610736</v>
      </c>
      <c r="C71" s="169" t="s">
        <v>1167</v>
      </c>
      <c r="D71" s="168">
        <v>77</v>
      </c>
      <c r="E71" s="168">
        <v>100</v>
      </c>
      <c r="F71" s="168">
        <v>59</v>
      </c>
      <c r="G71" s="168">
        <v>54</v>
      </c>
      <c r="H71" s="168">
        <v>54</v>
      </c>
      <c r="I71" s="168" t="s">
        <v>1127</v>
      </c>
      <c r="J71" s="177">
        <v>64</v>
      </c>
    </row>
    <row r="72" spans="1:10">
      <c r="A72" s="220" t="str">
        <f>TEXT(captured[[#This Row],[ID]],"0")</f>
        <v>2090845</v>
      </c>
      <c r="B72" s="206">
        <v>2090845</v>
      </c>
      <c r="C72" s="169" t="s">
        <v>1060</v>
      </c>
      <c r="D72" s="168">
        <v>3</v>
      </c>
      <c r="E72" s="168">
        <v>70</v>
      </c>
      <c r="F72" s="168">
        <v>38</v>
      </c>
      <c r="G72" s="168">
        <v>4</v>
      </c>
      <c r="H72" s="168">
        <v>4</v>
      </c>
      <c r="I72" s="168" t="s">
        <v>1045</v>
      </c>
      <c r="J72" s="177">
        <v>21</v>
      </c>
    </row>
    <row r="73" spans="1:10">
      <c r="A73" s="220" t="str">
        <f>TEXT(captured[[#This Row],[ID]],"0")</f>
        <v>1660819</v>
      </c>
      <c r="B73" s="206">
        <v>1660819</v>
      </c>
      <c r="C73" s="169" t="s">
        <v>1203</v>
      </c>
      <c r="D73" s="168">
        <v>37</v>
      </c>
      <c r="E73" s="168">
        <v>55</v>
      </c>
      <c r="F73" s="168">
        <v>19</v>
      </c>
      <c r="G73" s="170"/>
      <c r="H73" s="168">
        <v>0</v>
      </c>
      <c r="I73" s="170" t="s">
        <v>1181</v>
      </c>
      <c r="J73" s="178" t="s">
        <v>1181</v>
      </c>
    </row>
    <row r="74" spans="1:10">
      <c r="A74" s="220" t="str">
        <f>TEXT(captured[[#This Row],[ID]],"0")</f>
        <v>2366542</v>
      </c>
      <c r="B74" s="206">
        <v>2366542</v>
      </c>
      <c r="C74" s="169" t="s">
        <v>1140</v>
      </c>
      <c r="D74" s="168">
        <v>34</v>
      </c>
      <c r="E74" s="168">
        <v>70</v>
      </c>
      <c r="F74" s="168">
        <v>67</v>
      </c>
      <c r="G74" s="168">
        <v>48</v>
      </c>
      <c r="H74" s="168">
        <v>48</v>
      </c>
      <c r="I74" s="168" t="s">
        <v>1127</v>
      </c>
      <c r="J74" s="177">
        <v>54</v>
      </c>
    </row>
    <row r="75" spans="1:10">
      <c r="A75" s="220" t="str">
        <f>TEXT(captured[[#This Row],[ID]],"0")</f>
        <v>1924564</v>
      </c>
      <c r="B75" s="206">
        <v>1924564</v>
      </c>
      <c r="C75" s="169" t="s">
        <v>1168</v>
      </c>
      <c r="D75" s="168">
        <v>66</v>
      </c>
      <c r="E75" s="168">
        <v>100</v>
      </c>
      <c r="F75" s="168">
        <v>66</v>
      </c>
      <c r="G75" s="168">
        <v>58</v>
      </c>
      <c r="H75" s="168">
        <v>58</v>
      </c>
      <c r="I75" s="168" t="s">
        <v>1127</v>
      </c>
      <c r="J75" s="177">
        <v>66</v>
      </c>
    </row>
    <row r="76" spans="1:10">
      <c r="A76" s="220" t="str">
        <f>TEXT(captured[[#This Row],[ID]],"0")</f>
        <v>2129200</v>
      </c>
      <c r="B76" s="206">
        <v>2129200</v>
      </c>
      <c r="C76" s="169" t="s">
        <v>1137</v>
      </c>
      <c r="D76" s="168">
        <v>40</v>
      </c>
      <c r="E76" s="168">
        <v>40</v>
      </c>
      <c r="F76" s="168">
        <v>86</v>
      </c>
      <c r="G76" s="168">
        <v>37</v>
      </c>
      <c r="H76" s="168">
        <v>37</v>
      </c>
      <c r="I76" s="168" t="s">
        <v>1127</v>
      </c>
      <c r="J76" s="177">
        <v>52</v>
      </c>
    </row>
    <row r="77" spans="1:10">
      <c r="A77" s="220" t="str">
        <f>TEXT(captured[[#This Row],[ID]],"0")</f>
        <v>2173105</v>
      </c>
      <c r="B77" s="206">
        <v>2173105</v>
      </c>
      <c r="C77" s="169" t="s">
        <v>1131</v>
      </c>
      <c r="D77" s="168">
        <v>34</v>
      </c>
      <c r="E77" s="168">
        <v>85</v>
      </c>
      <c r="F77" s="168">
        <v>63</v>
      </c>
      <c r="G77" s="168">
        <v>39</v>
      </c>
      <c r="H77" s="168">
        <v>39</v>
      </c>
      <c r="I77" s="168" t="s">
        <v>1127</v>
      </c>
      <c r="J77" s="177">
        <v>50</v>
      </c>
    </row>
    <row r="78" spans="1:10">
      <c r="A78" s="220" t="str">
        <f>TEXT(captured[[#This Row],[ID]],"0")</f>
        <v>2231460</v>
      </c>
      <c r="B78" s="206">
        <v>2231460</v>
      </c>
      <c r="C78" s="169" t="s">
        <v>1059</v>
      </c>
      <c r="D78" s="168">
        <v>20</v>
      </c>
      <c r="E78" s="168">
        <v>10</v>
      </c>
      <c r="F78" s="168">
        <v>38</v>
      </c>
      <c r="G78" s="168">
        <v>13</v>
      </c>
      <c r="H78" s="168">
        <v>13</v>
      </c>
      <c r="I78" s="168" t="s">
        <v>1056</v>
      </c>
      <c r="J78" s="177">
        <v>21</v>
      </c>
    </row>
    <row r="79" spans="1:10">
      <c r="A79" s="220" t="str">
        <f>TEXT(captured[[#This Row],[ID]],"0")</f>
        <v>1830380</v>
      </c>
      <c r="B79" s="206">
        <v>1830380</v>
      </c>
      <c r="C79" s="169" t="s">
        <v>1139</v>
      </c>
      <c r="D79" s="168">
        <v>43</v>
      </c>
      <c r="E79" s="168">
        <v>55</v>
      </c>
      <c r="F79" s="168">
        <v>69</v>
      </c>
      <c r="G79" s="168">
        <v>47</v>
      </c>
      <c r="H79" s="168">
        <v>47</v>
      </c>
      <c r="I79" s="168" t="s">
        <v>1127</v>
      </c>
      <c r="J79" s="177">
        <v>54</v>
      </c>
    </row>
    <row r="80" spans="1:10">
      <c r="A80" s="220" t="str">
        <f>TEXT(captured[[#This Row],[ID]],"0")</f>
        <v>1877695</v>
      </c>
      <c r="B80" s="206">
        <v>1877695</v>
      </c>
      <c r="C80" s="169" t="s">
        <v>1075</v>
      </c>
      <c r="D80" s="168">
        <v>51</v>
      </c>
      <c r="E80" s="168">
        <v>70</v>
      </c>
      <c r="F80" s="168">
        <v>8</v>
      </c>
      <c r="G80" s="168">
        <v>31</v>
      </c>
      <c r="H80" s="168">
        <v>31</v>
      </c>
      <c r="I80" s="168" t="s">
        <v>1045</v>
      </c>
      <c r="J80" s="177">
        <v>31</v>
      </c>
    </row>
    <row r="81" spans="1:10">
      <c r="A81" s="220" t="str">
        <f>TEXT(captured[[#This Row],[ID]],"0")</f>
        <v>2323162</v>
      </c>
      <c r="B81" s="206">
        <v>2323162</v>
      </c>
      <c r="C81" s="169" t="s">
        <v>1116</v>
      </c>
      <c r="D81" s="168">
        <v>63</v>
      </c>
      <c r="E81" s="168">
        <v>55</v>
      </c>
      <c r="F81" s="168">
        <v>56</v>
      </c>
      <c r="G81" s="168">
        <v>29</v>
      </c>
      <c r="H81" s="168">
        <v>29</v>
      </c>
      <c r="I81" s="171" t="s">
        <v>1045</v>
      </c>
      <c r="J81" s="180">
        <v>45</v>
      </c>
    </row>
    <row r="82" spans="1:10">
      <c r="A82" s="220" t="str">
        <f>TEXT(captured[[#This Row],[ID]],"0")</f>
        <v>2104199</v>
      </c>
      <c r="B82" s="206">
        <v>2104199</v>
      </c>
      <c r="C82" s="169" t="s">
        <v>1099</v>
      </c>
      <c r="D82" s="168">
        <v>40</v>
      </c>
      <c r="E82" s="168">
        <v>70</v>
      </c>
      <c r="F82" s="168">
        <v>51</v>
      </c>
      <c r="G82" s="168">
        <v>24</v>
      </c>
      <c r="H82" s="168">
        <v>24</v>
      </c>
      <c r="I82" s="171" t="s">
        <v>1045</v>
      </c>
      <c r="J82" s="180">
        <v>39</v>
      </c>
    </row>
    <row r="83" spans="1:10">
      <c r="A83" s="220" t="str">
        <f>TEXT(captured[[#This Row],[ID]],"0")</f>
        <v>2335476</v>
      </c>
      <c r="B83" s="206">
        <v>2335476</v>
      </c>
      <c r="C83" s="169" t="s">
        <v>1166</v>
      </c>
      <c r="D83" s="168">
        <v>0</v>
      </c>
      <c r="E83" s="168">
        <v>55</v>
      </c>
      <c r="F83" s="168">
        <v>71</v>
      </c>
      <c r="G83" s="168">
        <v>61</v>
      </c>
      <c r="H83" s="168">
        <v>61</v>
      </c>
      <c r="I83" s="168" t="s">
        <v>1127</v>
      </c>
      <c r="J83" s="177">
        <v>64</v>
      </c>
    </row>
    <row r="84" spans="1:10">
      <c r="A84" s="220" t="str">
        <f>TEXT(captured[[#This Row],[ID]],"0")</f>
        <v>2095374</v>
      </c>
      <c r="B84" s="206">
        <v>2095374</v>
      </c>
      <c r="C84" s="169" t="s">
        <v>1170</v>
      </c>
      <c r="D84" s="168">
        <v>54</v>
      </c>
      <c r="E84" s="168">
        <v>90</v>
      </c>
      <c r="F84" s="168">
        <v>71</v>
      </c>
      <c r="G84" s="168">
        <v>66</v>
      </c>
      <c r="H84" s="168">
        <v>66</v>
      </c>
      <c r="I84" s="168" t="s">
        <v>1127</v>
      </c>
      <c r="J84" s="177">
        <v>68</v>
      </c>
    </row>
    <row r="85" spans="1:10">
      <c r="A85" s="220" t="str">
        <f>TEXT(captured[[#This Row],[ID]],"0")</f>
        <v>2050175</v>
      </c>
      <c r="B85" s="206">
        <v>2050175</v>
      </c>
      <c r="C85" s="169" t="s">
        <v>1121</v>
      </c>
      <c r="D85" s="168">
        <v>37</v>
      </c>
      <c r="E85" s="168">
        <v>100</v>
      </c>
      <c r="F85" s="168">
        <v>77</v>
      </c>
      <c r="G85" s="168">
        <v>20</v>
      </c>
      <c r="H85" s="168">
        <v>20</v>
      </c>
      <c r="I85" s="171" t="s">
        <v>1045</v>
      </c>
      <c r="J85" s="177">
        <v>50</v>
      </c>
    </row>
    <row r="86" spans="1:10">
      <c r="A86" s="220" t="str">
        <f>TEXT(captured[[#This Row],[ID]],"0")</f>
        <v>2138347</v>
      </c>
      <c r="B86" s="206">
        <v>2138347</v>
      </c>
      <c r="C86" s="169" t="s">
        <v>1175</v>
      </c>
      <c r="D86" s="168">
        <v>71</v>
      </c>
      <c r="E86" s="168">
        <v>100</v>
      </c>
      <c r="F86" s="168">
        <v>81</v>
      </c>
      <c r="G86" s="168">
        <v>55</v>
      </c>
      <c r="H86" s="168">
        <v>55</v>
      </c>
      <c r="I86" s="168" t="s">
        <v>1127</v>
      </c>
      <c r="J86" s="177">
        <v>70</v>
      </c>
    </row>
    <row r="87" spans="1:10">
      <c r="A87" s="220" t="str">
        <f>TEXT(captured[[#This Row],[ID]],"0")</f>
        <v>2344104</v>
      </c>
      <c r="B87" s="206">
        <v>2344104</v>
      </c>
      <c r="C87" s="169" t="s">
        <v>1149</v>
      </c>
      <c r="D87" s="168">
        <v>66</v>
      </c>
      <c r="E87" s="168">
        <v>85</v>
      </c>
      <c r="F87" s="168">
        <v>79</v>
      </c>
      <c r="G87" s="168">
        <v>36</v>
      </c>
      <c r="H87" s="168">
        <v>36</v>
      </c>
      <c r="I87" s="168" t="s">
        <v>1127</v>
      </c>
      <c r="J87" s="177">
        <v>58</v>
      </c>
    </row>
    <row r="88" spans="1:10">
      <c r="A88" s="220" t="str">
        <f>TEXT(captured[[#This Row],[ID]],"0")</f>
        <v>2309262</v>
      </c>
      <c r="B88" s="206">
        <v>2309262</v>
      </c>
      <c r="C88" s="169" t="s">
        <v>1202</v>
      </c>
      <c r="D88" s="168">
        <v>0</v>
      </c>
      <c r="E88" s="168">
        <v>45</v>
      </c>
      <c r="F88" s="168">
        <v>23</v>
      </c>
      <c r="G88" s="170"/>
      <c r="H88" s="168">
        <v>0</v>
      </c>
      <c r="I88" s="170" t="s">
        <v>1181</v>
      </c>
      <c r="J88" s="178" t="s">
        <v>1181</v>
      </c>
    </row>
    <row r="89" spans="1:10">
      <c r="A89" s="220" t="str">
        <f>TEXT(captured[[#This Row],[ID]],"0")</f>
        <v>1876127</v>
      </c>
      <c r="B89" s="206">
        <v>1876127</v>
      </c>
      <c r="C89" s="169" t="s">
        <v>1169</v>
      </c>
      <c r="D89" s="168">
        <v>66</v>
      </c>
      <c r="E89" s="168">
        <v>80</v>
      </c>
      <c r="F89" s="168">
        <v>66</v>
      </c>
      <c r="G89" s="168">
        <v>66</v>
      </c>
      <c r="H89" s="168">
        <v>66</v>
      </c>
      <c r="I89" s="168" t="s">
        <v>1127</v>
      </c>
      <c r="J89" s="177">
        <v>67</v>
      </c>
    </row>
    <row r="90" spans="1:10">
      <c r="A90" s="220" t="str">
        <f>TEXT(captured[[#This Row],[ID]],"0")</f>
        <v>2194051</v>
      </c>
      <c r="B90" s="206">
        <v>2194051</v>
      </c>
      <c r="C90" s="169" t="s">
        <v>1154</v>
      </c>
      <c r="D90" s="168">
        <v>31</v>
      </c>
      <c r="E90" s="168">
        <v>80</v>
      </c>
      <c r="F90" s="168">
        <v>77</v>
      </c>
      <c r="G90" s="168">
        <v>51</v>
      </c>
      <c r="H90" s="168">
        <v>51</v>
      </c>
      <c r="I90" s="168" t="s">
        <v>1127</v>
      </c>
      <c r="J90" s="177">
        <v>59</v>
      </c>
    </row>
    <row r="91" spans="1:10">
      <c r="A91" s="220" t="str">
        <f>TEXT(captured[[#This Row],[ID]],"0")</f>
        <v>2355933</v>
      </c>
      <c r="B91" s="206">
        <v>2355933</v>
      </c>
      <c r="C91" s="169" t="s">
        <v>1130</v>
      </c>
      <c r="D91" s="168">
        <v>34</v>
      </c>
      <c r="E91" s="168">
        <v>100</v>
      </c>
      <c r="F91" s="168">
        <v>62</v>
      </c>
      <c r="G91" s="168">
        <v>37</v>
      </c>
      <c r="H91" s="168">
        <v>37</v>
      </c>
      <c r="I91" s="168" t="s">
        <v>1127</v>
      </c>
      <c r="J91" s="177">
        <v>50</v>
      </c>
    </row>
    <row r="92" spans="1:10">
      <c r="A92" s="220" t="str">
        <f>TEXT(captured[[#This Row],[ID]],"0")</f>
        <v>2143227</v>
      </c>
      <c r="B92" s="206">
        <v>2143227</v>
      </c>
      <c r="C92" s="169" t="s">
        <v>1146</v>
      </c>
      <c r="D92" s="168">
        <v>57</v>
      </c>
      <c r="E92" s="168">
        <v>80</v>
      </c>
      <c r="F92" s="168">
        <v>73</v>
      </c>
      <c r="G92" s="168">
        <v>42</v>
      </c>
      <c r="H92" s="168">
        <v>42</v>
      </c>
      <c r="I92" s="168" t="s">
        <v>1127</v>
      </c>
      <c r="J92" s="177">
        <v>57</v>
      </c>
    </row>
    <row r="93" spans="1:10">
      <c r="A93" s="220" t="str">
        <f>TEXT(captured[[#This Row],[ID]],"0")</f>
        <v>1876297</v>
      </c>
      <c r="B93" s="206">
        <v>1876297</v>
      </c>
      <c r="C93" s="169" t="s">
        <v>1118</v>
      </c>
      <c r="D93" s="168">
        <v>0</v>
      </c>
      <c r="E93" s="168">
        <v>85</v>
      </c>
      <c r="F93" s="168">
        <v>44</v>
      </c>
      <c r="G93" s="168">
        <v>38</v>
      </c>
      <c r="H93" s="168">
        <v>38</v>
      </c>
      <c r="I93" s="168" t="s">
        <v>1056</v>
      </c>
      <c r="J93" s="177">
        <v>46</v>
      </c>
    </row>
    <row r="94" spans="1:10">
      <c r="A94" s="220" t="str">
        <f>TEXT(captured[[#This Row],[ID]],"0")</f>
        <v>2344063</v>
      </c>
      <c r="B94" s="206">
        <v>2344063</v>
      </c>
      <c r="C94" s="169" t="s">
        <v>1113</v>
      </c>
      <c r="D94" s="168">
        <v>31</v>
      </c>
      <c r="E94" s="168">
        <v>100</v>
      </c>
      <c r="F94" s="168">
        <v>71</v>
      </c>
      <c r="G94" s="168">
        <v>17</v>
      </c>
      <c r="H94" s="168">
        <v>17</v>
      </c>
      <c r="I94" s="171" t="s">
        <v>1045</v>
      </c>
      <c r="J94" s="180">
        <v>44</v>
      </c>
    </row>
    <row r="95" spans="1:10">
      <c r="A95" s="220" t="str">
        <f>TEXT(captured[[#This Row],[ID]],"0")</f>
        <v>2331132</v>
      </c>
      <c r="B95" s="206">
        <v>2331132</v>
      </c>
      <c r="C95" s="169" t="s">
        <v>1058</v>
      </c>
      <c r="D95" s="168">
        <v>9</v>
      </c>
      <c r="E95" s="168">
        <v>40</v>
      </c>
      <c r="F95" s="168">
        <v>40</v>
      </c>
      <c r="G95" s="168">
        <v>7</v>
      </c>
      <c r="H95" s="168">
        <v>7</v>
      </c>
      <c r="I95" s="168" t="s">
        <v>1045</v>
      </c>
      <c r="J95" s="177">
        <v>21</v>
      </c>
    </row>
    <row r="96" spans="1:10">
      <c r="A96" s="220" t="str">
        <f>TEXT(captured[[#This Row],[ID]],"0")</f>
        <v>2330797</v>
      </c>
      <c r="B96" s="206">
        <v>2330797</v>
      </c>
      <c r="C96" s="169" t="s">
        <v>1165</v>
      </c>
      <c r="D96" s="168">
        <v>69</v>
      </c>
      <c r="E96" s="168">
        <v>85</v>
      </c>
      <c r="F96" s="168">
        <v>80</v>
      </c>
      <c r="G96" s="168">
        <v>46</v>
      </c>
      <c r="H96" s="168">
        <v>46</v>
      </c>
      <c r="I96" s="168" t="s">
        <v>1127</v>
      </c>
      <c r="J96" s="177">
        <v>64</v>
      </c>
    </row>
    <row r="97" spans="1:10">
      <c r="A97" s="220" t="str">
        <f>TEXT(captured[[#This Row],[ID]],"0")</f>
        <v>2094978</v>
      </c>
      <c r="B97" s="206">
        <v>2094978</v>
      </c>
      <c r="C97" s="169" t="s">
        <v>1144</v>
      </c>
      <c r="D97" s="168">
        <v>69</v>
      </c>
      <c r="E97" s="168">
        <v>85</v>
      </c>
      <c r="F97" s="168">
        <v>53</v>
      </c>
      <c r="G97" s="168">
        <v>48</v>
      </c>
      <c r="H97" s="168">
        <v>48</v>
      </c>
      <c r="I97" s="168" t="s">
        <v>1127</v>
      </c>
      <c r="J97" s="177">
        <v>56</v>
      </c>
    </row>
    <row r="98" spans="1:10">
      <c r="A98" s="220" t="str">
        <f>TEXT(captured[[#This Row],[ID]],"0")</f>
        <v>1832991</v>
      </c>
      <c r="B98" s="206">
        <v>1832991</v>
      </c>
      <c r="C98" s="169" t="s">
        <v>1112</v>
      </c>
      <c r="D98" s="168">
        <v>31</v>
      </c>
      <c r="E98" s="168">
        <v>70</v>
      </c>
      <c r="F98" s="168">
        <v>66</v>
      </c>
      <c r="G98" s="168">
        <v>27</v>
      </c>
      <c r="H98" s="168">
        <v>27</v>
      </c>
      <c r="I98" s="171" t="s">
        <v>1045</v>
      </c>
      <c r="J98" s="180">
        <v>44</v>
      </c>
    </row>
    <row r="99" spans="1:10">
      <c r="A99" s="220" t="str">
        <f>TEXT(captured[[#This Row],[ID]],"0")</f>
        <v>1146648</v>
      </c>
      <c r="B99" s="206">
        <v>1146648</v>
      </c>
      <c r="C99" s="169" t="s">
        <v>1163</v>
      </c>
      <c r="D99" s="168">
        <v>54</v>
      </c>
      <c r="E99" s="168">
        <v>100</v>
      </c>
      <c r="F99" s="168">
        <v>59</v>
      </c>
      <c r="G99" s="168">
        <v>60</v>
      </c>
      <c r="H99" s="168">
        <v>60</v>
      </c>
      <c r="I99" s="168" t="s">
        <v>1127</v>
      </c>
      <c r="J99" s="177">
        <v>63</v>
      </c>
    </row>
    <row r="100" spans="1:10">
      <c r="A100" s="220" t="str">
        <f>TEXT(captured[[#This Row],[ID]],"0")</f>
        <v>2367017</v>
      </c>
      <c r="B100" s="206">
        <v>2367017</v>
      </c>
      <c r="C100" s="169" t="s">
        <v>1176</v>
      </c>
      <c r="D100" s="168">
        <v>51</v>
      </c>
      <c r="E100" s="168">
        <v>70</v>
      </c>
      <c r="F100" s="168">
        <v>79</v>
      </c>
      <c r="G100" s="168">
        <v>74</v>
      </c>
      <c r="H100" s="168">
        <v>74</v>
      </c>
      <c r="I100" s="168" t="s">
        <v>1127</v>
      </c>
      <c r="J100" s="177">
        <v>72</v>
      </c>
    </row>
    <row r="101" spans="1:10">
      <c r="A101" s="220" t="str">
        <f>TEXT(captured[[#This Row],[ID]],"0")</f>
        <v>2209317</v>
      </c>
      <c r="B101" s="206">
        <v>2209317</v>
      </c>
      <c r="C101" s="169" t="s">
        <v>1153</v>
      </c>
      <c r="D101" s="168">
        <v>37</v>
      </c>
      <c r="E101" s="168">
        <v>65</v>
      </c>
      <c r="F101" s="168">
        <v>75</v>
      </c>
      <c r="G101" s="168">
        <v>54</v>
      </c>
      <c r="H101" s="168">
        <v>54</v>
      </c>
      <c r="I101" s="168" t="s">
        <v>1127</v>
      </c>
      <c r="J101" s="177">
        <v>59</v>
      </c>
    </row>
    <row r="102" spans="1:10">
      <c r="A102" s="220" t="str">
        <f>TEXT(captured[[#This Row],[ID]],"0")</f>
        <v>2351913</v>
      </c>
      <c r="B102" s="206">
        <v>2351913</v>
      </c>
      <c r="C102" s="169" t="s">
        <v>1129</v>
      </c>
      <c r="D102" s="168">
        <v>34</v>
      </c>
      <c r="E102" s="168">
        <v>50</v>
      </c>
      <c r="F102" s="168">
        <v>49</v>
      </c>
      <c r="G102" s="168">
        <v>55</v>
      </c>
      <c r="H102" s="168">
        <v>55</v>
      </c>
      <c r="I102" s="168" t="s">
        <v>1127</v>
      </c>
      <c r="J102" s="177">
        <v>50</v>
      </c>
    </row>
    <row r="103" spans="1:10">
      <c r="A103" s="220" t="str">
        <f>TEXT(captured[[#This Row],[ID]],"0")</f>
        <v>2127000</v>
      </c>
      <c r="B103" s="206">
        <v>2127000</v>
      </c>
      <c r="C103" s="169" t="s">
        <v>1109</v>
      </c>
      <c r="D103" s="168">
        <v>26</v>
      </c>
      <c r="E103" s="168">
        <v>85</v>
      </c>
      <c r="F103" s="168">
        <v>61</v>
      </c>
      <c r="G103" s="168">
        <v>28</v>
      </c>
      <c r="H103" s="168">
        <v>28</v>
      </c>
      <c r="I103" s="171" t="s">
        <v>1045</v>
      </c>
      <c r="J103" s="180">
        <v>43</v>
      </c>
    </row>
    <row r="104" spans="1:10">
      <c r="A104" s="220" t="str">
        <f>TEXT(captured[[#This Row],[ID]],"0")</f>
        <v>2105080</v>
      </c>
      <c r="B104" s="206">
        <v>2105080</v>
      </c>
      <c r="C104" s="169" t="s">
        <v>1053</v>
      </c>
      <c r="D104" s="168">
        <v>17</v>
      </c>
      <c r="E104" s="168">
        <v>35</v>
      </c>
      <c r="F104" s="168">
        <v>20</v>
      </c>
      <c r="G104" s="168">
        <v>16</v>
      </c>
      <c r="H104" s="168">
        <v>16</v>
      </c>
      <c r="I104" s="168" t="s">
        <v>1045</v>
      </c>
      <c r="J104" s="177">
        <v>19</v>
      </c>
    </row>
    <row r="105" spans="1:10">
      <c r="A105" s="220" t="str">
        <f>TEXT(captured[[#This Row],[ID]],"0")</f>
        <v>2095396</v>
      </c>
      <c r="B105" s="206">
        <v>2095396</v>
      </c>
      <c r="C105" s="169" t="s">
        <v>1064</v>
      </c>
      <c r="D105" s="168">
        <v>20</v>
      </c>
      <c r="E105" s="168">
        <v>65</v>
      </c>
      <c r="F105" s="168">
        <v>7</v>
      </c>
      <c r="G105" s="168">
        <v>26</v>
      </c>
      <c r="H105" s="168">
        <v>26</v>
      </c>
      <c r="I105" s="168" t="s">
        <v>1045</v>
      </c>
      <c r="J105" s="177">
        <v>23</v>
      </c>
    </row>
    <row r="106" spans="1:10">
      <c r="A106" s="220" t="str">
        <f>TEXT(captured[[#This Row],[ID]],"0")</f>
        <v>2242940</v>
      </c>
      <c r="B106" s="206">
        <v>2242940</v>
      </c>
      <c r="C106" s="169" t="s">
        <v>1063</v>
      </c>
      <c r="D106" s="168">
        <v>9</v>
      </c>
      <c r="E106" s="168">
        <v>85</v>
      </c>
      <c r="F106" s="168">
        <v>23</v>
      </c>
      <c r="G106" s="168">
        <v>14</v>
      </c>
      <c r="H106" s="168">
        <v>14</v>
      </c>
      <c r="I106" s="168" t="s">
        <v>1045</v>
      </c>
      <c r="J106" s="177">
        <v>23</v>
      </c>
    </row>
    <row r="107" spans="1:10">
      <c r="A107" s="220" t="str">
        <f>TEXT(captured[[#This Row],[ID]],"0")</f>
        <v>2172968</v>
      </c>
      <c r="B107" s="206">
        <v>2172968</v>
      </c>
      <c r="C107" s="169" t="s">
        <v>1106</v>
      </c>
      <c r="D107" s="168">
        <v>40</v>
      </c>
      <c r="E107" s="168">
        <v>40</v>
      </c>
      <c r="F107" s="168">
        <v>61</v>
      </c>
      <c r="G107" s="168">
        <v>29</v>
      </c>
      <c r="H107" s="168">
        <v>29</v>
      </c>
      <c r="I107" s="171" t="s">
        <v>1045</v>
      </c>
      <c r="J107" s="180">
        <v>41</v>
      </c>
    </row>
    <row r="108" spans="1:10">
      <c r="A108" s="220" t="str">
        <f>TEXT(captured[[#This Row],[ID]],"0")</f>
        <v>2117841</v>
      </c>
      <c r="B108" s="206">
        <v>2117841</v>
      </c>
      <c r="C108" s="169" t="s">
        <v>1087</v>
      </c>
      <c r="D108" s="168">
        <v>29</v>
      </c>
      <c r="E108" s="168">
        <v>100</v>
      </c>
      <c r="F108" s="168">
        <v>39</v>
      </c>
      <c r="G108" s="168">
        <v>20</v>
      </c>
      <c r="H108" s="168">
        <v>20</v>
      </c>
      <c r="I108" s="168" t="s">
        <v>1045</v>
      </c>
      <c r="J108" s="177">
        <v>35</v>
      </c>
    </row>
    <row r="109" spans="1:10">
      <c r="A109" s="220" t="str">
        <f>TEXT(captured[[#This Row],[ID]],"0")</f>
        <v>2341547</v>
      </c>
      <c r="B109" s="206">
        <v>2341547</v>
      </c>
      <c r="C109" s="169" t="s">
        <v>1126</v>
      </c>
      <c r="D109" s="168">
        <v>54</v>
      </c>
      <c r="E109" s="168">
        <v>70</v>
      </c>
      <c r="F109" s="168">
        <v>54</v>
      </c>
      <c r="G109" s="168">
        <v>40</v>
      </c>
      <c r="H109" s="168">
        <v>40</v>
      </c>
      <c r="I109" s="168" t="s">
        <v>1127</v>
      </c>
      <c r="J109" s="177">
        <v>50</v>
      </c>
    </row>
    <row r="110" spans="1:10">
      <c r="A110" s="220" t="str">
        <f>TEXT(captured[[#This Row],[ID]],"0")</f>
        <v>1744150</v>
      </c>
      <c r="B110" s="206">
        <v>1744150</v>
      </c>
      <c r="C110" s="169" t="s">
        <v>1201</v>
      </c>
      <c r="D110" s="168">
        <v>14</v>
      </c>
      <c r="E110" s="168">
        <v>70</v>
      </c>
      <c r="F110" s="168">
        <v>41</v>
      </c>
      <c r="G110" s="170"/>
      <c r="H110" s="168">
        <v>0</v>
      </c>
      <c r="I110" s="170" t="s">
        <v>1181</v>
      </c>
      <c r="J110" s="178" t="s">
        <v>1181</v>
      </c>
    </row>
    <row r="111" spans="1:10">
      <c r="A111" s="220" t="str">
        <f>TEXT(captured[[#This Row],[ID]],"0")</f>
        <v>1919247</v>
      </c>
      <c r="B111" s="206">
        <v>1919247</v>
      </c>
      <c r="C111" s="169" t="s">
        <v>1125</v>
      </c>
      <c r="D111" s="168">
        <v>31</v>
      </c>
      <c r="E111" s="168">
        <v>100</v>
      </c>
      <c r="F111" s="168">
        <v>68</v>
      </c>
      <c r="G111" s="168">
        <v>32</v>
      </c>
      <c r="H111" s="168">
        <v>32</v>
      </c>
      <c r="I111" s="171" t="s">
        <v>1045</v>
      </c>
      <c r="J111" s="180">
        <v>50</v>
      </c>
    </row>
    <row r="112" spans="1:10">
      <c r="A112" s="220" t="str">
        <f>TEXT(captured[[#This Row],[ID]],"0")</f>
        <v>1834022</v>
      </c>
      <c r="B112" s="206">
        <v>1834022</v>
      </c>
      <c r="C112" s="169" t="s">
        <v>1111</v>
      </c>
      <c r="D112" s="168">
        <v>34</v>
      </c>
      <c r="E112" s="168">
        <v>70</v>
      </c>
      <c r="F112" s="168">
        <v>44</v>
      </c>
      <c r="G112" s="168">
        <v>41</v>
      </c>
      <c r="H112" s="168">
        <v>41</v>
      </c>
      <c r="I112" s="168" t="s">
        <v>1056</v>
      </c>
      <c r="J112" s="177">
        <v>44</v>
      </c>
    </row>
    <row r="113" spans="1:10">
      <c r="A113" s="220" t="str">
        <f>TEXT(captured[[#This Row],[ID]],"0")</f>
        <v>704140</v>
      </c>
      <c r="B113" s="206">
        <v>704140</v>
      </c>
      <c r="C113" s="169" t="s">
        <v>1159</v>
      </c>
      <c r="D113" s="168">
        <v>60</v>
      </c>
      <c r="E113" s="168">
        <v>100</v>
      </c>
      <c r="F113" s="168">
        <v>53</v>
      </c>
      <c r="G113" s="168">
        <v>60</v>
      </c>
      <c r="H113" s="168">
        <v>60</v>
      </c>
      <c r="I113" s="168" t="s">
        <v>1127</v>
      </c>
      <c r="J113" s="177">
        <v>62</v>
      </c>
    </row>
    <row r="114" spans="1:10">
      <c r="A114" s="220" t="str">
        <f>TEXT(captured[[#This Row],[ID]],"0")</f>
        <v>2307157</v>
      </c>
      <c r="B114" s="206">
        <v>2307157</v>
      </c>
      <c r="C114" s="169" t="s">
        <v>1074</v>
      </c>
      <c r="D114" s="168">
        <v>20</v>
      </c>
      <c r="E114" s="168">
        <v>70</v>
      </c>
      <c r="F114" s="168">
        <v>52</v>
      </c>
      <c r="G114" s="168">
        <v>12</v>
      </c>
      <c r="H114" s="168">
        <v>12</v>
      </c>
      <c r="I114" s="168" t="s">
        <v>1045</v>
      </c>
      <c r="J114" s="177">
        <v>31</v>
      </c>
    </row>
    <row r="115" spans="1:10">
      <c r="A115" s="220" t="str">
        <f>TEXT(captured[[#This Row],[ID]],"0")</f>
        <v>1827340</v>
      </c>
      <c r="B115" s="206">
        <v>1827340</v>
      </c>
      <c r="C115" s="169" t="s">
        <v>1057</v>
      </c>
      <c r="D115" s="168">
        <v>3</v>
      </c>
      <c r="E115" s="168">
        <v>20</v>
      </c>
      <c r="F115" s="168">
        <v>23</v>
      </c>
      <c r="G115" s="168">
        <v>24</v>
      </c>
      <c r="H115" s="168">
        <v>24</v>
      </c>
      <c r="I115" s="168" t="s">
        <v>1056</v>
      </c>
      <c r="J115" s="177">
        <v>20</v>
      </c>
    </row>
    <row r="116" spans="1:10">
      <c r="A116" s="220" t="str">
        <f>TEXT(captured[[#This Row],[ID]],"0")</f>
        <v>2306202</v>
      </c>
      <c r="B116" s="206">
        <v>2306202</v>
      </c>
      <c r="C116" s="169" t="s">
        <v>1148</v>
      </c>
      <c r="D116" s="168">
        <v>49</v>
      </c>
      <c r="E116" s="168">
        <v>55</v>
      </c>
      <c r="F116" s="168">
        <v>74</v>
      </c>
      <c r="G116" s="168">
        <v>52</v>
      </c>
      <c r="H116" s="168">
        <v>52</v>
      </c>
      <c r="I116" s="168" t="s">
        <v>1127</v>
      </c>
      <c r="J116" s="177">
        <v>58</v>
      </c>
    </row>
    <row r="117" spans="1:10">
      <c r="A117" s="220" t="str">
        <f>TEXT(captured[[#This Row],[ID]],"0")</f>
        <v>2108293</v>
      </c>
      <c r="B117" s="206">
        <v>2108293</v>
      </c>
      <c r="C117" s="169" t="s">
        <v>1200</v>
      </c>
      <c r="D117" s="168">
        <v>17</v>
      </c>
      <c r="E117" s="168">
        <v>70</v>
      </c>
      <c r="F117" s="168">
        <v>20</v>
      </c>
      <c r="G117" s="170"/>
      <c r="H117" s="168">
        <v>0</v>
      </c>
      <c r="I117" s="170" t="s">
        <v>1181</v>
      </c>
      <c r="J117" s="178" t="s">
        <v>1181</v>
      </c>
    </row>
    <row r="118" spans="1:10">
      <c r="A118" s="220" t="str">
        <f>TEXT(captured[[#This Row],[ID]],"0")</f>
        <v>2356839</v>
      </c>
      <c r="B118" s="206">
        <v>2356839</v>
      </c>
      <c r="C118" s="169" t="s">
        <v>1092</v>
      </c>
      <c r="D118" s="168">
        <v>37</v>
      </c>
      <c r="E118" s="168">
        <v>90</v>
      </c>
      <c r="F118" s="168">
        <v>40</v>
      </c>
      <c r="G118" s="168">
        <v>23</v>
      </c>
      <c r="H118" s="168">
        <v>23</v>
      </c>
      <c r="I118" s="168" t="s">
        <v>1045</v>
      </c>
      <c r="J118" s="177">
        <v>37</v>
      </c>
    </row>
    <row r="119" spans="1:10">
      <c r="A119" s="220" t="str">
        <f>TEXT(captured[[#This Row],[ID]],"0")</f>
        <v>1864128</v>
      </c>
      <c r="B119" s="206">
        <v>1864128</v>
      </c>
      <c r="C119" s="169" t="s">
        <v>1073</v>
      </c>
      <c r="D119" s="168">
        <v>26</v>
      </c>
      <c r="E119" s="168">
        <v>70</v>
      </c>
      <c r="F119" s="168">
        <v>15</v>
      </c>
      <c r="G119" s="168">
        <v>35</v>
      </c>
      <c r="H119" s="168">
        <v>35</v>
      </c>
      <c r="I119" s="168" t="s">
        <v>1056</v>
      </c>
      <c r="J119" s="177">
        <v>31</v>
      </c>
    </row>
    <row r="120" spans="1:10">
      <c r="A120" s="220" t="str">
        <f>TEXT(captured[[#This Row],[ID]],"0")</f>
        <v>1077227</v>
      </c>
      <c r="B120" s="206">
        <v>1077227</v>
      </c>
      <c r="C120" s="169" t="s">
        <v>1052</v>
      </c>
      <c r="D120" s="168">
        <v>0</v>
      </c>
      <c r="E120" s="168">
        <v>10</v>
      </c>
      <c r="F120" s="168">
        <v>7</v>
      </c>
      <c r="G120" s="168">
        <v>27</v>
      </c>
      <c r="H120" s="168">
        <v>27</v>
      </c>
      <c r="I120" s="168" t="s">
        <v>1045</v>
      </c>
      <c r="J120" s="177">
        <v>18</v>
      </c>
    </row>
    <row r="121" spans="1:10">
      <c r="A121" s="220" t="str">
        <f>TEXT(captured[[#This Row],[ID]],"0")</f>
        <v>2165920</v>
      </c>
      <c r="B121" s="206">
        <v>2165920</v>
      </c>
      <c r="C121" s="169" t="s">
        <v>1047</v>
      </c>
      <c r="D121" s="168">
        <v>11</v>
      </c>
      <c r="E121" s="168">
        <v>40</v>
      </c>
      <c r="F121" s="168">
        <v>0</v>
      </c>
      <c r="G121" s="168">
        <v>7</v>
      </c>
      <c r="H121" s="168">
        <v>7</v>
      </c>
      <c r="I121" s="168" t="s">
        <v>1045</v>
      </c>
      <c r="J121" s="177">
        <v>9</v>
      </c>
    </row>
    <row r="122" spans="1:10">
      <c r="A122" s="220" t="str">
        <f>TEXT(captured[[#This Row],[ID]],"0")</f>
        <v>1775759</v>
      </c>
      <c r="B122" s="206">
        <v>1775759</v>
      </c>
      <c r="C122" s="169" t="s">
        <v>1199</v>
      </c>
      <c r="D122" s="168">
        <v>6</v>
      </c>
      <c r="E122" s="168">
        <v>0</v>
      </c>
      <c r="F122" s="168">
        <v>0</v>
      </c>
      <c r="G122" s="170"/>
      <c r="H122" s="168">
        <v>0</v>
      </c>
      <c r="I122" s="170" t="s">
        <v>1181</v>
      </c>
      <c r="J122" s="178" t="s">
        <v>1181</v>
      </c>
    </row>
    <row r="123" spans="1:10">
      <c r="A123" s="220" t="str">
        <f>TEXT(captured[[#This Row],[ID]],"0")</f>
        <v>2088691</v>
      </c>
      <c r="B123" s="206">
        <v>2088691</v>
      </c>
      <c r="C123" s="169" t="s">
        <v>1091</v>
      </c>
      <c r="D123" s="168">
        <v>31</v>
      </c>
      <c r="E123" s="168">
        <v>70</v>
      </c>
      <c r="F123" s="168">
        <v>44</v>
      </c>
      <c r="G123" s="168">
        <v>27</v>
      </c>
      <c r="H123" s="168">
        <v>27</v>
      </c>
      <c r="I123" s="168" t="s">
        <v>1045</v>
      </c>
      <c r="J123" s="177">
        <v>37</v>
      </c>
    </row>
    <row r="124" spans="1:10">
      <c r="A124" s="220" t="str">
        <f>TEXT(captured[[#This Row],[ID]],"0")</f>
        <v>1832762</v>
      </c>
      <c r="B124" s="206">
        <v>1832762</v>
      </c>
      <c r="C124" s="169" t="s">
        <v>1070</v>
      </c>
      <c r="D124" s="168">
        <v>20</v>
      </c>
      <c r="E124" s="168">
        <v>50</v>
      </c>
      <c r="F124" s="168">
        <v>31</v>
      </c>
      <c r="G124" s="168">
        <v>25</v>
      </c>
      <c r="H124" s="168">
        <v>25</v>
      </c>
      <c r="I124" s="168" t="s">
        <v>1045</v>
      </c>
      <c r="J124" s="177">
        <v>29</v>
      </c>
    </row>
    <row r="125" spans="1:10">
      <c r="A125" s="220" t="str">
        <f>TEXT(captured[[#This Row],[ID]],"0")</f>
        <v>2136569</v>
      </c>
      <c r="B125" s="206">
        <v>2136569</v>
      </c>
      <c r="C125" s="169" t="s">
        <v>1061</v>
      </c>
      <c r="D125" s="168">
        <v>0</v>
      </c>
      <c r="E125" s="168">
        <v>15</v>
      </c>
      <c r="F125" s="168">
        <v>25</v>
      </c>
      <c r="G125" s="168">
        <v>22</v>
      </c>
      <c r="H125" s="168">
        <v>22</v>
      </c>
      <c r="I125" s="168" t="s">
        <v>1045</v>
      </c>
      <c r="J125" s="177">
        <v>22</v>
      </c>
    </row>
    <row r="126" spans="1:10">
      <c r="A126" s="220" t="str">
        <f>TEXT(captured[[#This Row],[ID]],"0")</f>
        <v>2305164</v>
      </c>
      <c r="B126" s="206">
        <v>2305164</v>
      </c>
      <c r="C126" s="169" t="s">
        <v>1141</v>
      </c>
      <c r="D126" s="168">
        <v>63</v>
      </c>
      <c r="E126" s="168">
        <v>90</v>
      </c>
      <c r="F126" s="168">
        <v>54</v>
      </c>
      <c r="G126" s="168">
        <v>46</v>
      </c>
      <c r="H126" s="168">
        <v>46</v>
      </c>
      <c r="I126" s="168" t="s">
        <v>1127</v>
      </c>
      <c r="J126" s="177">
        <v>55</v>
      </c>
    </row>
    <row r="127" spans="1:10">
      <c r="A127" s="220" t="str">
        <f>TEXT(captured[[#This Row],[ID]],"0")</f>
        <v>2116287</v>
      </c>
      <c r="B127" s="206">
        <v>2116287</v>
      </c>
      <c r="C127" s="169" t="s">
        <v>1152</v>
      </c>
      <c r="D127" s="168">
        <v>51</v>
      </c>
      <c r="E127" s="168">
        <v>100</v>
      </c>
      <c r="F127" s="168">
        <v>66</v>
      </c>
      <c r="G127" s="168">
        <v>48</v>
      </c>
      <c r="H127" s="168">
        <v>48</v>
      </c>
      <c r="I127" s="168" t="s">
        <v>1127</v>
      </c>
      <c r="J127" s="177">
        <v>59</v>
      </c>
    </row>
    <row r="128" spans="1:10">
      <c r="A128" s="220" t="str">
        <f>TEXT(captured[[#This Row],[ID]],"0")</f>
        <v>2164579</v>
      </c>
      <c r="B128" s="206">
        <v>2164579</v>
      </c>
      <c r="C128" s="169" t="s">
        <v>1082</v>
      </c>
      <c r="D128" s="168">
        <v>23</v>
      </c>
      <c r="E128" s="168">
        <v>55</v>
      </c>
      <c r="F128" s="168">
        <v>46</v>
      </c>
      <c r="G128" s="168">
        <v>25</v>
      </c>
      <c r="H128" s="168">
        <v>25</v>
      </c>
      <c r="I128" s="168" t="s">
        <v>1056</v>
      </c>
      <c r="J128" s="177">
        <v>34</v>
      </c>
    </row>
    <row r="129" spans="1:10">
      <c r="A129" s="220" t="str">
        <f>TEXT(captured[[#This Row],[ID]],"0")</f>
        <v>2107610</v>
      </c>
      <c r="B129" s="206">
        <v>2107610</v>
      </c>
      <c r="C129" s="169" t="s">
        <v>1128</v>
      </c>
      <c r="D129" s="168">
        <v>57</v>
      </c>
      <c r="E129" s="168">
        <v>40</v>
      </c>
      <c r="F129" s="168">
        <v>58</v>
      </c>
      <c r="G129" s="168">
        <v>44</v>
      </c>
      <c r="H129" s="168">
        <v>44</v>
      </c>
      <c r="I129" s="168" t="s">
        <v>1127</v>
      </c>
      <c r="J129" s="177">
        <v>50</v>
      </c>
    </row>
    <row r="130" spans="1:10">
      <c r="A130" s="220" t="str">
        <f>TEXT(captured[[#This Row],[ID]],"0")</f>
        <v>2367318</v>
      </c>
      <c r="B130" s="206">
        <v>2367318</v>
      </c>
      <c r="C130" s="169" t="s">
        <v>1124</v>
      </c>
      <c r="D130" s="168">
        <v>51</v>
      </c>
      <c r="E130" s="168">
        <v>70</v>
      </c>
      <c r="F130" s="168">
        <v>48</v>
      </c>
      <c r="G130" s="168">
        <v>45</v>
      </c>
      <c r="H130" s="168">
        <v>45</v>
      </c>
      <c r="I130" s="168" t="s">
        <v>1127</v>
      </c>
      <c r="J130" s="177">
        <v>50</v>
      </c>
    </row>
    <row r="131" spans="1:10">
      <c r="A131" s="220" t="str">
        <f>TEXT(captured[[#This Row],[ID]],"0")</f>
        <v>2352044</v>
      </c>
      <c r="B131" s="206">
        <v>2352044</v>
      </c>
      <c r="C131" s="169" t="s">
        <v>1108</v>
      </c>
      <c r="D131" s="168">
        <v>49</v>
      </c>
      <c r="E131" s="168">
        <v>55</v>
      </c>
      <c r="F131" s="168">
        <v>48</v>
      </c>
      <c r="G131" s="168">
        <v>33</v>
      </c>
      <c r="H131" s="168">
        <v>33</v>
      </c>
      <c r="I131" s="171" t="s">
        <v>1045</v>
      </c>
      <c r="J131" s="180">
        <v>42</v>
      </c>
    </row>
    <row r="132" spans="1:10">
      <c r="A132" s="220" t="str">
        <f>TEXT(captured[[#This Row],[ID]],"0")</f>
        <v>2089948</v>
      </c>
      <c r="B132" s="206">
        <v>2089948</v>
      </c>
      <c r="C132" s="169" t="s">
        <v>1136</v>
      </c>
      <c r="D132" s="168">
        <v>57</v>
      </c>
      <c r="E132" s="168">
        <v>70</v>
      </c>
      <c r="F132" s="168">
        <v>59</v>
      </c>
      <c r="G132" s="168">
        <v>42</v>
      </c>
      <c r="H132" s="168">
        <v>42</v>
      </c>
      <c r="I132" s="168" t="s">
        <v>1127</v>
      </c>
      <c r="J132" s="177">
        <v>52</v>
      </c>
    </row>
    <row r="133" spans="1:10">
      <c r="A133" s="220" t="str">
        <f>TEXT(captured[[#This Row],[ID]],"0")</f>
        <v>2313178</v>
      </c>
      <c r="B133" s="206">
        <v>2313178</v>
      </c>
      <c r="C133" s="169" t="s">
        <v>1162</v>
      </c>
      <c r="D133" s="168">
        <v>51</v>
      </c>
      <c r="E133" s="168">
        <v>80</v>
      </c>
      <c r="F133" s="168">
        <v>61</v>
      </c>
      <c r="G133" s="168">
        <v>65</v>
      </c>
      <c r="H133" s="168">
        <v>65</v>
      </c>
      <c r="I133" s="168" t="s">
        <v>1127</v>
      </c>
      <c r="J133" s="177">
        <v>63</v>
      </c>
    </row>
    <row r="134" spans="1:10">
      <c r="A134" s="220" t="str">
        <f>TEXT(captured[[#This Row],[ID]],"0")</f>
        <v>2142882</v>
      </c>
      <c r="B134" s="206">
        <v>2142882</v>
      </c>
      <c r="C134" s="169" t="s">
        <v>1046</v>
      </c>
      <c r="D134" s="168">
        <v>0</v>
      </c>
      <c r="E134" s="168">
        <v>55</v>
      </c>
      <c r="F134" s="168">
        <v>7</v>
      </c>
      <c r="G134" s="168">
        <v>2</v>
      </c>
      <c r="H134" s="168">
        <v>2</v>
      </c>
      <c r="I134" s="168" t="s">
        <v>1045</v>
      </c>
      <c r="J134" s="177">
        <v>9</v>
      </c>
    </row>
    <row r="135" spans="1:10">
      <c r="A135" s="220" t="str">
        <f>TEXT(captured[[#This Row],[ID]],"0")</f>
        <v>2141245</v>
      </c>
      <c r="B135" s="206">
        <v>2141245</v>
      </c>
      <c r="C135" s="169" t="s">
        <v>1198</v>
      </c>
      <c r="D135" s="168">
        <v>31</v>
      </c>
      <c r="E135" s="168">
        <v>85</v>
      </c>
      <c r="F135" s="168">
        <v>20</v>
      </c>
      <c r="G135" s="170"/>
      <c r="H135" s="168">
        <v>0</v>
      </c>
      <c r="I135" s="170" t="s">
        <v>1181</v>
      </c>
      <c r="J135" s="178" t="s">
        <v>1181</v>
      </c>
    </row>
    <row r="136" spans="1:10">
      <c r="A136" s="220" t="str">
        <f>TEXT(captured[[#This Row],[ID]],"0")</f>
        <v>1854920</v>
      </c>
      <c r="B136" s="206">
        <v>1854920</v>
      </c>
      <c r="C136" s="169" t="s">
        <v>1197</v>
      </c>
      <c r="D136" s="168">
        <v>20</v>
      </c>
      <c r="E136" s="168">
        <v>55</v>
      </c>
      <c r="F136" s="168">
        <v>8</v>
      </c>
      <c r="G136" s="170"/>
      <c r="H136" s="168">
        <v>0</v>
      </c>
      <c r="I136" s="170" t="s">
        <v>1181</v>
      </c>
      <c r="J136" s="178" t="s">
        <v>1181</v>
      </c>
    </row>
    <row r="137" spans="1:10">
      <c r="A137" s="220" t="str">
        <f>TEXT(captured[[#This Row],[ID]],"0")</f>
        <v>2345339</v>
      </c>
      <c r="B137" s="206">
        <v>2345339</v>
      </c>
      <c r="C137" s="169" t="s">
        <v>1079</v>
      </c>
      <c r="D137" s="168">
        <v>29</v>
      </c>
      <c r="E137" s="168">
        <v>85</v>
      </c>
      <c r="F137" s="168">
        <v>40</v>
      </c>
      <c r="G137" s="168">
        <v>17</v>
      </c>
      <c r="H137" s="168">
        <v>17</v>
      </c>
      <c r="I137" s="168" t="s">
        <v>1045</v>
      </c>
      <c r="J137" s="177">
        <v>33</v>
      </c>
    </row>
    <row r="138" spans="1:10">
      <c r="A138" s="220" t="str">
        <f>TEXT(captured[[#This Row],[ID]],"0")</f>
        <v>1284667</v>
      </c>
      <c r="B138" s="206">
        <v>1284667</v>
      </c>
      <c r="C138" s="169" t="s">
        <v>1210</v>
      </c>
      <c r="D138" s="168">
        <v>0</v>
      </c>
      <c r="E138" s="168">
        <v>0</v>
      </c>
      <c r="F138" s="168">
        <v>0</v>
      </c>
      <c r="G138" s="168">
        <v>0</v>
      </c>
      <c r="H138" s="168">
        <v>0</v>
      </c>
      <c r="I138" s="168" t="s">
        <v>1209</v>
      </c>
      <c r="J138" s="177" t="s">
        <v>1208</v>
      </c>
    </row>
    <row r="139" spans="1:10">
      <c r="A139" s="220" t="str">
        <f>TEXT(captured[[#This Row],[ID]],"0")</f>
        <v>2129606</v>
      </c>
      <c r="B139" s="206">
        <v>2129606</v>
      </c>
      <c r="C139" s="169" t="s">
        <v>1196</v>
      </c>
      <c r="D139" s="168">
        <v>9</v>
      </c>
      <c r="E139" s="168">
        <v>20</v>
      </c>
      <c r="F139" s="168">
        <v>25</v>
      </c>
      <c r="G139" s="170"/>
      <c r="H139" s="168">
        <v>0</v>
      </c>
      <c r="I139" s="170" t="s">
        <v>1181</v>
      </c>
      <c r="J139" s="178" t="s">
        <v>1181</v>
      </c>
    </row>
    <row r="140" spans="1:10" ht="27.6">
      <c r="A140" s="220" t="str">
        <f>TEXT(captured[[#This Row],[ID]],"0")</f>
        <v>2363523</v>
      </c>
      <c r="B140" s="206">
        <v>2363523</v>
      </c>
      <c r="C140" s="169" t="s">
        <v>1195</v>
      </c>
      <c r="D140" s="168">
        <v>29</v>
      </c>
      <c r="E140" s="168">
        <v>40</v>
      </c>
      <c r="F140" s="168">
        <v>20</v>
      </c>
      <c r="G140" s="170"/>
      <c r="H140" s="168">
        <v>0</v>
      </c>
      <c r="I140" s="170" t="s">
        <v>1181</v>
      </c>
      <c r="J140" s="178" t="s">
        <v>1181</v>
      </c>
    </row>
    <row r="141" spans="1:10">
      <c r="A141" s="220" t="str">
        <f>TEXT(captured[[#This Row],[ID]],"0")</f>
        <v>2347976</v>
      </c>
      <c r="B141" s="206">
        <v>2347976</v>
      </c>
      <c r="C141" s="169" t="s">
        <v>1216</v>
      </c>
      <c r="D141" s="168">
        <v>34</v>
      </c>
      <c r="E141" s="168">
        <v>40</v>
      </c>
      <c r="F141" s="168">
        <v>0</v>
      </c>
      <c r="G141" s="168">
        <v>0</v>
      </c>
      <c r="H141" s="168">
        <v>0</v>
      </c>
      <c r="I141" s="168" t="s">
        <v>1209</v>
      </c>
      <c r="J141" s="177">
        <v>9</v>
      </c>
    </row>
    <row r="142" spans="1:10">
      <c r="A142" s="220" t="str">
        <f>TEXT(captured[[#This Row],[ID]],"0")</f>
        <v>1132593</v>
      </c>
      <c r="B142" s="206">
        <v>1132593</v>
      </c>
      <c r="C142" s="169" t="s">
        <v>1065</v>
      </c>
      <c r="D142" s="168">
        <v>40</v>
      </c>
      <c r="E142" s="168">
        <v>40</v>
      </c>
      <c r="F142" s="168">
        <v>17</v>
      </c>
      <c r="G142" s="168">
        <v>24</v>
      </c>
      <c r="H142" s="168">
        <v>24</v>
      </c>
      <c r="I142" s="168" t="s">
        <v>1045</v>
      </c>
      <c r="J142" s="177">
        <v>26</v>
      </c>
    </row>
    <row r="143" spans="1:10">
      <c r="A143" s="220" t="str">
        <f>TEXT(captured[[#This Row],[ID]],"0")</f>
        <v>1501646</v>
      </c>
      <c r="B143" s="206">
        <v>1501646</v>
      </c>
      <c r="C143" s="169" t="s">
        <v>1098</v>
      </c>
      <c r="D143" s="168">
        <v>0</v>
      </c>
      <c r="E143" s="168">
        <v>100</v>
      </c>
      <c r="F143" s="168">
        <v>40</v>
      </c>
      <c r="G143" s="168">
        <v>25</v>
      </c>
      <c r="H143" s="168">
        <v>25</v>
      </c>
      <c r="I143" s="171" t="s">
        <v>1045</v>
      </c>
      <c r="J143" s="180">
        <v>39</v>
      </c>
    </row>
    <row r="144" spans="1:10">
      <c r="A144" s="220" t="str">
        <f>TEXT(captured[[#This Row],[ID]],"0")</f>
        <v>2103173</v>
      </c>
      <c r="B144" s="206">
        <v>2103173</v>
      </c>
      <c r="C144" s="169" t="s">
        <v>1090</v>
      </c>
      <c r="D144" s="168">
        <v>54</v>
      </c>
      <c r="E144" s="168">
        <v>70</v>
      </c>
      <c r="F144" s="168">
        <v>40</v>
      </c>
      <c r="G144" s="168">
        <v>23</v>
      </c>
      <c r="H144" s="168">
        <v>23</v>
      </c>
      <c r="I144" s="168" t="s">
        <v>1056</v>
      </c>
      <c r="J144" s="177">
        <v>37</v>
      </c>
    </row>
    <row r="145" spans="1:10">
      <c r="A145" s="220" t="str">
        <f>TEXT(captured[[#This Row],[ID]],"0")</f>
        <v>1852217</v>
      </c>
      <c r="B145" s="206">
        <v>1852217</v>
      </c>
      <c r="C145" s="169" t="s">
        <v>1105</v>
      </c>
      <c r="D145" s="168">
        <v>29</v>
      </c>
      <c r="E145" s="168">
        <v>100</v>
      </c>
      <c r="F145" s="168">
        <v>43</v>
      </c>
      <c r="G145" s="168">
        <v>31</v>
      </c>
      <c r="H145" s="168">
        <v>31</v>
      </c>
      <c r="I145" s="171" t="s">
        <v>1045</v>
      </c>
      <c r="J145" s="180">
        <v>41</v>
      </c>
    </row>
    <row r="146" spans="1:10">
      <c r="A146" s="220" t="str">
        <f>TEXT(captured[[#This Row],[ID]],"0")</f>
        <v>2172598</v>
      </c>
      <c r="B146" s="206">
        <v>2172598</v>
      </c>
      <c r="C146" s="169" t="s">
        <v>1194</v>
      </c>
      <c r="D146" s="168">
        <v>34</v>
      </c>
      <c r="E146" s="168">
        <v>90</v>
      </c>
      <c r="F146" s="168">
        <v>70</v>
      </c>
      <c r="G146" s="170"/>
      <c r="H146" s="168">
        <v>0</v>
      </c>
      <c r="I146" s="170" t="s">
        <v>1181</v>
      </c>
      <c r="J146" s="178" t="s">
        <v>1181</v>
      </c>
    </row>
    <row r="147" spans="1:10">
      <c r="A147" s="220" t="str">
        <f>TEXT(captured[[#This Row],[ID]],"0")</f>
        <v>2345892</v>
      </c>
      <c r="B147" s="206">
        <v>2345892</v>
      </c>
      <c r="C147" s="169" t="s">
        <v>1089</v>
      </c>
      <c r="D147" s="168">
        <v>11</v>
      </c>
      <c r="E147" s="168">
        <v>85</v>
      </c>
      <c r="F147" s="168">
        <v>58</v>
      </c>
      <c r="G147" s="168">
        <v>21</v>
      </c>
      <c r="H147" s="168">
        <v>21</v>
      </c>
      <c r="I147" s="168" t="s">
        <v>1045</v>
      </c>
      <c r="J147" s="177">
        <v>37</v>
      </c>
    </row>
    <row r="148" spans="1:10">
      <c r="A148" s="220" t="str">
        <f>TEXT(captured[[#This Row],[ID]],"0")</f>
        <v>1864879</v>
      </c>
      <c r="B148" s="206">
        <v>1864879</v>
      </c>
      <c r="C148" s="169" t="s">
        <v>1193</v>
      </c>
      <c r="D148" s="168">
        <v>26</v>
      </c>
      <c r="E148" s="168">
        <v>85</v>
      </c>
      <c r="F148" s="168">
        <v>0</v>
      </c>
      <c r="G148" s="170"/>
      <c r="H148" s="168">
        <v>0</v>
      </c>
      <c r="I148" s="170" t="s">
        <v>1181</v>
      </c>
      <c r="J148" s="178" t="s">
        <v>1181</v>
      </c>
    </row>
    <row r="149" spans="1:10">
      <c r="A149" s="220" t="str">
        <f>TEXT(captured[[#This Row],[ID]],"0")</f>
        <v>2089978</v>
      </c>
      <c r="B149" s="206">
        <v>2089978</v>
      </c>
      <c r="C149" s="169" t="s">
        <v>1143</v>
      </c>
      <c r="D149" s="168">
        <v>57</v>
      </c>
      <c r="E149" s="168">
        <v>100</v>
      </c>
      <c r="F149" s="168">
        <v>72</v>
      </c>
      <c r="G149" s="168">
        <v>35</v>
      </c>
      <c r="H149" s="168">
        <v>35</v>
      </c>
      <c r="I149" s="168" t="s">
        <v>1127</v>
      </c>
      <c r="J149" s="177">
        <v>56</v>
      </c>
    </row>
    <row r="150" spans="1:10">
      <c r="A150" s="220" t="str">
        <f>TEXT(captured[[#This Row],[ID]],"0")</f>
        <v>2327728</v>
      </c>
      <c r="B150" s="206">
        <v>2327728</v>
      </c>
      <c r="C150" s="169" t="s">
        <v>1178</v>
      </c>
      <c r="D150" s="168">
        <v>80</v>
      </c>
      <c r="E150" s="168">
        <v>100</v>
      </c>
      <c r="F150" s="168">
        <v>72</v>
      </c>
      <c r="G150" s="168">
        <v>79</v>
      </c>
      <c r="H150" s="168">
        <v>79</v>
      </c>
      <c r="I150" s="168" t="s">
        <v>1127</v>
      </c>
      <c r="J150" s="177">
        <v>79</v>
      </c>
    </row>
    <row r="151" spans="1:10">
      <c r="A151" s="220" t="str">
        <f>TEXT(captured[[#This Row],[ID]],"0")</f>
        <v>2118213</v>
      </c>
      <c r="B151" s="206">
        <v>2118213</v>
      </c>
      <c r="C151" s="169" t="s">
        <v>1135</v>
      </c>
      <c r="D151" s="168">
        <v>54</v>
      </c>
      <c r="E151" s="168">
        <v>70</v>
      </c>
      <c r="F151" s="168">
        <v>65</v>
      </c>
      <c r="G151" s="168">
        <v>39</v>
      </c>
      <c r="H151" s="168">
        <v>39</v>
      </c>
      <c r="I151" s="168" t="s">
        <v>1127</v>
      </c>
      <c r="J151" s="177">
        <v>52</v>
      </c>
    </row>
    <row r="152" spans="1:10">
      <c r="A152" s="220" t="str">
        <f>TEXT(captured[[#This Row],[ID]],"0")</f>
        <v>1844501</v>
      </c>
      <c r="B152" s="206">
        <v>1844501</v>
      </c>
      <c r="C152" s="169" t="s">
        <v>1117</v>
      </c>
      <c r="D152" s="168">
        <v>34</v>
      </c>
      <c r="E152" s="168">
        <v>100</v>
      </c>
      <c r="F152" s="168">
        <v>43</v>
      </c>
      <c r="G152" s="168">
        <v>41</v>
      </c>
      <c r="H152" s="168">
        <v>41</v>
      </c>
      <c r="I152" s="168" t="s">
        <v>1056</v>
      </c>
      <c r="J152" s="177">
        <v>46</v>
      </c>
    </row>
    <row r="153" spans="1:10">
      <c r="A153" s="220" t="str">
        <f>TEXT(captured[[#This Row],[ID]],"0")</f>
        <v>2112071</v>
      </c>
      <c r="B153" s="206">
        <v>2112071</v>
      </c>
      <c r="C153" s="169" t="s">
        <v>1215</v>
      </c>
      <c r="D153" s="168">
        <v>20</v>
      </c>
      <c r="E153" s="168">
        <v>85</v>
      </c>
      <c r="F153" s="168">
        <v>0</v>
      </c>
      <c r="G153" s="168">
        <v>0</v>
      </c>
      <c r="H153" s="168">
        <v>0</v>
      </c>
      <c r="I153" s="168" t="s">
        <v>1209</v>
      </c>
      <c r="J153" s="177" t="s">
        <v>1208</v>
      </c>
    </row>
    <row r="154" spans="1:10">
      <c r="A154" s="220" t="str">
        <f>TEXT(captured[[#This Row],[ID]],"0")</f>
        <v>2109796</v>
      </c>
      <c r="B154" s="206">
        <v>2109796</v>
      </c>
      <c r="C154" s="169" t="s">
        <v>1055</v>
      </c>
      <c r="D154" s="168">
        <v>11</v>
      </c>
      <c r="E154" s="168">
        <v>20</v>
      </c>
      <c r="F154" s="168">
        <v>20</v>
      </c>
      <c r="G154" s="168">
        <v>22</v>
      </c>
      <c r="H154" s="168">
        <v>22</v>
      </c>
      <c r="I154" s="168" t="s">
        <v>1209</v>
      </c>
      <c r="J154" s="177">
        <v>20</v>
      </c>
    </row>
    <row r="155" spans="1:10">
      <c r="A155" s="220" t="str">
        <f>TEXT(captured[[#This Row],[ID]],"0")</f>
        <v>2088077</v>
      </c>
      <c r="B155" s="206">
        <v>2088077</v>
      </c>
      <c r="C155" s="169" t="s">
        <v>1120</v>
      </c>
      <c r="D155" s="168">
        <v>29</v>
      </c>
      <c r="E155" s="168">
        <v>70</v>
      </c>
      <c r="F155" s="168">
        <v>75</v>
      </c>
      <c r="G155" s="168">
        <v>31</v>
      </c>
      <c r="H155" s="168">
        <v>31</v>
      </c>
      <c r="I155" s="171" t="s">
        <v>1045</v>
      </c>
      <c r="J155" s="180">
        <v>50</v>
      </c>
    </row>
    <row r="156" spans="1:10">
      <c r="A156" s="220" t="str">
        <f>TEXT(captured[[#This Row],[ID]],"0")</f>
        <v>2320484</v>
      </c>
      <c r="B156" s="206">
        <v>2320484</v>
      </c>
      <c r="C156" s="169" t="s">
        <v>1161</v>
      </c>
      <c r="D156" s="168">
        <v>49</v>
      </c>
      <c r="E156" s="168">
        <v>55</v>
      </c>
      <c r="F156" s="168">
        <v>71</v>
      </c>
      <c r="G156" s="168">
        <v>64</v>
      </c>
      <c r="H156" s="168">
        <v>64</v>
      </c>
      <c r="I156" s="168" t="s">
        <v>1127</v>
      </c>
      <c r="J156" s="177">
        <v>63</v>
      </c>
    </row>
    <row r="157" spans="1:10">
      <c r="A157" s="220" t="str">
        <f>TEXT(captured[[#This Row],[ID]],"0")</f>
        <v>2347343</v>
      </c>
      <c r="B157" s="206">
        <v>2347343</v>
      </c>
      <c r="C157" s="169" t="s">
        <v>1068</v>
      </c>
      <c r="D157" s="168">
        <v>23</v>
      </c>
      <c r="E157" s="168">
        <v>55</v>
      </c>
      <c r="F157" s="168">
        <v>37</v>
      </c>
      <c r="G157" s="168">
        <v>17</v>
      </c>
      <c r="H157" s="168">
        <v>17</v>
      </c>
      <c r="I157" s="168" t="s">
        <v>1045</v>
      </c>
      <c r="J157" s="177">
        <v>28</v>
      </c>
    </row>
    <row r="158" spans="1:10">
      <c r="A158" s="220" t="str">
        <f>TEXT(captured[[#This Row],[ID]],"0")</f>
        <v>1455713</v>
      </c>
      <c r="B158" s="206">
        <v>1455713</v>
      </c>
      <c r="C158" s="169" t="s">
        <v>1192</v>
      </c>
      <c r="D158" s="168">
        <v>0</v>
      </c>
      <c r="E158" s="168">
        <v>100</v>
      </c>
      <c r="F158" s="168">
        <v>0</v>
      </c>
      <c r="G158" s="170"/>
      <c r="H158" s="168">
        <v>0</v>
      </c>
      <c r="I158" s="170" t="s">
        <v>1181</v>
      </c>
      <c r="J158" s="178" t="s">
        <v>1181</v>
      </c>
    </row>
    <row r="159" spans="1:10">
      <c r="A159" s="220" t="str">
        <f>TEXT(captured[[#This Row],[ID]],"0")</f>
        <v>1815772</v>
      </c>
      <c r="B159" s="206">
        <v>1815772</v>
      </c>
      <c r="C159" s="169" t="s">
        <v>1191</v>
      </c>
      <c r="D159" s="168">
        <v>6</v>
      </c>
      <c r="E159" s="168">
        <v>65</v>
      </c>
      <c r="F159" s="168">
        <v>0</v>
      </c>
      <c r="G159" s="170"/>
      <c r="H159" s="168">
        <v>0</v>
      </c>
      <c r="I159" s="170" t="s">
        <v>1181</v>
      </c>
      <c r="J159" s="178" t="s">
        <v>1181</v>
      </c>
    </row>
    <row r="160" spans="1:10">
      <c r="A160" s="220" t="str">
        <f>TEXT(captured[[#This Row],[ID]],"0")</f>
        <v>2341407</v>
      </c>
      <c r="B160" s="206">
        <v>2341407</v>
      </c>
      <c r="C160" s="169" t="s">
        <v>1069</v>
      </c>
      <c r="D160" s="168">
        <v>37</v>
      </c>
      <c r="E160" s="168">
        <v>40</v>
      </c>
      <c r="F160" s="168">
        <v>17</v>
      </c>
      <c r="G160" s="168">
        <v>31</v>
      </c>
      <c r="H160" s="168">
        <v>31</v>
      </c>
      <c r="I160" s="168" t="s">
        <v>1045</v>
      </c>
      <c r="J160" s="177">
        <v>29</v>
      </c>
    </row>
    <row r="161" spans="1:10">
      <c r="A161" s="220" t="str">
        <f>TEXT(captured[[#This Row],[ID]],"0")</f>
        <v>1851387</v>
      </c>
      <c r="B161" s="206">
        <v>1851387</v>
      </c>
      <c r="C161" s="169" t="s">
        <v>1190</v>
      </c>
      <c r="D161" s="168">
        <v>66</v>
      </c>
      <c r="E161" s="168">
        <v>20</v>
      </c>
      <c r="F161" s="168">
        <v>2</v>
      </c>
      <c r="G161" s="170"/>
      <c r="H161" s="168">
        <v>0</v>
      </c>
      <c r="I161" s="170" t="s">
        <v>1181</v>
      </c>
      <c r="J161" s="178" t="s">
        <v>1181</v>
      </c>
    </row>
    <row r="162" spans="1:10">
      <c r="A162" s="220" t="str">
        <f>TEXT(captured[[#This Row],[ID]],"0")</f>
        <v>957850</v>
      </c>
      <c r="B162" s="206">
        <v>957850</v>
      </c>
      <c r="C162" s="169" t="s">
        <v>1096</v>
      </c>
      <c r="D162" s="168">
        <v>26</v>
      </c>
      <c r="E162" s="168">
        <v>100</v>
      </c>
      <c r="F162" s="168">
        <v>53</v>
      </c>
      <c r="G162" s="168">
        <v>18</v>
      </c>
      <c r="H162" s="168">
        <v>18</v>
      </c>
      <c r="I162" s="171" t="s">
        <v>1045</v>
      </c>
      <c r="J162" s="180">
        <v>38</v>
      </c>
    </row>
    <row r="163" spans="1:10">
      <c r="A163" s="220" t="str">
        <f>TEXT(captured[[#This Row],[ID]],"0")</f>
        <v>2388404</v>
      </c>
      <c r="B163" s="206">
        <v>2388404</v>
      </c>
      <c r="C163" s="169" t="s">
        <v>1147</v>
      </c>
      <c r="D163" s="168">
        <v>60</v>
      </c>
      <c r="E163" s="168">
        <v>100</v>
      </c>
      <c r="F163" s="168">
        <v>63</v>
      </c>
      <c r="G163" s="168">
        <v>44</v>
      </c>
      <c r="H163" s="168">
        <v>44</v>
      </c>
      <c r="I163" s="168" t="s">
        <v>1127</v>
      </c>
      <c r="J163" s="177">
        <v>58</v>
      </c>
    </row>
    <row r="164" spans="1:10">
      <c r="A164" s="220" t="str">
        <f>TEXT(captured[[#This Row],[ID]],"0")</f>
        <v>2201238</v>
      </c>
      <c r="B164" s="206">
        <v>2201238</v>
      </c>
      <c r="C164" s="169" t="s">
        <v>1077</v>
      </c>
      <c r="D164" s="168">
        <v>34</v>
      </c>
      <c r="E164" s="168">
        <v>35</v>
      </c>
      <c r="F164" s="168">
        <v>40</v>
      </c>
      <c r="G164" s="168">
        <v>26</v>
      </c>
      <c r="H164" s="168">
        <v>26</v>
      </c>
      <c r="I164" s="168" t="s">
        <v>1045</v>
      </c>
      <c r="J164" s="177">
        <v>32</v>
      </c>
    </row>
    <row r="165" spans="1:10">
      <c r="A165" s="220" t="str">
        <f>TEXT(captured[[#This Row],[ID]],"0")</f>
        <v>2305580</v>
      </c>
      <c r="B165" s="206">
        <v>2305580</v>
      </c>
      <c r="C165" s="169" t="s">
        <v>1072</v>
      </c>
      <c r="D165" s="168">
        <v>23</v>
      </c>
      <c r="E165" s="168">
        <v>55</v>
      </c>
      <c r="F165" s="168">
        <v>32</v>
      </c>
      <c r="G165" s="168">
        <v>25</v>
      </c>
      <c r="H165" s="168">
        <v>25</v>
      </c>
      <c r="I165" s="168" t="s">
        <v>1045</v>
      </c>
      <c r="J165" s="177">
        <v>30</v>
      </c>
    </row>
    <row r="166" spans="1:10">
      <c r="A166" s="220" t="str">
        <f>TEXT(captured[[#This Row],[ID]],"0")</f>
        <v>2416886</v>
      </c>
      <c r="B166" s="206">
        <v>2416886</v>
      </c>
      <c r="C166" s="169" t="s">
        <v>1189</v>
      </c>
      <c r="D166" s="168">
        <v>0</v>
      </c>
      <c r="E166" s="168">
        <v>0</v>
      </c>
      <c r="F166" s="168">
        <v>0</v>
      </c>
      <c r="G166" s="170"/>
      <c r="H166" s="168">
        <v>0</v>
      </c>
      <c r="I166" s="170" t="s">
        <v>1181</v>
      </c>
      <c r="J166" s="178" t="s">
        <v>1181</v>
      </c>
    </row>
    <row r="167" spans="1:10">
      <c r="A167" s="220" t="str">
        <f>TEXT(captured[[#This Row],[ID]],"0")</f>
        <v>1767237</v>
      </c>
      <c r="B167" s="206">
        <v>1767237</v>
      </c>
      <c r="C167" s="169" t="s">
        <v>1051</v>
      </c>
      <c r="D167" s="168">
        <v>26</v>
      </c>
      <c r="E167" s="168">
        <v>10</v>
      </c>
      <c r="F167" s="168">
        <v>14</v>
      </c>
      <c r="G167" s="168">
        <v>19</v>
      </c>
      <c r="H167" s="168">
        <v>19</v>
      </c>
      <c r="I167" s="168" t="s">
        <v>1045</v>
      </c>
      <c r="J167" s="177">
        <v>18</v>
      </c>
    </row>
    <row r="168" spans="1:10">
      <c r="A168" s="220" t="str">
        <f>TEXT(captured[[#This Row],[ID]],"0")</f>
        <v>2126340</v>
      </c>
      <c r="B168" s="206">
        <v>2126340</v>
      </c>
      <c r="C168" s="169" t="s">
        <v>1214</v>
      </c>
      <c r="D168" s="168">
        <v>14</v>
      </c>
      <c r="E168" s="168">
        <v>10</v>
      </c>
      <c r="F168" s="168">
        <v>2</v>
      </c>
      <c r="G168" s="168">
        <v>0</v>
      </c>
      <c r="H168" s="168">
        <v>0</v>
      </c>
      <c r="I168" s="168" t="s">
        <v>1209</v>
      </c>
      <c r="J168" s="177" t="s">
        <v>1208</v>
      </c>
    </row>
    <row r="169" spans="1:10">
      <c r="A169" s="220" t="str">
        <f>TEXT(captured[[#This Row],[ID]],"0")</f>
        <v>1818219</v>
      </c>
      <c r="B169" s="206">
        <v>1818219</v>
      </c>
      <c r="C169" s="169" t="s">
        <v>1054</v>
      </c>
      <c r="D169" s="168">
        <v>0</v>
      </c>
      <c r="E169" s="168">
        <v>35</v>
      </c>
      <c r="F169" s="168">
        <v>20</v>
      </c>
      <c r="G169" s="168">
        <v>23</v>
      </c>
      <c r="H169" s="168">
        <v>23</v>
      </c>
      <c r="I169" s="168" t="s">
        <v>1045</v>
      </c>
      <c r="J169" s="177">
        <v>20</v>
      </c>
    </row>
    <row r="170" spans="1:10">
      <c r="A170" s="220" t="str">
        <f>TEXT(captured[[#This Row],[ID]],"0")</f>
        <v>1848116</v>
      </c>
      <c r="B170" s="206">
        <v>1848116</v>
      </c>
      <c r="C170" s="169" t="s">
        <v>1115</v>
      </c>
      <c r="D170" s="168">
        <v>23</v>
      </c>
      <c r="E170" s="168">
        <v>100</v>
      </c>
      <c r="F170" s="168">
        <v>68</v>
      </c>
      <c r="G170" s="168">
        <v>25</v>
      </c>
      <c r="H170" s="168">
        <v>25</v>
      </c>
      <c r="I170" s="171" t="s">
        <v>1045</v>
      </c>
      <c r="J170" s="180">
        <v>45</v>
      </c>
    </row>
    <row r="171" spans="1:10">
      <c r="A171" s="220" t="str">
        <f>TEXT(captured[[#This Row],[ID]],"0")</f>
        <v>2208622</v>
      </c>
      <c r="B171" s="206">
        <v>2208622</v>
      </c>
      <c r="C171" s="169" t="s">
        <v>1086</v>
      </c>
      <c r="D171" s="168">
        <v>49</v>
      </c>
      <c r="E171" s="168">
        <v>35</v>
      </c>
      <c r="F171" s="168">
        <v>31</v>
      </c>
      <c r="G171" s="168">
        <v>34</v>
      </c>
      <c r="H171" s="168">
        <v>34</v>
      </c>
      <c r="I171" s="168" t="s">
        <v>1045</v>
      </c>
      <c r="J171" s="177">
        <v>35</v>
      </c>
    </row>
    <row r="172" spans="1:10">
      <c r="A172" s="220" t="str">
        <f>TEXT(captured[[#This Row],[ID]],"0")</f>
        <v>1436500</v>
      </c>
      <c r="B172" s="206">
        <v>1436500</v>
      </c>
      <c r="C172" s="169" t="s">
        <v>1095</v>
      </c>
      <c r="D172" s="168">
        <v>0</v>
      </c>
      <c r="E172" s="168">
        <v>40</v>
      </c>
      <c r="F172" s="168">
        <v>46</v>
      </c>
      <c r="G172" s="168">
        <v>33</v>
      </c>
      <c r="H172" s="168">
        <v>33</v>
      </c>
      <c r="I172" s="171" t="s">
        <v>1045</v>
      </c>
      <c r="J172" s="180">
        <v>38</v>
      </c>
    </row>
    <row r="173" spans="1:10">
      <c r="A173" s="220" t="str">
        <f>TEXT(captured[[#This Row],[ID]],"0")</f>
        <v>2144205</v>
      </c>
      <c r="B173" s="206">
        <v>2144205</v>
      </c>
      <c r="C173" s="169" t="s">
        <v>1104</v>
      </c>
      <c r="D173" s="168">
        <v>31</v>
      </c>
      <c r="E173" s="168">
        <v>100</v>
      </c>
      <c r="F173" s="168">
        <v>54</v>
      </c>
      <c r="G173" s="168">
        <v>22</v>
      </c>
      <c r="H173" s="168">
        <v>22</v>
      </c>
      <c r="I173" s="171" t="s">
        <v>1045</v>
      </c>
      <c r="J173" s="180">
        <v>41</v>
      </c>
    </row>
    <row r="174" spans="1:10">
      <c r="A174" s="220" t="str">
        <f>TEXT(captured[[#This Row],[ID]],"0")</f>
        <v>1448040</v>
      </c>
      <c r="B174" s="206">
        <v>1448040</v>
      </c>
      <c r="C174" s="169" t="s">
        <v>1067</v>
      </c>
      <c r="D174" s="168">
        <v>34</v>
      </c>
      <c r="E174" s="168">
        <v>35</v>
      </c>
      <c r="F174" s="168">
        <v>19</v>
      </c>
      <c r="G174" s="168">
        <v>31</v>
      </c>
      <c r="H174" s="168">
        <v>31</v>
      </c>
      <c r="I174" s="168" t="s">
        <v>1045</v>
      </c>
      <c r="J174" s="177">
        <v>28</v>
      </c>
    </row>
    <row r="175" spans="1:10">
      <c r="A175" s="220" t="str">
        <f>TEXT(captured[[#This Row],[ID]],"0")</f>
        <v>1832055</v>
      </c>
      <c r="B175" s="206">
        <v>1832055</v>
      </c>
      <c r="C175" s="169" t="s">
        <v>1088</v>
      </c>
      <c r="D175" s="168">
        <v>31</v>
      </c>
      <c r="E175" s="168">
        <v>55</v>
      </c>
      <c r="F175" s="168">
        <v>41</v>
      </c>
      <c r="G175" s="168">
        <v>29</v>
      </c>
      <c r="H175" s="168">
        <v>29</v>
      </c>
      <c r="I175" s="168" t="s">
        <v>1045</v>
      </c>
      <c r="J175" s="177">
        <v>36</v>
      </c>
    </row>
    <row r="176" spans="1:10">
      <c r="A176" s="220" t="str">
        <f>TEXT(captured[[#This Row],[ID]],"0")</f>
        <v>1287323</v>
      </c>
      <c r="B176" s="206">
        <v>1287323</v>
      </c>
      <c r="C176" s="169" t="s">
        <v>1188</v>
      </c>
      <c r="D176" s="168">
        <v>0</v>
      </c>
      <c r="E176" s="168">
        <v>40</v>
      </c>
      <c r="F176" s="168">
        <v>12</v>
      </c>
      <c r="G176" s="170"/>
      <c r="H176" s="168">
        <v>0</v>
      </c>
      <c r="I176" s="170" t="s">
        <v>1181</v>
      </c>
      <c r="J176" s="178" t="s">
        <v>1181</v>
      </c>
    </row>
    <row r="177" spans="1:10">
      <c r="A177" s="220" t="str">
        <f>TEXT(captured[[#This Row],[ID]],"0")</f>
        <v>1445411</v>
      </c>
      <c r="B177" s="206">
        <v>1445411</v>
      </c>
      <c r="C177" s="169" t="s">
        <v>1076</v>
      </c>
      <c r="D177" s="168">
        <v>17</v>
      </c>
      <c r="E177" s="168">
        <v>45</v>
      </c>
      <c r="F177" s="168">
        <v>56</v>
      </c>
      <c r="G177" s="168">
        <v>18</v>
      </c>
      <c r="H177" s="168">
        <v>18</v>
      </c>
      <c r="I177" s="168" t="s">
        <v>1045</v>
      </c>
      <c r="J177" s="177">
        <v>32</v>
      </c>
    </row>
    <row r="178" spans="1:10">
      <c r="A178" s="220" t="str">
        <f>TEXT(captured[[#This Row],[ID]],"0")</f>
        <v>2140390</v>
      </c>
      <c r="B178" s="206">
        <v>2140390</v>
      </c>
      <c r="C178" s="169" t="s">
        <v>1187</v>
      </c>
      <c r="D178" s="168">
        <v>23</v>
      </c>
      <c r="E178" s="168">
        <v>55</v>
      </c>
      <c r="F178" s="168">
        <v>70</v>
      </c>
      <c r="G178" s="170"/>
      <c r="H178" s="168">
        <v>0</v>
      </c>
      <c r="I178" s="170" t="s">
        <v>1181</v>
      </c>
      <c r="J178" s="178" t="s">
        <v>1181</v>
      </c>
    </row>
    <row r="179" spans="1:10">
      <c r="A179" s="220" t="str">
        <f>TEXT(captured[[#This Row],[ID]],"0")</f>
        <v>1830373</v>
      </c>
      <c r="B179" s="206">
        <v>1830373</v>
      </c>
      <c r="C179" s="169" t="s">
        <v>1049</v>
      </c>
      <c r="D179" s="168">
        <v>11</v>
      </c>
      <c r="E179" s="168">
        <v>50</v>
      </c>
      <c r="F179" s="168">
        <v>20</v>
      </c>
      <c r="G179" s="168">
        <v>6</v>
      </c>
      <c r="H179" s="168">
        <v>6</v>
      </c>
      <c r="I179" s="168" t="s">
        <v>1045</v>
      </c>
      <c r="J179" s="177">
        <v>15</v>
      </c>
    </row>
    <row r="180" spans="1:10">
      <c r="A180" s="220" t="str">
        <f>TEXT(captured[[#This Row],[ID]],"0")</f>
        <v>2347919</v>
      </c>
      <c r="B180" s="206">
        <v>2347919</v>
      </c>
      <c r="C180" s="169" t="s">
        <v>1156</v>
      </c>
      <c r="D180" s="168">
        <v>54</v>
      </c>
      <c r="E180" s="168">
        <v>70</v>
      </c>
      <c r="F180" s="168">
        <v>60</v>
      </c>
      <c r="G180" s="168">
        <v>63</v>
      </c>
      <c r="H180" s="168">
        <v>63</v>
      </c>
      <c r="I180" s="168" t="s">
        <v>1127</v>
      </c>
      <c r="J180" s="177">
        <v>61</v>
      </c>
    </row>
    <row r="181" spans="1:10">
      <c r="A181" s="220" t="str">
        <f>TEXT(captured[[#This Row],[ID]],"0")</f>
        <v>2102640</v>
      </c>
      <c r="B181" s="206">
        <v>2102640</v>
      </c>
      <c r="C181" s="169" t="s">
        <v>1097</v>
      </c>
      <c r="D181" s="168">
        <v>0</v>
      </c>
      <c r="E181" s="168">
        <v>50</v>
      </c>
      <c r="F181" s="168">
        <v>40</v>
      </c>
      <c r="G181" s="168">
        <v>48</v>
      </c>
      <c r="H181" s="168">
        <v>48</v>
      </c>
      <c r="I181" s="171" t="s">
        <v>1056</v>
      </c>
      <c r="J181" s="180">
        <v>39</v>
      </c>
    </row>
    <row r="182" spans="1:10">
      <c r="A182" s="220" t="str">
        <f>TEXT(captured[[#This Row],[ID]],"0")</f>
        <v>2373287</v>
      </c>
      <c r="B182" s="206">
        <v>2373287</v>
      </c>
      <c r="C182" s="169" t="s">
        <v>1174</v>
      </c>
      <c r="D182" s="168">
        <v>74</v>
      </c>
      <c r="E182" s="168">
        <v>100</v>
      </c>
      <c r="F182" s="168">
        <v>71</v>
      </c>
      <c r="G182" s="168">
        <v>61</v>
      </c>
      <c r="H182" s="168">
        <v>61</v>
      </c>
      <c r="I182" s="168" t="s">
        <v>1127</v>
      </c>
      <c r="J182" s="177">
        <v>70</v>
      </c>
    </row>
    <row r="183" spans="1:10">
      <c r="A183" s="220" t="str">
        <f>TEXT(captured[[#This Row],[ID]],"0")</f>
        <v>2309354</v>
      </c>
      <c r="B183" s="206">
        <v>2309354</v>
      </c>
      <c r="C183" s="169" t="s">
        <v>1081</v>
      </c>
      <c r="D183" s="168">
        <v>29</v>
      </c>
      <c r="E183" s="168">
        <v>20</v>
      </c>
      <c r="F183" s="168">
        <v>32</v>
      </c>
      <c r="G183" s="168">
        <v>39</v>
      </c>
      <c r="H183" s="168">
        <v>39</v>
      </c>
      <c r="I183" s="168" t="s">
        <v>1056</v>
      </c>
      <c r="J183" s="177">
        <v>34</v>
      </c>
    </row>
    <row r="184" spans="1:10">
      <c r="A184" s="220" t="str">
        <f>TEXT(captured[[#This Row],[ID]],"0")</f>
        <v>482412</v>
      </c>
      <c r="B184" s="206">
        <v>482412</v>
      </c>
      <c r="C184" s="169" t="s">
        <v>1123</v>
      </c>
      <c r="D184" s="168">
        <v>40</v>
      </c>
      <c r="E184" s="168">
        <v>95</v>
      </c>
      <c r="F184" s="168">
        <v>51</v>
      </c>
      <c r="G184" s="168">
        <v>41</v>
      </c>
      <c r="H184" s="168">
        <v>41</v>
      </c>
      <c r="I184" s="168" t="s">
        <v>1127</v>
      </c>
      <c r="J184" s="177">
        <v>50</v>
      </c>
    </row>
    <row r="185" spans="1:10">
      <c r="A185" s="220" t="str">
        <f>TEXT(captured[[#This Row],[ID]],"0")</f>
        <v>1608406</v>
      </c>
      <c r="B185" s="206">
        <v>1608406</v>
      </c>
      <c r="C185" s="169" t="s">
        <v>1078</v>
      </c>
      <c r="D185" s="168">
        <v>0</v>
      </c>
      <c r="E185" s="168">
        <v>75</v>
      </c>
      <c r="F185" s="168">
        <v>41</v>
      </c>
      <c r="G185" s="168">
        <v>19</v>
      </c>
      <c r="H185" s="168">
        <v>19</v>
      </c>
      <c r="I185" s="168" t="s">
        <v>1045</v>
      </c>
      <c r="J185" s="177">
        <v>33</v>
      </c>
    </row>
    <row r="186" spans="1:10">
      <c r="A186" s="220" t="str">
        <f>TEXT(captured[[#This Row],[ID]],"0")</f>
        <v>2366643</v>
      </c>
      <c r="B186" s="206">
        <v>2366643</v>
      </c>
      <c r="C186" s="169" t="s">
        <v>1160</v>
      </c>
      <c r="D186" s="168">
        <v>51</v>
      </c>
      <c r="E186" s="168">
        <v>90</v>
      </c>
      <c r="F186" s="168">
        <v>69</v>
      </c>
      <c r="G186" s="168">
        <v>58</v>
      </c>
      <c r="H186" s="168">
        <v>58</v>
      </c>
      <c r="I186" s="168" t="s">
        <v>1127</v>
      </c>
      <c r="J186" s="177">
        <v>63</v>
      </c>
    </row>
    <row r="187" spans="1:10">
      <c r="A187" s="220" t="str">
        <f>TEXT(captured[[#This Row],[ID]],"0")</f>
        <v>2152679</v>
      </c>
      <c r="B187" s="206">
        <v>2152679</v>
      </c>
      <c r="C187" s="169" t="s">
        <v>1103</v>
      </c>
      <c r="D187" s="168">
        <v>29</v>
      </c>
      <c r="E187" s="168">
        <v>55</v>
      </c>
      <c r="F187" s="168">
        <v>53</v>
      </c>
      <c r="G187" s="168">
        <v>33</v>
      </c>
      <c r="H187" s="168">
        <v>33</v>
      </c>
      <c r="I187" s="171" t="s">
        <v>1045</v>
      </c>
      <c r="J187" s="180">
        <v>41</v>
      </c>
    </row>
    <row r="188" spans="1:10">
      <c r="A188" s="220" t="str">
        <f>TEXT(captured[[#This Row],[ID]],"0")</f>
        <v>2327104</v>
      </c>
      <c r="B188" s="206">
        <v>2327104</v>
      </c>
      <c r="C188" s="169" t="s">
        <v>1142</v>
      </c>
      <c r="D188" s="168">
        <v>69</v>
      </c>
      <c r="E188" s="168">
        <v>80</v>
      </c>
      <c r="F188" s="168">
        <v>48</v>
      </c>
      <c r="G188" s="168">
        <v>51</v>
      </c>
      <c r="H188" s="168">
        <v>51</v>
      </c>
      <c r="I188" s="168" t="s">
        <v>1127</v>
      </c>
      <c r="J188" s="177">
        <v>56</v>
      </c>
    </row>
    <row r="189" spans="1:10">
      <c r="A189" s="220" t="str">
        <f>TEXT(captured[[#This Row],[ID]],"0")</f>
        <v>2179595</v>
      </c>
      <c r="B189" s="206">
        <v>2179595</v>
      </c>
      <c r="C189" s="169" t="s">
        <v>1173</v>
      </c>
      <c r="D189" s="168">
        <v>83</v>
      </c>
      <c r="E189" s="168">
        <v>100</v>
      </c>
      <c r="F189" s="168">
        <v>72</v>
      </c>
      <c r="G189" s="168">
        <v>57</v>
      </c>
      <c r="H189" s="168">
        <v>57</v>
      </c>
      <c r="I189" s="168" t="s">
        <v>1127</v>
      </c>
      <c r="J189" s="177">
        <v>70</v>
      </c>
    </row>
    <row r="190" spans="1:10">
      <c r="A190" s="220" t="str">
        <f>TEXT(captured[[#This Row],[ID]],"0")</f>
        <v>1730123</v>
      </c>
      <c r="B190" s="206">
        <v>1730123</v>
      </c>
      <c r="C190" s="169" t="s">
        <v>1186</v>
      </c>
      <c r="D190" s="168">
        <v>37</v>
      </c>
      <c r="E190" s="168">
        <v>65</v>
      </c>
      <c r="F190" s="168">
        <v>14</v>
      </c>
      <c r="G190" s="170"/>
      <c r="H190" s="168">
        <v>0</v>
      </c>
      <c r="I190" s="168" t="s">
        <v>1045</v>
      </c>
      <c r="J190" s="177" t="s">
        <v>1208</v>
      </c>
    </row>
    <row r="191" spans="1:10">
      <c r="A191" s="220" t="str">
        <f>TEXT(captured[[#This Row],[ID]],"0")</f>
        <v>2304928</v>
      </c>
      <c r="B191" s="206">
        <v>2304928</v>
      </c>
      <c r="C191" s="169" t="s">
        <v>1177</v>
      </c>
      <c r="D191" s="168">
        <v>66</v>
      </c>
      <c r="E191" s="168">
        <v>100</v>
      </c>
      <c r="F191" s="168">
        <v>78</v>
      </c>
      <c r="G191" s="168">
        <v>72</v>
      </c>
      <c r="H191" s="168">
        <v>72</v>
      </c>
      <c r="I191" s="168" t="s">
        <v>1127</v>
      </c>
      <c r="J191" s="177">
        <v>76</v>
      </c>
    </row>
    <row r="192" spans="1:10">
      <c r="A192" s="220" t="str">
        <f>TEXT(captured[[#This Row],[ID]],"0")</f>
        <v>2366020</v>
      </c>
      <c r="B192" s="206">
        <v>2366020</v>
      </c>
      <c r="C192" s="169" t="s">
        <v>1171</v>
      </c>
      <c r="D192" s="168">
        <v>77</v>
      </c>
      <c r="E192" s="168">
        <v>100</v>
      </c>
      <c r="F192" s="168">
        <v>59</v>
      </c>
      <c r="G192" s="168">
        <v>65</v>
      </c>
      <c r="H192" s="168">
        <v>65</v>
      </c>
      <c r="I192" s="168" t="s">
        <v>1127</v>
      </c>
      <c r="J192" s="177">
        <v>69</v>
      </c>
    </row>
    <row r="193" spans="1:10">
      <c r="A193" s="220" t="str">
        <f>TEXT(captured[[#This Row],[ID]],"0")</f>
        <v>2156293</v>
      </c>
      <c r="B193" s="206">
        <v>2156293</v>
      </c>
      <c r="C193" s="169" t="s">
        <v>1185</v>
      </c>
      <c r="D193" s="168">
        <v>37</v>
      </c>
      <c r="E193" s="168">
        <v>70</v>
      </c>
      <c r="F193" s="168">
        <v>48</v>
      </c>
      <c r="G193" s="170"/>
      <c r="H193" s="168">
        <v>0</v>
      </c>
      <c r="I193" s="170" t="s">
        <v>1181</v>
      </c>
      <c r="J193" s="178" t="s">
        <v>1181</v>
      </c>
    </row>
    <row r="194" spans="1:10" ht="27.6">
      <c r="A194" s="220" t="str">
        <f>TEXT(captured[[#This Row],[ID]],"0")</f>
        <v>0200223N</v>
      </c>
      <c r="B194" s="206" t="s">
        <v>418</v>
      </c>
      <c r="C194" s="169" t="s">
        <v>1184</v>
      </c>
      <c r="D194" s="168">
        <v>0</v>
      </c>
      <c r="E194" s="168">
        <v>40</v>
      </c>
      <c r="F194" s="168">
        <v>51</v>
      </c>
      <c r="G194" s="170"/>
      <c r="H194" s="168">
        <v>0</v>
      </c>
      <c r="I194" s="170" t="s">
        <v>1181</v>
      </c>
      <c r="J194" s="178" t="s">
        <v>1181</v>
      </c>
    </row>
    <row r="195" spans="1:10">
      <c r="A195" s="220" t="str">
        <f>TEXT(captured[[#This Row],[ID]],"0")</f>
        <v>1715463</v>
      </c>
      <c r="B195" s="206">
        <v>1715463</v>
      </c>
      <c r="C195" s="169" t="s">
        <v>1107</v>
      </c>
      <c r="D195" s="168">
        <v>43</v>
      </c>
      <c r="E195" s="168">
        <v>85</v>
      </c>
      <c r="F195" s="168">
        <v>59</v>
      </c>
      <c r="G195" s="168">
        <v>21</v>
      </c>
      <c r="H195" s="168">
        <v>21</v>
      </c>
      <c r="I195" s="171" t="s">
        <v>1045</v>
      </c>
      <c r="J195" s="180">
        <v>42</v>
      </c>
    </row>
    <row r="196" spans="1:10">
      <c r="A196" s="220" t="str">
        <f>TEXT(captured[[#This Row],[ID]],"0")</f>
        <v>2332451</v>
      </c>
      <c r="B196" s="206">
        <v>2332451</v>
      </c>
      <c r="C196" s="169" t="s">
        <v>1172</v>
      </c>
      <c r="D196" s="168">
        <v>51</v>
      </c>
      <c r="E196" s="168">
        <v>100</v>
      </c>
      <c r="F196" s="168">
        <v>90</v>
      </c>
      <c r="G196" s="168">
        <v>56</v>
      </c>
      <c r="H196" s="168">
        <v>56</v>
      </c>
      <c r="I196" s="168" t="s">
        <v>1127</v>
      </c>
      <c r="J196" s="177">
        <v>70</v>
      </c>
    </row>
    <row r="197" spans="1:10">
      <c r="A197" s="220" t="str">
        <f>TEXT(captured[[#This Row],[ID]],"0")</f>
        <v>2096785</v>
      </c>
      <c r="B197" s="206">
        <v>2096785</v>
      </c>
      <c r="C197" s="169" t="s">
        <v>1085</v>
      </c>
      <c r="D197" s="168">
        <v>26</v>
      </c>
      <c r="E197" s="168">
        <v>85</v>
      </c>
      <c r="F197" s="168">
        <v>36</v>
      </c>
      <c r="G197" s="168">
        <v>26</v>
      </c>
      <c r="H197" s="168">
        <v>26</v>
      </c>
      <c r="I197" s="168" t="s">
        <v>1045</v>
      </c>
      <c r="J197" s="177">
        <v>35</v>
      </c>
    </row>
    <row r="198" spans="1:10">
      <c r="A198" s="220" t="str">
        <f>TEXT(captured[[#This Row],[ID]],"0")</f>
        <v>2010805</v>
      </c>
      <c r="B198" s="206">
        <v>2010805</v>
      </c>
      <c r="C198" s="169" t="s">
        <v>1114</v>
      </c>
      <c r="D198" s="168">
        <v>46</v>
      </c>
      <c r="E198" s="168">
        <v>85</v>
      </c>
      <c r="F198" s="168">
        <v>48</v>
      </c>
      <c r="G198" s="168">
        <v>34</v>
      </c>
      <c r="H198" s="168">
        <v>34</v>
      </c>
      <c r="I198" s="171" t="s">
        <v>1045</v>
      </c>
      <c r="J198" s="180">
        <v>45</v>
      </c>
    </row>
    <row r="199" spans="1:10">
      <c r="A199" s="220" t="str">
        <f>TEXT(captured[[#This Row],[ID]],"0")</f>
        <v>1860900</v>
      </c>
      <c r="B199" s="206">
        <v>1860900</v>
      </c>
      <c r="C199" s="169" t="s">
        <v>1151</v>
      </c>
      <c r="D199" s="168">
        <v>49</v>
      </c>
      <c r="E199" s="168">
        <v>85</v>
      </c>
      <c r="F199" s="168">
        <v>51</v>
      </c>
      <c r="G199" s="168">
        <v>62</v>
      </c>
      <c r="H199" s="168">
        <v>62</v>
      </c>
      <c r="I199" s="168" t="s">
        <v>1127</v>
      </c>
      <c r="J199" s="177">
        <v>59</v>
      </c>
    </row>
    <row r="200" spans="1:10">
      <c r="A200" s="220" t="str">
        <f>TEXT(captured[[#This Row],[ID]],"0")</f>
        <v>2308227</v>
      </c>
      <c r="B200" s="206">
        <v>2308227</v>
      </c>
      <c r="C200" s="169" t="s">
        <v>1080</v>
      </c>
      <c r="D200" s="168">
        <v>31</v>
      </c>
      <c r="E200" s="168">
        <v>55</v>
      </c>
      <c r="F200" s="168">
        <v>40</v>
      </c>
      <c r="G200" s="168">
        <v>26</v>
      </c>
      <c r="H200" s="168">
        <v>26</v>
      </c>
      <c r="I200" s="168" t="s">
        <v>1056</v>
      </c>
      <c r="J200" s="177">
        <v>38</v>
      </c>
    </row>
    <row r="201" spans="1:10">
      <c r="A201" s="220" t="str">
        <f>TEXT(captured[[#This Row],[ID]],"0")</f>
        <v>1823178</v>
      </c>
      <c r="B201" s="206">
        <v>1823178</v>
      </c>
      <c r="C201" s="169" t="s">
        <v>1094</v>
      </c>
      <c r="D201" s="168">
        <v>26</v>
      </c>
      <c r="E201" s="168">
        <v>70</v>
      </c>
      <c r="F201" s="168">
        <v>49</v>
      </c>
      <c r="G201" s="168">
        <v>27</v>
      </c>
      <c r="H201" s="168">
        <v>27</v>
      </c>
      <c r="I201" s="168" t="s">
        <v>1056</v>
      </c>
      <c r="J201" s="177">
        <v>38</v>
      </c>
    </row>
    <row r="202" spans="1:10">
      <c r="A202" s="220" t="str">
        <f>TEXT(captured[[#This Row],[ID]],"0")</f>
        <v>2155841</v>
      </c>
      <c r="B202" s="206">
        <v>2155841</v>
      </c>
      <c r="C202" s="169" t="s">
        <v>1213</v>
      </c>
      <c r="D202" s="168">
        <v>14</v>
      </c>
      <c r="E202" s="168">
        <v>20</v>
      </c>
      <c r="F202" s="168">
        <v>0</v>
      </c>
      <c r="G202" s="168">
        <v>0</v>
      </c>
      <c r="H202" s="168">
        <v>0</v>
      </c>
      <c r="I202" s="168" t="s">
        <v>1209</v>
      </c>
      <c r="J202" s="177" t="s">
        <v>1208</v>
      </c>
    </row>
    <row r="203" spans="1:10">
      <c r="A203" s="220" t="str">
        <f>TEXT(captured[[#This Row],[ID]],"0")</f>
        <v>1722529</v>
      </c>
      <c r="B203" s="206">
        <v>1722529</v>
      </c>
      <c r="C203" s="169" t="s">
        <v>1071</v>
      </c>
      <c r="D203" s="168">
        <v>23</v>
      </c>
      <c r="E203" s="168">
        <v>50</v>
      </c>
      <c r="F203" s="168">
        <v>24</v>
      </c>
      <c r="G203" s="168">
        <v>31</v>
      </c>
      <c r="H203" s="168">
        <v>31</v>
      </c>
      <c r="I203" s="168" t="s">
        <v>1045</v>
      </c>
      <c r="J203" s="177">
        <v>30</v>
      </c>
    </row>
    <row r="204" spans="1:10">
      <c r="A204" s="220" t="str">
        <f>TEXT(captured[[#This Row],[ID]],"0")</f>
        <v>2305656</v>
      </c>
      <c r="B204" s="206">
        <v>2305656</v>
      </c>
      <c r="C204" s="169" t="s">
        <v>1158</v>
      </c>
      <c r="D204" s="168">
        <v>51</v>
      </c>
      <c r="E204" s="168">
        <v>50</v>
      </c>
      <c r="F204" s="168">
        <v>77</v>
      </c>
      <c r="G204" s="168">
        <v>58</v>
      </c>
      <c r="H204" s="168">
        <v>58</v>
      </c>
      <c r="I204" s="168" t="s">
        <v>1127</v>
      </c>
      <c r="J204" s="177">
        <v>62</v>
      </c>
    </row>
    <row r="205" spans="1:10">
      <c r="A205" s="220" t="str">
        <f>TEXT(captured[[#This Row],[ID]],"0")</f>
        <v>2328822</v>
      </c>
      <c r="B205" s="206">
        <v>2328822</v>
      </c>
      <c r="C205" s="169" t="s">
        <v>1179</v>
      </c>
      <c r="D205" s="168">
        <v>69</v>
      </c>
      <c r="E205" s="168">
        <v>100</v>
      </c>
      <c r="F205" s="168">
        <v>73</v>
      </c>
      <c r="G205" s="168">
        <v>88</v>
      </c>
      <c r="H205" s="168">
        <v>88</v>
      </c>
      <c r="I205" s="168" t="s">
        <v>1127</v>
      </c>
      <c r="J205" s="177">
        <v>82</v>
      </c>
    </row>
    <row r="206" spans="1:10">
      <c r="A206" s="220" t="str">
        <f>TEXT(captured[[#This Row],[ID]],"0")</f>
        <v>2103308</v>
      </c>
      <c r="B206" s="206">
        <v>2103308</v>
      </c>
      <c r="C206" s="169" t="s">
        <v>1119</v>
      </c>
      <c r="D206" s="168">
        <v>49</v>
      </c>
      <c r="E206" s="168">
        <v>85</v>
      </c>
      <c r="F206" s="168">
        <v>55</v>
      </c>
      <c r="G206" s="168">
        <v>35</v>
      </c>
      <c r="H206" s="168">
        <v>35</v>
      </c>
      <c r="I206" s="168" t="s">
        <v>1127</v>
      </c>
      <c r="J206" s="177">
        <v>50</v>
      </c>
    </row>
    <row r="207" spans="1:10">
      <c r="A207" s="220" t="str">
        <f>TEXT(captured[[#This Row],[ID]],"0")</f>
        <v>2186479</v>
      </c>
      <c r="B207" s="206">
        <v>2186479</v>
      </c>
      <c r="C207" s="169" t="s">
        <v>1212</v>
      </c>
      <c r="D207" s="168">
        <v>29</v>
      </c>
      <c r="E207" s="168">
        <v>20</v>
      </c>
      <c r="F207" s="168">
        <v>20</v>
      </c>
      <c r="G207" s="168">
        <v>0</v>
      </c>
      <c r="H207" s="168">
        <v>0</v>
      </c>
      <c r="I207" s="168" t="s">
        <v>1209</v>
      </c>
      <c r="J207" s="177" t="s">
        <v>1208</v>
      </c>
    </row>
    <row r="208" spans="1:10">
      <c r="A208" s="220" t="str">
        <f>TEXT(captured[[#This Row],[ID]],"0")</f>
        <v>2340555</v>
      </c>
      <c r="B208" s="206">
        <v>2340555</v>
      </c>
      <c r="C208" s="169" t="s">
        <v>1211</v>
      </c>
      <c r="D208" s="168">
        <v>0</v>
      </c>
      <c r="E208" s="168">
        <v>0</v>
      </c>
      <c r="F208" s="168">
        <v>0</v>
      </c>
      <c r="G208" s="168">
        <v>0</v>
      </c>
      <c r="H208" s="168">
        <v>0</v>
      </c>
      <c r="I208" s="168" t="s">
        <v>1209</v>
      </c>
      <c r="J208" s="177" t="s">
        <v>1208</v>
      </c>
    </row>
    <row r="209" spans="1:10">
      <c r="A209" s="220" t="str">
        <f>TEXT(captured[[#This Row],[ID]],"0")</f>
        <v>1823614</v>
      </c>
      <c r="B209" s="206">
        <v>1823614</v>
      </c>
      <c r="C209" s="169" t="s">
        <v>1102</v>
      </c>
      <c r="D209" s="168">
        <v>0</v>
      </c>
      <c r="E209" s="168">
        <v>85</v>
      </c>
      <c r="F209" s="168">
        <v>55</v>
      </c>
      <c r="G209" s="168">
        <v>22</v>
      </c>
      <c r="H209" s="168">
        <v>22</v>
      </c>
      <c r="I209" s="168" t="s">
        <v>1056</v>
      </c>
      <c r="J209" s="177">
        <v>44</v>
      </c>
    </row>
    <row r="210" spans="1:10">
      <c r="A210" s="220" t="str">
        <f>TEXT(captured[[#This Row],[ID]],"0")</f>
        <v>1908825</v>
      </c>
      <c r="B210" s="206">
        <v>1908825</v>
      </c>
      <c r="C210" s="169" t="s">
        <v>1062</v>
      </c>
      <c r="D210" s="168">
        <v>3</v>
      </c>
      <c r="E210" s="168">
        <v>40</v>
      </c>
      <c r="F210" s="168">
        <v>26</v>
      </c>
      <c r="G210" s="168">
        <v>23</v>
      </c>
      <c r="H210" s="168">
        <v>23</v>
      </c>
      <c r="I210" s="168" t="s">
        <v>1045</v>
      </c>
      <c r="J210" s="177">
        <v>23</v>
      </c>
    </row>
    <row r="211" spans="1:10">
      <c r="A211" s="220" t="str">
        <f>TEXT(captured[[#This Row],[ID]],"0")</f>
        <v>2219934</v>
      </c>
      <c r="B211" s="206">
        <v>2219934</v>
      </c>
      <c r="C211" s="169" t="s">
        <v>1183</v>
      </c>
      <c r="D211" s="168">
        <v>0</v>
      </c>
      <c r="E211" s="168">
        <v>20</v>
      </c>
      <c r="F211" s="168">
        <v>43</v>
      </c>
      <c r="G211" s="170"/>
      <c r="H211" s="168">
        <v>0</v>
      </c>
      <c r="I211" s="170" t="s">
        <v>1181</v>
      </c>
      <c r="J211" s="178" t="s">
        <v>1181</v>
      </c>
    </row>
    <row r="212" spans="1:10">
      <c r="A212" s="220" t="str">
        <f>TEXT(captured[[#This Row],[ID]],"0")</f>
        <v>2353833</v>
      </c>
      <c r="B212" s="206">
        <v>2353833</v>
      </c>
      <c r="C212" s="169" t="s">
        <v>1093</v>
      </c>
      <c r="D212" s="168">
        <v>63</v>
      </c>
      <c r="E212" s="168">
        <v>90</v>
      </c>
      <c r="F212" s="168">
        <v>23</v>
      </c>
      <c r="G212" s="168">
        <v>28</v>
      </c>
      <c r="H212" s="168">
        <v>28</v>
      </c>
      <c r="I212" s="168" t="s">
        <v>1045</v>
      </c>
      <c r="J212" s="177">
        <v>38</v>
      </c>
    </row>
    <row r="213" spans="1:10">
      <c r="A213" s="220" t="str">
        <f>TEXT(captured[[#This Row],[ID]],"0")</f>
        <v>2113490</v>
      </c>
      <c r="B213" s="206">
        <v>2113490</v>
      </c>
      <c r="C213" s="169" t="s">
        <v>1217</v>
      </c>
      <c r="D213" s="168">
        <v>17</v>
      </c>
      <c r="E213" s="168">
        <v>0</v>
      </c>
      <c r="F213" s="168">
        <v>0</v>
      </c>
      <c r="G213" s="168">
        <v>14</v>
      </c>
      <c r="H213" s="168">
        <v>14</v>
      </c>
      <c r="I213" s="168" t="s">
        <v>1045</v>
      </c>
      <c r="J213" s="177">
        <v>9</v>
      </c>
    </row>
    <row r="214" spans="1:10">
      <c r="A214" s="220" t="str">
        <f>TEXT(captured[[#This Row],[ID]],"0")</f>
        <v>2351852</v>
      </c>
      <c r="B214" s="206">
        <v>2351852</v>
      </c>
      <c r="C214" s="169" t="s">
        <v>1180</v>
      </c>
      <c r="D214" s="168">
        <v>77</v>
      </c>
      <c r="E214" s="168">
        <v>100</v>
      </c>
      <c r="F214" s="168">
        <v>90</v>
      </c>
      <c r="G214" s="168">
        <v>76</v>
      </c>
      <c r="H214" s="168">
        <v>76</v>
      </c>
      <c r="I214" s="168" t="s">
        <v>1127</v>
      </c>
      <c r="J214" s="177">
        <v>83</v>
      </c>
    </row>
    <row r="215" spans="1:10">
      <c r="A215" s="220" t="str">
        <f>TEXT(captured[[#This Row],[ID]],"0")</f>
        <v>2141604</v>
      </c>
      <c r="B215" s="206">
        <v>2141604</v>
      </c>
      <c r="C215" s="169" t="s">
        <v>1066</v>
      </c>
      <c r="D215" s="168">
        <v>54</v>
      </c>
      <c r="E215" s="168">
        <v>40</v>
      </c>
      <c r="F215" s="168">
        <v>0</v>
      </c>
      <c r="G215" s="168">
        <v>33</v>
      </c>
      <c r="H215" s="168">
        <v>33</v>
      </c>
      <c r="I215" s="168" t="s">
        <v>1045</v>
      </c>
      <c r="J215" s="177">
        <v>27</v>
      </c>
    </row>
    <row r="216" spans="1:10">
      <c r="A216" s="220" t="str">
        <f>TEXT(captured[[#This Row],[ID]],"0")</f>
        <v>2373926</v>
      </c>
      <c r="B216" s="206">
        <v>2373926</v>
      </c>
      <c r="C216" s="169" t="s">
        <v>1101</v>
      </c>
      <c r="D216" s="168">
        <v>43</v>
      </c>
      <c r="E216" s="168">
        <v>75</v>
      </c>
      <c r="F216" s="168">
        <v>40</v>
      </c>
      <c r="G216" s="168">
        <v>32</v>
      </c>
      <c r="H216" s="168">
        <v>32</v>
      </c>
      <c r="I216" s="171" t="s">
        <v>1045</v>
      </c>
      <c r="J216" s="180">
        <v>40</v>
      </c>
    </row>
    <row r="217" spans="1:10">
      <c r="A217" s="223" t="str">
        <f>TEXT(captured[[#This Row],[ID]],"0")</f>
        <v>1437039</v>
      </c>
      <c r="B217" s="206">
        <v>1437039</v>
      </c>
      <c r="C217" s="184" t="s">
        <v>1182</v>
      </c>
      <c r="D217" s="185">
        <v>63</v>
      </c>
      <c r="E217" s="185">
        <v>55</v>
      </c>
      <c r="F217" s="185">
        <v>0</v>
      </c>
      <c r="G217" s="186"/>
      <c r="H217" s="185">
        <v>0</v>
      </c>
      <c r="I217" s="186" t="s">
        <v>1181</v>
      </c>
      <c r="J217" s="187" t="s">
        <v>1181</v>
      </c>
    </row>
    <row r="218" spans="1:10">
      <c r="J218" s="2" t="s">
        <v>908</v>
      </c>
    </row>
    <row r="219" spans="1:10">
      <c r="J219" s="2" t="s">
        <v>908</v>
      </c>
    </row>
    <row r="220" spans="1:10">
      <c r="J220" s="2" t="s">
        <v>908</v>
      </c>
    </row>
  </sheetData>
  <pageMargins left="0.75" right="0.75" top="1" bottom="1" header="0.5" footer="0.5"/>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249977111117893"/>
  </sheetPr>
  <dimension ref="A1:F142"/>
  <sheetViews>
    <sheetView zoomScale="90" zoomScaleNormal="90" workbookViewId="0">
      <selection activeCell="F1" sqref="F1:F1048576"/>
    </sheetView>
  </sheetViews>
  <sheetFormatPr defaultColWidth="9.109375" defaultRowHeight="14.4"/>
  <cols>
    <col min="1" max="1" width="13.77734375" customWidth="1"/>
    <col min="2" max="2" width="27" style="210" customWidth="1"/>
    <col min="3" max="3" width="13.5546875" bestFit="1" customWidth="1"/>
    <col min="4" max="4" width="10.5546875" style="2" customWidth="1"/>
    <col min="5" max="5" width="22.33203125" customWidth="1"/>
    <col min="6" max="6" width="19.44140625" customWidth="1"/>
    <col min="7" max="13" width="12.6640625" bestFit="1" customWidth="1"/>
    <col min="14" max="14" width="12.6640625" customWidth="1"/>
    <col min="15" max="17" width="12.6640625" bestFit="1" customWidth="1"/>
    <col min="18" max="18" width="10.6640625" bestFit="1" customWidth="1"/>
  </cols>
  <sheetData>
    <row r="1" spans="1:6" ht="31.2">
      <c r="A1" s="34" t="s">
        <v>36</v>
      </c>
      <c r="D1"/>
    </row>
    <row r="2" spans="1:6" ht="21">
      <c r="A2" s="9"/>
    </row>
    <row r="3" spans="1:6">
      <c r="A3" s="3" t="s">
        <v>28</v>
      </c>
      <c r="D3" s="2">
        <v>35</v>
      </c>
    </row>
    <row r="4" spans="1:6">
      <c r="A4" s="3" t="s">
        <v>268</v>
      </c>
      <c r="D4" s="2">
        <v>0</v>
      </c>
    </row>
    <row r="5" spans="1:6">
      <c r="A5" t="s">
        <v>25</v>
      </c>
      <c r="C5" s="6">
        <v>100</v>
      </c>
      <c r="D5" s="2">
        <f>$D$3-$D$4</f>
        <v>35</v>
      </c>
    </row>
    <row r="6" spans="1:6">
      <c r="A6" s="5" t="s">
        <v>617</v>
      </c>
      <c r="B6" s="1" t="s">
        <v>1010</v>
      </c>
      <c r="C6" s="33" t="s">
        <v>29</v>
      </c>
      <c r="D6" s="32" t="s">
        <v>28</v>
      </c>
      <c r="E6" s="32" t="s">
        <v>24</v>
      </c>
      <c r="F6" s="32" t="s">
        <v>1370</v>
      </c>
    </row>
    <row r="7" spans="1:6">
      <c r="A7" s="25" t="s">
        <v>271</v>
      </c>
      <c r="B7" s="7" t="s">
        <v>448</v>
      </c>
      <c r="C7" s="11" t="str">
        <f>IF(ISNUMBER(Test[[#This Row],[Total]]),ROUND(Test[[#This Row],[Total]]/$D$5*100,0),"")</f>
        <v/>
      </c>
      <c r="D7" s="6"/>
      <c r="E7" s="3"/>
      <c r="F7" s="2" t="b">
        <f>OR(AND(ISNUMBER(Test[[#This Row],[Total (%)]]),Test[[#This Row],[Total (%)]]&gt;=0,Test[[#This Row],[Total (%)]]&lt;=C$5),ISNUMBER(FIND("ABS",Test[[#This Row],[Total (%)]])),ISNUMBER(FIND("DEF",Test[[#This Row],[Total (%)]])),COUNTBLANK(Test[[#This Row],[Total (%)]])=1)</f>
        <v>1</v>
      </c>
    </row>
    <row r="8" spans="1:6">
      <c r="A8" s="14" t="s">
        <v>273</v>
      </c>
      <c r="B8" s="27" t="s">
        <v>450</v>
      </c>
      <c r="C8" s="28" t="str">
        <f>IF(ISNUMBER(Test[[#This Row],[Total]]),ROUND(Test[[#This Row],[Total]]/$D$5*100,0),"")</f>
        <v/>
      </c>
      <c r="E8" s="3"/>
      <c r="F8" s="137" t="b">
        <f>OR(AND(ISNUMBER(Test[[#This Row],[Total (%)]]),Test[[#This Row],[Total (%)]]&gt;=0,Test[[#This Row],[Total (%)]]&lt;=C$5),ISNUMBER(FIND("ABS",Test[[#This Row],[Total (%)]])),ISNUMBER(FIND("DEF",Test[[#This Row],[Total (%)]])),COUNTBLANK(Test[[#This Row],[Total (%)]])=1)</f>
        <v>1</v>
      </c>
    </row>
    <row r="9" spans="1:6">
      <c r="A9" s="14" t="s">
        <v>1443</v>
      </c>
      <c r="B9" s="27" t="s">
        <v>1371</v>
      </c>
      <c r="C9" s="28" t="str">
        <f>IF(ISNUMBER(Test[[#This Row],[Total]]),ROUND(Test[[#This Row],[Total]]/$D$5*100,0),"")</f>
        <v/>
      </c>
      <c r="E9" s="3"/>
      <c r="F9" s="137" t="b">
        <f>OR(AND(ISNUMBER(Test[[#This Row],[Total (%)]]),Test[[#This Row],[Total (%)]]&gt;=0,Test[[#This Row],[Total (%)]]&lt;=C$5),ISNUMBER(FIND("ABS",Test[[#This Row],[Total (%)]])),ISNUMBER(FIND("DEF",Test[[#This Row],[Total (%)]])),COUNTBLANK(Test[[#This Row],[Total (%)]])=1)</f>
        <v>1</v>
      </c>
    </row>
    <row r="10" spans="1:6">
      <c r="A10" s="14" t="s">
        <v>278</v>
      </c>
      <c r="B10" s="27" t="s">
        <v>455</v>
      </c>
      <c r="C10" s="28" t="str">
        <f>IF(ISNUMBER(Test[[#This Row],[Total]]),ROUND(Test[[#This Row],[Total]]/$D$5*100,0),"")</f>
        <v/>
      </c>
      <c r="E10" s="3"/>
      <c r="F10" s="137" t="b">
        <f>OR(AND(ISNUMBER(Test[[#This Row],[Total (%)]]),Test[[#This Row],[Total (%)]]&gt;=0,Test[[#This Row],[Total (%)]]&lt;=C$5),ISNUMBER(FIND("ABS",Test[[#This Row],[Total (%)]])),ISNUMBER(FIND("DEF",Test[[#This Row],[Total (%)]])),COUNTBLANK(Test[[#This Row],[Total (%)]])=1)</f>
        <v>1</v>
      </c>
    </row>
    <row r="11" spans="1:6">
      <c r="A11" s="14" t="s">
        <v>1444</v>
      </c>
      <c r="B11" s="27" t="s">
        <v>1372</v>
      </c>
      <c r="C11" s="28" t="str">
        <f>IF(ISNUMBER(Test[[#This Row],[Total]]),ROUND(Test[[#This Row],[Total]]/$D$5*100,0),"")</f>
        <v/>
      </c>
      <c r="E11" s="3"/>
      <c r="F11" s="137" t="b">
        <f>OR(AND(ISNUMBER(Test[[#This Row],[Total (%)]]),Test[[#This Row],[Total (%)]]&gt;=0,Test[[#This Row],[Total (%)]]&lt;=C$5),ISNUMBER(FIND("ABS",Test[[#This Row],[Total (%)]])),ISNUMBER(FIND("DEF",Test[[#This Row],[Total (%)]])),COUNTBLANK(Test[[#This Row],[Total (%)]])=1)</f>
        <v>1</v>
      </c>
    </row>
    <row r="12" spans="1:6">
      <c r="A12" s="14" t="s">
        <v>1445</v>
      </c>
      <c r="B12" s="27" t="s">
        <v>1373</v>
      </c>
      <c r="C12" s="28" t="str">
        <f>IF(ISNUMBER(Test[[#This Row],[Total]]),ROUND(Test[[#This Row],[Total]]/$D$5*100,0),"")</f>
        <v/>
      </c>
      <c r="E12" s="3"/>
      <c r="F12" s="137" t="b">
        <f>OR(AND(ISNUMBER(Test[[#This Row],[Total (%)]]),Test[[#This Row],[Total (%)]]&gt;=0,Test[[#This Row],[Total (%)]]&lt;=C$5),ISNUMBER(FIND("ABS",Test[[#This Row],[Total (%)]])),ISNUMBER(FIND("DEF",Test[[#This Row],[Total (%)]])),COUNTBLANK(Test[[#This Row],[Total (%)]])=1)</f>
        <v>1</v>
      </c>
    </row>
    <row r="13" spans="1:6">
      <c r="A13" s="14" t="s">
        <v>279</v>
      </c>
      <c r="B13" s="27" t="s">
        <v>456</v>
      </c>
      <c r="C13" s="28" t="str">
        <f>IF(ISNUMBER(Test[[#This Row],[Total]]),ROUND(Test[[#This Row],[Total]]/$D$5*100,0),"")</f>
        <v/>
      </c>
      <c r="E13" s="3"/>
      <c r="F13" s="137" t="b">
        <f>OR(AND(ISNUMBER(Test[[#This Row],[Total (%)]]),Test[[#This Row],[Total (%)]]&gt;=0,Test[[#This Row],[Total (%)]]&lt;=C$5),ISNUMBER(FIND("ABS",Test[[#This Row],[Total (%)]])),ISNUMBER(FIND("DEF",Test[[#This Row],[Total (%)]])),COUNTBLANK(Test[[#This Row],[Total (%)]])=1)</f>
        <v>1</v>
      </c>
    </row>
    <row r="14" spans="1:6">
      <c r="A14" s="14" t="s">
        <v>1446</v>
      </c>
      <c r="B14" s="27" t="s">
        <v>1374</v>
      </c>
      <c r="C14" s="28" t="str">
        <f>IF(ISNUMBER(Test[[#This Row],[Total]]),ROUND(Test[[#This Row],[Total]]/$D$5*100,0),"")</f>
        <v/>
      </c>
      <c r="E14" s="3"/>
      <c r="F14" s="137" t="b">
        <f>OR(AND(ISNUMBER(Test[[#This Row],[Total (%)]]),Test[[#This Row],[Total (%)]]&gt;=0,Test[[#This Row],[Total (%)]]&lt;=C$5),ISNUMBER(FIND("ABS",Test[[#This Row],[Total (%)]])),ISNUMBER(FIND("DEF",Test[[#This Row],[Total (%)]])),COUNTBLANK(Test[[#This Row],[Total (%)]])=1)</f>
        <v>1</v>
      </c>
    </row>
    <row r="15" spans="1:6">
      <c r="A15" s="14" t="s">
        <v>280</v>
      </c>
      <c r="B15" s="27" t="s">
        <v>457</v>
      </c>
      <c r="C15" s="28" t="str">
        <f>IF(ISNUMBER(Test[[#This Row],[Total]]),ROUND(Test[[#This Row],[Total]]/$D$5*100,0),"")</f>
        <v/>
      </c>
      <c r="E15" s="3"/>
      <c r="F15" s="137" t="b">
        <f>OR(AND(ISNUMBER(Test[[#This Row],[Total (%)]]),Test[[#This Row],[Total (%)]]&gt;=0,Test[[#This Row],[Total (%)]]&lt;=C$5),ISNUMBER(FIND("ABS",Test[[#This Row],[Total (%)]])),ISNUMBER(FIND("DEF",Test[[#This Row],[Total (%)]])),COUNTBLANK(Test[[#This Row],[Total (%)]])=1)</f>
        <v>1</v>
      </c>
    </row>
    <row r="16" spans="1:6">
      <c r="A16" s="14" t="s">
        <v>1447</v>
      </c>
      <c r="B16" s="27" t="s">
        <v>1375</v>
      </c>
      <c r="C16" s="28" t="str">
        <f>IF(ISNUMBER(Test[[#This Row],[Total]]),ROUND(Test[[#This Row],[Total]]/$D$5*100,0),"")</f>
        <v/>
      </c>
      <c r="E16" s="3"/>
      <c r="F16" s="137" t="b">
        <f>OR(AND(ISNUMBER(Test[[#This Row],[Total (%)]]),Test[[#This Row],[Total (%)]]&gt;=0,Test[[#This Row],[Total (%)]]&lt;=C$5),ISNUMBER(FIND("ABS",Test[[#This Row],[Total (%)]])),ISNUMBER(FIND("DEF",Test[[#This Row],[Total (%)]])),COUNTBLANK(Test[[#This Row],[Total (%)]])=1)</f>
        <v>1</v>
      </c>
    </row>
    <row r="17" spans="1:6">
      <c r="A17" s="14" t="s">
        <v>1448</v>
      </c>
      <c r="B17" s="27" t="s">
        <v>1376</v>
      </c>
      <c r="C17" s="28" t="str">
        <f>IF(ISNUMBER(Test[[#This Row],[Total]]),ROUND(Test[[#This Row],[Total]]/$D$5*100,0),"")</f>
        <v/>
      </c>
      <c r="E17" s="3"/>
      <c r="F17" s="137" t="b">
        <f>OR(AND(ISNUMBER(Test[[#This Row],[Total (%)]]),Test[[#This Row],[Total (%)]]&gt;=0,Test[[#This Row],[Total (%)]]&lt;=C$5),ISNUMBER(FIND("ABS",Test[[#This Row],[Total (%)]])),ISNUMBER(FIND("DEF",Test[[#This Row],[Total (%)]])),COUNTBLANK(Test[[#This Row],[Total (%)]])=1)</f>
        <v>1</v>
      </c>
    </row>
    <row r="18" spans="1:6">
      <c r="A18" s="14" t="s">
        <v>1449</v>
      </c>
      <c r="B18" s="27" t="s">
        <v>1377</v>
      </c>
      <c r="C18" s="28" t="str">
        <f>IF(ISNUMBER(Test[[#This Row],[Total]]),ROUND(Test[[#This Row],[Total]]/$D$5*100,0),"")</f>
        <v/>
      </c>
      <c r="E18" s="3"/>
      <c r="F18" s="137" t="b">
        <f>OR(AND(ISNUMBER(Test[[#This Row],[Total (%)]]),Test[[#This Row],[Total (%)]]&gt;=0,Test[[#This Row],[Total (%)]]&lt;=C$5),ISNUMBER(FIND("ABS",Test[[#This Row],[Total (%)]])),ISNUMBER(FIND("DEF",Test[[#This Row],[Total (%)]])),COUNTBLANK(Test[[#This Row],[Total (%)]])=1)</f>
        <v>1</v>
      </c>
    </row>
    <row r="19" spans="1:6">
      <c r="A19" s="14" t="s">
        <v>1450</v>
      </c>
      <c r="B19" s="27" t="s">
        <v>1378</v>
      </c>
      <c r="C19" s="28" t="str">
        <f>IF(ISNUMBER(Test[[#This Row],[Total]]),ROUND(Test[[#This Row],[Total]]/$D$5*100,0),"")</f>
        <v/>
      </c>
      <c r="E19" s="3"/>
      <c r="F19" s="137" t="b">
        <f>OR(AND(ISNUMBER(Test[[#This Row],[Total (%)]]),Test[[#This Row],[Total (%)]]&gt;=0,Test[[#This Row],[Total (%)]]&lt;=C$5),ISNUMBER(FIND("ABS",Test[[#This Row],[Total (%)]])),ISNUMBER(FIND("DEF",Test[[#This Row],[Total (%)]])),COUNTBLANK(Test[[#This Row],[Total (%)]])=1)</f>
        <v>1</v>
      </c>
    </row>
    <row r="20" spans="1:6">
      <c r="A20" s="14" t="s">
        <v>1451</v>
      </c>
      <c r="B20" s="27" t="s">
        <v>1379</v>
      </c>
      <c r="C20" s="28" t="str">
        <f>IF(ISNUMBER(Test[[#This Row],[Total]]),ROUND(Test[[#This Row],[Total]]/$D$5*100,0),"")</f>
        <v/>
      </c>
      <c r="E20" s="3"/>
      <c r="F20" s="137" t="b">
        <f>OR(AND(ISNUMBER(Test[[#This Row],[Total (%)]]),Test[[#This Row],[Total (%)]]&gt;=0,Test[[#This Row],[Total (%)]]&lt;=C$5),ISNUMBER(FIND("ABS",Test[[#This Row],[Total (%)]])),ISNUMBER(FIND("DEF",Test[[#This Row],[Total (%)]])),COUNTBLANK(Test[[#This Row],[Total (%)]])=1)</f>
        <v>1</v>
      </c>
    </row>
    <row r="21" spans="1:6">
      <c r="A21" s="14" t="s">
        <v>1452</v>
      </c>
      <c r="B21" s="27" t="s">
        <v>1380</v>
      </c>
      <c r="C21" s="28" t="str">
        <f>IF(ISNUMBER(Test[[#This Row],[Total]]),ROUND(Test[[#This Row],[Total]]/$D$5*100,0),"")</f>
        <v/>
      </c>
      <c r="E21" s="3"/>
      <c r="F21" s="137" t="b">
        <f>OR(AND(ISNUMBER(Test[[#This Row],[Total (%)]]),Test[[#This Row],[Total (%)]]&gt;=0,Test[[#This Row],[Total (%)]]&lt;=C$5),ISNUMBER(FIND("ABS",Test[[#This Row],[Total (%)]])),ISNUMBER(FIND("DEF",Test[[#This Row],[Total (%)]])),COUNTBLANK(Test[[#This Row],[Total (%)]])=1)</f>
        <v>1</v>
      </c>
    </row>
    <row r="22" spans="1:6">
      <c r="A22" s="14" t="s">
        <v>1453</v>
      </c>
      <c r="B22" s="27" t="s">
        <v>1381</v>
      </c>
      <c r="C22" s="28" t="str">
        <f>IF(ISNUMBER(Test[[#This Row],[Total]]),ROUND(Test[[#This Row],[Total]]/$D$5*100,0),"")</f>
        <v/>
      </c>
      <c r="E22" s="3"/>
      <c r="F22" s="137" t="b">
        <f>OR(AND(ISNUMBER(Test[[#This Row],[Total (%)]]),Test[[#This Row],[Total (%)]]&gt;=0,Test[[#This Row],[Total (%)]]&lt;=C$5),ISNUMBER(FIND("ABS",Test[[#This Row],[Total (%)]])),ISNUMBER(FIND("DEF",Test[[#This Row],[Total (%)]])),COUNTBLANK(Test[[#This Row],[Total (%)]])=1)</f>
        <v>1</v>
      </c>
    </row>
    <row r="23" spans="1:6">
      <c r="A23" s="14" t="s">
        <v>285</v>
      </c>
      <c r="B23" s="27" t="s">
        <v>462</v>
      </c>
      <c r="C23" s="28" t="str">
        <f>IF(ISNUMBER(Test[[#This Row],[Total]]),ROUND(Test[[#This Row],[Total]]/$D$5*100,0),"")</f>
        <v/>
      </c>
      <c r="E23" s="3"/>
      <c r="F23" s="137" t="b">
        <f>OR(AND(ISNUMBER(Test[[#This Row],[Total (%)]]),Test[[#This Row],[Total (%)]]&gt;=0,Test[[#This Row],[Total (%)]]&lt;=C$5),ISNUMBER(FIND("ABS",Test[[#This Row],[Total (%)]])),ISNUMBER(FIND("DEF",Test[[#This Row],[Total (%)]])),COUNTBLANK(Test[[#This Row],[Total (%)]])=1)</f>
        <v>1</v>
      </c>
    </row>
    <row r="24" spans="1:6">
      <c r="A24" s="14" t="s">
        <v>1454</v>
      </c>
      <c r="B24" s="27" t="s">
        <v>1382</v>
      </c>
      <c r="C24" s="28" t="str">
        <f>IF(ISNUMBER(Test[[#This Row],[Total]]),ROUND(Test[[#This Row],[Total]]/$D$5*100,0),"")</f>
        <v/>
      </c>
      <c r="E24" s="3"/>
      <c r="F24" s="137" t="b">
        <f>OR(AND(ISNUMBER(Test[[#This Row],[Total (%)]]),Test[[#This Row],[Total (%)]]&gt;=0,Test[[#This Row],[Total (%)]]&lt;=C$5),ISNUMBER(FIND("ABS",Test[[#This Row],[Total (%)]])),ISNUMBER(FIND("DEF",Test[[#This Row],[Total (%)]])),COUNTBLANK(Test[[#This Row],[Total (%)]])=1)</f>
        <v>1</v>
      </c>
    </row>
    <row r="25" spans="1:6">
      <c r="A25" s="14" t="s">
        <v>1455</v>
      </c>
      <c r="B25" s="27" t="s">
        <v>1383</v>
      </c>
      <c r="C25" s="28" t="str">
        <f>IF(ISNUMBER(Test[[#This Row],[Total]]),ROUND(Test[[#This Row],[Total]]/$D$5*100,0),"")</f>
        <v/>
      </c>
      <c r="E25" s="3"/>
      <c r="F25" s="137" t="b">
        <f>OR(AND(ISNUMBER(Test[[#This Row],[Total (%)]]),Test[[#This Row],[Total (%)]]&gt;=0,Test[[#This Row],[Total (%)]]&lt;=C$5),ISNUMBER(FIND("ABS",Test[[#This Row],[Total (%)]])),ISNUMBER(FIND("DEF",Test[[#This Row],[Total (%)]])),COUNTBLANK(Test[[#This Row],[Total (%)]])=1)</f>
        <v>1</v>
      </c>
    </row>
    <row r="26" spans="1:6">
      <c r="A26" s="14" t="s">
        <v>1456</v>
      </c>
      <c r="B26" s="27" t="s">
        <v>1384</v>
      </c>
      <c r="C26" s="28" t="str">
        <f>IF(ISNUMBER(Test[[#This Row],[Total]]),ROUND(Test[[#This Row],[Total]]/$D$5*100,0),"")</f>
        <v/>
      </c>
      <c r="E26" s="3"/>
      <c r="F26" s="137" t="b">
        <f>OR(AND(ISNUMBER(Test[[#This Row],[Total (%)]]),Test[[#This Row],[Total (%)]]&gt;=0,Test[[#This Row],[Total (%)]]&lt;=C$5),ISNUMBER(FIND("ABS",Test[[#This Row],[Total (%)]])),ISNUMBER(FIND("DEF",Test[[#This Row],[Total (%)]])),COUNTBLANK(Test[[#This Row],[Total (%)]])=1)</f>
        <v>1</v>
      </c>
    </row>
    <row r="27" spans="1:6">
      <c r="A27" s="14" t="s">
        <v>1457</v>
      </c>
      <c r="B27" s="27" t="s">
        <v>1385</v>
      </c>
      <c r="C27" s="28" t="str">
        <f>IF(ISNUMBER(Test[[#This Row],[Total]]),ROUND(Test[[#This Row],[Total]]/$D$5*100,0),"")</f>
        <v/>
      </c>
      <c r="E27" s="3"/>
      <c r="F27" s="137" t="b">
        <f>OR(AND(ISNUMBER(Test[[#This Row],[Total (%)]]),Test[[#This Row],[Total (%)]]&gt;=0,Test[[#This Row],[Total (%)]]&lt;=C$5),ISNUMBER(FIND("ABS",Test[[#This Row],[Total (%)]])),ISNUMBER(FIND("DEF",Test[[#This Row],[Total (%)]])),COUNTBLANK(Test[[#This Row],[Total (%)]])=1)</f>
        <v>1</v>
      </c>
    </row>
    <row r="28" spans="1:6">
      <c r="A28" s="14" t="s">
        <v>290</v>
      </c>
      <c r="B28" s="27" t="s">
        <v>467</v>
      </c>
      <c r="C28" s="28" t="str">
        <f>IF(ISNUMBER(Test[[#This Row],[Total]]),ROUND(Test[[#This Row],[Total]]/$D$5*100,0),"")</f>
        <v/>
      </c>
      <c r="E28" s="3"/>
      <c r="F28" s="137" t="b">
        <f>OR(AND(ISNUMBER(Test[[#This Row],[Total (%)]]),Test[[#This Row],[Total (%)]]&gt;=0,Test[[#This Row],[Total (%)]]&lt;=C$5),ISNUMBER(FIND("ABS",Test[[#This Row],[Total (%)]])),ISNUMBER(FIND("DEF",Test[[#This Row],[Total (%)]])),COUNTBLANK(Test[[#This Row],[Total (%)]])=1)</f>
        <v>1</v>
      </c>
    </row>
    <row r="29" spans="1:6">
      <c r="A29" s="14" t="s">
        <v>1458</v>
      </c>
      <c r="B29" s="27" t="s">
        <v>1386</v>
      </c>
      <c r="C29" s="28" t="str">
        <f>IF(ISNUMBER(Test[[#This Row],[Total]]),ROUND(Test[[#This Row],[Total]]/$D$5*100,0),"")</f>
        <v/>
      </c>
      <c r="E29" s="3"/>
      <c r="F29" s="137" t="b">
        <f>OR(AND(ISNUMBER(Test[[#This Row],[Total (%)]]),Test[[#This Row],[Total (%)]]&gt;=0,Test[[#This Row],[Total (%)]]&lt;=C$5),ISNUMBER(FIND("ABS",Test[[#This Row],[Total (%)]])),ISNUMBER(FIND("DEF",Test[[#This Row],[Total (%)]])),COUNTBLANK(Test[[#This Row],[Total (%)]])=1)</f>
        <v>1</v>
      </c>
    </row>
    <row r="30" spans="1:6">
      <c r="A30" s="14" t="s">
        <v>299</v>
      </c>
      <c r="B30" s="27" t="s">
        <v>475</v>
      </c>
      <c r="C30" s="28" t="str">
        <f>IF(ISNUMBER(Test[[#This Row],[Total]]),ROUND(Test[[#This Row],[Total]]/$D$5*100,0),"")</f>
        <v/>
      </c>
      <c r="E30" s="3"/>
      <c r="F30" s="137" t="b">
        <f>OR(AND(ISNUMBER(Test[[#This Row],[Total (%)]]),Test[[#This Row],[Total (%)]]&gt;=0,Test[[#This Row],[Total (%)]]&lt;=C$5),ISNUMBER(FIND("ABS",Test[[#This Row],[Total (%)]])),ISNUMBER(FIND("DEF",Test[[#This Row],[Total (%)]])),COUNTBLANK(Test[[#This Row],[Total (%)]])=1)</f>
        <v>1</v>
      </c>
    </row>
    <row r="31" spans="1:6">
      <c r="A31" s="14" t="s">
        <v>302</v>
      </c>
      <c r="B31" s="27" t="s">
        <v>478</v>
      </c>
      <c r="C31" s="28" t="str">
        <f>IF(ISNUMBER(Test[[#This Row],[Total]]),ROUND(Test[[#This Row],[Total]]/$D$5*100,0),"")</f>
        <v/>
      </c>
      <c r="E31" s="3"/>
      <c r="F31" s="137" t="b">
        <f>OR(AND(ISNUMBER(Test[[#This Row],[Total (%)]]),Test[[#This Row],[Total (%)]]&gt;=0,Test[[#This Row],[Total (%)]]&lt;=C$5),ISNUMBER(FIND("ABS",Test[[#This Row],[Total (%)]])),ISNUMBER(FIND("DEF",Test[[#This Row],[Total (%)]])),COUNTBLANK(Test[[#This Row],[Total (%)]])=1)</f>
        <v>1</v>
      </c>
    </row>
    <row r="32" spans="1:6">
      <c r="A32" s="14" t="s">
        <v>1459</v>
      </c>
      <c r="B32" s="27" t="s">
        <v>1387</v>
      </c>
      <c r="C32" s="28" t="str">
        <f>IF(ISNUMBER(Test[[#This Row],[Total]]),ROUND(Test[[#This Row],[Total]]/$D$5*100,0),"")</f>
        <v/>
      </c>
      <c r="E32" s="3"/>
      <c r="F32" s="137" t="b">
        <f>OR(AND(ISNUMBER(Test[[#This Row],[Total (%)]]),Test[[#This Row],[Total (%)]]&gt;=0,Test[[#This Row],[Total (%)]]&lt;=C$5),ISNUMBER(FIND("ABS",Test[[#This Row],[Total (%)]])),ISNUMBER(FIND("DEF",Test[[#This Row],[Total (%)]])),COUNTBLANK(Test[[#This Row],[Total (%)]])=1)</f>
        <v>1</v>
      </c>
    </row>
    <row r="33" spans="1:6">
      <c r="A33" s="14" t="s">
        <v>303</v>
      </c>
      <c r="B33" s="27" t="s">
        <v>479</v>
      </c>
      <c r="C33" s="28" t="str">
        <f>IF(ISNUMBER(Test[[#This Row],[Total]]),ROUND(Test[[#This Row],[Total]]/$D$5*100,0),"")</f>
        <v/>
      </c>
      <c r="E33" s="3"/>
      <c r="F33" s="137" t="b">
        <f>OR(AND(ISNUMBER(Test[[#This Row],[Total (%)]]),Test[[#This Row],[Total (%)]]&gt;=0,Test[[#This Row],[Total (%)]]&lt;=C$5),ISNUMBER(FIND("ABS",Test[[#This Row],[Total (%)]])),ISNUMBER(FIND("DEF",Test[[#This Row],[Total (%)]])),COUNTBLANK(Test[[#This Row],[Total (%)]])=1)</f>
        <v>1</v>
      </c>
    </row>
    <row r="34" spans="1:6">
      <c r="A34" s="14" t="s">
        <v>306</v>
      </c>
      <c r="B34" s="27" t="s">
        <v>482</v>
      </c>
      <c r="C34" s="28" t="str">
        <f>IF(ISNUMBER(Test[[#This Row],[Total]]),ROUND(Test[[#This Row],[Total]]/$D$5*100,0),"")</f>
        <v/>
      </c>
      <c r="E34" s="3"/>
      <c r="F34" s="137" t="b">
        <f>OR(AND(ISNUMBER(Test[[#This Row],[Total (%)]]),Test[[#This Row],[Total (%)]]&gt;=0,Test[[#This Row],[Total (%)]]&lt;=C$5),ISNUMBER(FIND("ABS",Test[[#This Row],[Total (%)]])),ISNUMBER(FIND("DEF",Test[[#This Row],[Total (%)]])),COUNTBLANK(Test[[#This Row],[Total (%)]])=1)</f>
        <v>1</v>
      </c>
    </row>
    <row r="35" spans="1:6">
      <c r="A35" s="14" t="s">
        <v>309</v>
      </c>
      <c r="B35" s="27" t="s">
        <v>485</v>
      </c>
      <c r="C35" s="28" t="str">
        <f>IF(ISNUMBER(Test[[#This Row],[Total]]),ROUND(Test[[#This Row],[Total]]/$D$5*100,0),"")</f>
        <v/>
      </c>
      <c r="E35" s="3"/>
      <c r="F35" s="137" t="b">
        <f>OR(AND(ISNUMBER(Test[[#This Row],[Total (%)]]),Test[[#This Row],[Total (%)]]&gt;=0,Test[[#This Row],[Total (%)]]&lt;=C$5),ISNUMBER(FIND("ABS",Test[[#This Row],[Total (%)]])),ISNUMBER(FIND("DEF",Test[[#This Row],[Total (%)]])),COUNTBLANK(Test[[#This Row],[Total (%)]])=1)</f>
        <v>1</v>
      </c>
    </row>
    <row r="36" spans="1:6">
      <c r="A36" s="14" t="s">
        <v>1460</v>
      </c>
      <c r="B36" s="27" t="s">
        <v>1388</v>
      </c>
      <c r="C36" s="28" t="str">
        <f>IF(ISNUMBER(Test[[#This Row],[Total]]),ROUND(Test[[#This Row],[Total]]/$D$5*100,0),"")</f>
        <v/>
      </c>
      <c r="E36" s="3"/>
      <c r="F36" s="137" t="b">
        <f>OR(AND(ISNUMBER(Test[[#This Row],[Total (%)]]),Test[[#This Row],[Total (%)]]&gt;=0,Test[[#This Row],[Total (%)]]&lt;=C$5),ISNUMBER(FIND("ABS",Test[[#This Row],[Total (%)]])),ISNUMBER(FIND("DEF",Test[[#This Row],[Total (%)]])),COUNTBLANK(Test[[#This Row],[Total (%)]])=1)</f>
        <v>1</v>
      </c>
    </row>
    <row r="37" spans="1:6">
      <c r="A37" s="14" t="s">
        <v>315</v>
      </c>
      <c r="B37" s="27" t="s">
        <v>491</v>
      </c>
      <c r="C37" s="28" t="str">
        <f>IF(ISNUMBER(Test[[#This Row],[Total]]),ROUND(Test[[#This Row],[Total]]/$D$5*100,0),"")</f>
        <v/>
      </c>
      <c r="E37" s="3"/>
      <c r="F37" s="137" t="b">
        <f>OR(AND(ISNUMBER(Test[[#This Row],[Total (%)]]),Test[[#This Row],[Total (%)]]&gt;=0,Test[[#This Row],[Total (%)]]&lt;=C$5),ISNUMBER(FIND("ABS",Test[[#This Row],[Total (%)]])),ISNUMBER(FIND("DEF",Test[[#This Row],[Total (%)]])),COUNTBLANK(Test[[#This Row],[Total (%)]])=1)</f>
        <v>1</v>
      </c>
    </row>
    <row r="38" spans="1:6">
      <c r="A38" s="14" t="s">
        <v>1461</v>
      </c>
      <c r="B38" s="27" t="s">
        <v>1389</v>
      </c>
      <c r="C38" s="28" t="str">
        <f>IF(ISNUMBER(Test[[#This Row],[Total]]),ROUND(Test[[#This Row],[Total]]/$D$5*100,0),"")</f>
        <v/>
      </c>
      <c r="E38" s="3"/>
      <c r="F38" s="137" t="b">
        <f>OR(AND(ISNUMBER(Test[[#This Row],[Total (%)]]),Test[[#This Row],[Total (%)]]&gt;=0,Test[[#This Row],[Total (%)]]&lt;=C$5),ISNUMBER(FIND("ABS",Test[[#This Row],[Total (%)]])),ISNUMBER(FIND("DEF",Test[[#This Row],[Total (%)]])),COUNTBLANK(Test[[#This Row],[Total (%)]])=1)</f>
        <v>1</v>
      </c>
    </row>
    <row r="39" spans="1:6">
      <c r="A39" s="14" t="s">
        <v>316</v>
      </c>
      <c r="B39" s="27" t="s">
        <v>492</v>
      </c>
      <c r="C39" s="28" t="str">
        <f>IF(ISNUMBER(Test[[#This Row],[Total]]),ROUND(Test[[#This Row],[Total]]/$D$5*100,0),"")</f>
        <v/>
      </c>
      <c r="E39" s="3"/>
      <c r="F39" s="137" t="b">
        <f>OR(AND(ISNUMBER(Test[[#This Row],[Total (%)]]),Test[[#This Row],[Total (%)]]&gt;=0,Test[[#This Row],[Total (%)]]&lt;=C$5),ISNUMBER(FIND("ABS",Test[[#This Row],[Total (%)]])),ISNUMBER(FIND("DEF",Test[[#This Row],[Total (%)]])),COUNTBLANK(Test[[#This Row],[Total (%)]])=1)</f>
        <v>1</v>
      </c>
    </row>
    <row r="40" spans="1:6">
      <c r="A40" s="14" t="s">
        <v>1462</v>
      </c>
      <c r="B40" s="27" t="s">
        <v>1390</v>
      </c>
      <c r="C40" s="28" t="str">
        <f>IF(ISNUMBER(Test[[#This Row],[Total]]),ROUND(Test[[#This Row],[Total]]/$D$5*100,0),"")</f>
        <v/>
      </c>
      <c r="E40" s="3"/>
      <c r="F40" s="137" t="b">
        <f>OR(AND(ISNUMBER(Test[[#This Row],[Total (%)]]),Test[[#This Row],[Total (%)]]&gt;=0,Test[[#This Row],[Total (%)]]&lt;=C$5),ISNUMBER(FIND("ABS",Test[[#This Row],[Total (%)]])),ISNUMBER(FIND("DEF",Test[[#This Row],[Total (%)]])),COUNTBLANK(Test[[#This Row],[Total (%)]])=1)</f>
        <v>1</v>
      </c>
    </row>
    <row r="41" spans="1:6">
      <c r="A41" s="14" t="s">
        <v>324</v>
      </c>
      <c r="B41" s="27" t="s">
        <v>500</v>
      </c>
      <c r="C41" s="28" t="str">
        <f>IF(ISNUMBER(Test[[#This Row],[Total]]),ROUND(Test[[#This Row],[Total]]/$D$5*100,0),"")</f>
        <v/>
      </c>
      <c r="E41" s="3"/>
      <c r="F41" s="137" t="b">
        <f>OR(AND(ISNUMBER(Test[[#This Row],[Total (%)]]),Test[[#This Row],[Total (%)]]&gt;=0,Test[[#This Row],[Total (%)]]&lt;=C$5),ISNUMBER(FIND("ABS",Test[[#This Row],[Total (%)]])),ISNUMBER(FIND("DEF",Test[[#This Row],[Total (%)]])),COUNTBLANK(Test[[#This Row],[Total (%)]])=1)</f>
        <v>1</v>
      </c>
    </row>
    <row r="42" spans="1:6">
      <c r="A42" s="14" t="s">
        <v>1463</v>
      </c>
      <c r="B42" s="27" t="s">
        <v>1391</v>
      </c>
      <c r="C42" s="28" t="str">
        <f>IF(ISNUMBER(Test[[#This Row],[Total]]),ROUND(Test[[#This Row],[Total]]/$D$5*100,0),"")</f>
        <v/>
      </c>
      <c r="E42" s="3"/>
      <c r="F42" s="137" t="b">
        <f>OR(AND(ISNUMBER(Test[[#This Row],[Total (%)]]),Test[[#This Row],[Total (%)]]&gt;=0,Test[[#This Row],[Total (%)]]&lt;=C$5),ISNUMBER(FIND("ABS",Test[[#This Row],[Total (%)]])),ISNUMBER(FIND("DEF",Test[[#This Row],[Total (%)]])),COUNTBLANK(Test[[#This Row],[Total (%)]])=1)</f>
        <v>1</v>
      </c>
    </row>
    <row r="43" spans="1:6">
      <c r="A43" s="14" t="s">
        <v>1464</v>
      </c>
      <c r="B43" s="27" t="s">
        <v>1392</v>
      </c>
      <c r="C43" s="28" t="str">
        <f>IF(ISNUMBER(Test[[#This Row],[Total]]),ROUND(Test[[#This Row],[Total]]/$D$5*100,0),"")</f>
        <v/>
      </c>
      <c r="E43" s="3"/>
      <c r="F43" s="137" t="b">
        <f>OR(AND(ISNUMBER(Test[[#This Row],[Total (%)]]),Test[[#This Row],[Total (%)]]&gt;=0,Test[[#This Row],[Total (%)]]&lt;=C$5),ISNUMBER(FIND("ABS",Test[[#This Row],[Total (%)]])),ISNUMBER(FIND("DEF",Test[[#This Row],[Total (%)]])),COUNTBLANK(Test[[#This Row],[Total (%)]])=1)</f>
        <v>1</v>
      </c>
    </row>
    <row r="44" spans="1:6">
      <c r="A44" s="14" t="s">
        <v>1465</v>
      </c>
      <c r="B44" s="27" t="s">
        <v>1393</v>
      </c>
      <c r="C44" s="28" t="str">
        <f>IF(ISNUMBER(Test[[#This Row],[Total]]),ROUND(Test[[#This Row],[Total]]/$D$5*100,0),"")</f>
        <v/>
      </c>
      <c r="E44" s="3"/>
      <c r="F44" s="137" t="b">
        <f>OR(AND(ISNUMBER(Test[[#This Row],[Total (%)]]),Test[[#This Row],[Total (%)]]&gt;=0,Test[[#This Row],[Total (%)]]&lt;=C$5),ISNUMBER(FIND("ABS",Test[[#This Row],[Total (%)]])),ISNUMBER(FIND("DEF",Test[[#This Row],[Total (%)]])),COUNTBLANK(Test[[#This Row],[Total (%)]])=1)</f>
        <v>1</v>
      </c>
    </row>
    <row r="45" spans="1:6">
      <c r="A45" s="14" t="s">
        <v>1466</v>
      </c>
      <c r="B45" s="27" t="s">
        <v>1394</v>
      </c>
      <c r="C45" s="28" t="str">
        <f>IF(ISNUMBER(Test[[#This Row],[Total]]),ROUND(Test[[#This Row],[Total]]/$D$5*100,0),"")</f>
        <v/>
      </c>
      <c r="E45" s="3"/>
      <c r="F45" s="137" t="b">
        <f>OR(AND(ISNUMBER(Test[[#This Row],[Total (%)]]),Test[[#This Row],[Total (%)]]&gt;=0,Test[[#This Row],[Total (%)]]&lt;=C$5),ISNUMBER(FIND("ABS",Test[[#This Row],[Total (%)]])),ISNUMBER(FIND("DEF",Test[[#This Row],[Total (%)]])),COUNTBLANK(Test[[#This Row],[Total (%)]])=1)</f>
        <v>1</v>
      </c>
    </row>
    <row r="46" spans="1:6">
      <c r="A46" s="14" t="s">
        <v>327</v>
      </c>
      <c r="B46" s="27" t="s">
        <v>503</v>
      </c>
      <c r="C46" s="28" t="str">
        <f>IF(ISNUMBER(Test[[#This Row],[Total]]),ROUND(Test[[#This Row],[Total]]/$D$5*100,0),"")</f>
        <v/>
      </c>
      <c r="E46" s="3"/>
      <c r="F46" s="137" t="b">
        <f>OR(AND(ISNUMBER(Test[[#This Row],[Total (%)]]),Test[[#This Row],[Total (%)]]&gt;=0,Test[[#This Row],[Total (%)]]&lt;=C$5),ISNUMBER(FIND("ABS",Test[[#This Row],[Total (%)]])),ISNUMBER(FIND("DEF",Test[[#This Row],[Total (%)]])),COUNTBLANK(Test[[#This Row],[Total (%)]])=1)</f>
        <v>1</v>
      </c>
    </row>
    <row r="47" spans="1:6">
      <c r="A47" s="14" t="s">
        <v>1467</v>
      </c>
      <c r="B47" s="27" t="s">
        <v>1395</v>
      </c>
      <c r="C47" s="28" t="str">
        <f>IF(ISNUMBER(Test[[#This Row],[Total]]),ROUND(Test[[#This Row],[Total]]/$D$5*100,0),"")</f>
        <v/>
      </c>
      <c r="E47" s="3"/>
      <c r="F47" s="137" t="b">
        <f>OR(AND(ISNUMBER(Test[[#This Row],[Total (%)]]),Test[[#This Row],[Total (%)]]&gt;=0,Test[[#This Row],[Total (%)]]&lt;=C$5),ISNUMBER(FIND("ABS",Test[[#This Row],[Total (%)]])),ISNUMBER(FIND("DEF",Test[[#This Row],[Total (%)]])),COUNTBLANK(Test[[#This Row],[Total (%)]])=1)</f>
        <v>1</v>
      </c>
    </row>
    <row r="48" spans="1:6">
      <c r="A48" s="14" t="s">
        <v>329</v>
      </c>
      <c r="B48" s="27" t="s">
        <v>1396</v>
      </c>
      <c r="C48" s="28" t="str">
        <f>IF(ISNUMBER(Test[[#This Row],[Total]]),ROUND(Test[[#This Row],[Total]]/$D$5*100,0),"")</f>
        <v/>
      </c>
      <c r="E48" s="3"/>
      <c r="F48" s="137" t="b">
        <f>OR(AND(ISNUMBER(Test[[#This Row],[Total (%)]]),Test[[#This Row],[Total (%)]]&gt;=0,Test[[#This Row],[Total (%)]]&lt;=C$5),ISNUMBER(FIND("ABS",Test[[#This Row],[Total (%)]])),ISNUMBER(FIND("DEF",Test[[#This Row],[Total (%)]])),COUNTBLANK(Test[[#This Row],[Total (%)]])=1)</f>
        <v>1</v>
      </c>
    </row>
    <row r="49" spans="1:6">
      <c r="A49" s="14" t="s">
        <v>330</v>
      </c>
      <c r="B49" s="27" t="s">
        <v>505</v>
      </c>
      <c r="C49" s="28" t="str">
        <f>IF(ISNUMBER(Test[[#This Row],[Total]]),ROUND(Test[[#This Row],[Total]]/$D$5*100,0),"")</f>
        <v/>
      </c>
      <c r="E49" s="3"/>
      <c r="F49" s="137" t="b">
        <f>OR(AND(ISNUMBER(Test[[#This Row],[Total (%)]]),Test[[#This Row],[Total (%)]]&gt;=0,Test[[#This Row],[Total (%)]]&lt;=C$5),ISNUMBER(FIND("ABS",Test[[#This Row],[Total (%)]])),ISNUMBER(FIND("DEF",Test[[#This Row],[Total (%)]])),COUNTBLANK(Test[[#This Row],[Total (%)]])=1)</f>
        <v>1</v>
      </c>
    </row>
    <row r="50" spans="1:6">
      <c r="A50" s="14" t="s">
        <v>332</v>
      </c>
      <c r="B50" s="27" t="s">
        <v>507</v>
      </c>
      <c r="C50" s="28" t="str">
        <f>IF(ISNUMBER(Test[[#This Row],[Total]]),ROUND(Test[[#This Row],[Total]]/$D$5*100,0),"")</f>
        <v/>
      </c>
      <c r="E50" s="3"/>
      <c r="F50" s="137" t="b">
        <f>OR(AND(ISNUMBER(Test[[#This Row],[Total (%)]]),Test[[#This Row],[Total (%)]]&gt;=0,Test[[#This Row],[Total (%)]]&lt;=C$5),ISNUMBER(FIND("ABS",Test[[#This Row],[Total (%)]])),ISNUMBER(FIND("DEF",Test[[#This Row],[Total (%)]])),COUNTBLANK(Test[[#This Row],[Total (%)]])=1)</f>
        <v>1</v>
      </c>
    </row>
    <row r="51" spans="1:6">
      <c r="A51" s="14" t="s">
        <v>333</v>
      </c>
      <c r="B51" s="27" t="s">
        <v>508</v>
      </c>
      <c r="C51" s="28" t="str">
        <f>IF(ISNUMBER(Test[[#This Row],[Total]]),ROUND(Test[[#This Row],[Total]]/$D$5*100,0),"")</f>
        <v/>
      </c>
      <c r="E51" s="3"/>
      <c r="F51" s="137" t="b">
        <f>OR(AND(ISNUMBER(Test[[#This Row],[Total (%)]]),Test[[#This Row],[Total (%)]]&gt;=0,Test[[#This Row],[Total (%)]]&lt;=C$5),ISNUMBER(FIND("ABS",Test[[#This Row],[Total (%)]])),ISNUMBER(FIND("DEF",Test[[#This Row],[Total (%)]])),COUNTBLANK(Test[[#This Row],[Total (%)]])=1)</f>
        <v>1</v>
      </c>
    </row>
    <row r="52" spans="1:6">
      <c r="A52" s="14" t="s">
        <v>1468</v>
      </c>
      <c r="B52" s="27" t="s">
        <v>1397</v>
      </c>
      <c r="C52" s="28" t="str">
        <f>IF(ISNUMBER(Test[[#This Row],[Total]]),ROUND(Test[[#This Row],[Total]]/$D$5*100,0),"")</f>
        <v/>
      </c>
      <c r="E52" s="3"/>
      <c r="F52" s="137" t="b">
        <f>OR(AND(ISNUMBER(Test[[#This Row],[Total (%)]]),Test[[#This Row],[Total (%)]]&gt;=0,Test[[#This Row],[Total (%)]]&lt;=C$5),ISNUMBER(FIND("ABS",Test[[#This Row],[Total (%)]])),ISNUMBER(FIND("DEF",Test[[#This Row],[Total (%)]])),COUNTBLANK(Test[[#This Row],[Total (%)]])=1)</f>
        <v>1</v>
      </c>
    </row>
    <row r="53" spans="1:6">
      <c r="A53" s="14" t="s">
        <v>334</v>
      </c>
      <c r="B53" s="27" t="s">
        <v>509</v>
      </c>
      <c r="C53" s="28" t="str">
        <f>IF(ISNUMBER(Test[[#This Row],[Total]]),ROUND(Test[[#This Row],[Total]]/$D$5*100,0),"")</f>
        <v/>
      </c>
      <c r="E53" s="3"/>
      <c r="F53" s="137" t="b">
        <f>OR(AND(ISNUMBER(Test[[#This Row],[Total (%)]]),Test[[#This Row],[Total (%)]]&gt;=0,Test[[#This Row],[Total (%)]]&lt;=C$5),ISNUMBER(FIND("ABS",Test[[#This Row],[Total (%)]])),ISNUMBER(FIND("DEF",Test[[#This Row],[Total (%)]])),COUNTBLANK(Test[[#This Row],[Total (%)]])=1)</f>
        <v>1</v>
      </c>
    </row>
    <row r="54" spans="1:6">
      <c r="A54" s="14" t="s">
        <v>336</v>
      </c>
      <c r="B54" s="27" t="s">
        <v>511</v>
      </c>
      <c r="C54" s="28" t="str">
        <f>IF(ISNUMBER(Test[[#This Row],[Total]]),ROUND(Test[[#This Row],[Total]]/$D$5*100,0),"")</f>
        <v/>
      </c>
      <c r="E54" s="3"/>
      <c r="F54" s="137" t="b">
        <f>OR(AND(ISNUMBER(Test[[#This Row],[Total (%)]]),Test[[#This Row],[Total (%)]]&gt;=0,Test[[#This Row],[Total (%)]]&lt;=C$5),ISNUMBER(FIND("ABS",Test[[#This Row],[Total (%)]])),ISNUMBER(FIND("DEF",Test[[#This Row],[Total (%)]])),COUNTBLANK(Test[[#This Row],[Total (%)]])=1)</f>
        <v>1</v>
      </c>
    </row>
    <row r="55" spans="1:6">
      <c r="A55" s="14" t="s">
        <v>1469</v>
      </c>
      <c r="B55" s="27" t="s">
        <v>1398</v>
      </c>
      <c r="C55" s="28" t="str">
        <f>IF(ISNUMBER(Test[[#This Row],[Total]]),ROUND(Test[[#This Row],[Total]]/$D$5*100,0),"")</f>
        <v/>
      </c>
      <c r="E55" s="3"/>
      <c r="F55" s="137" t="b">
        <f>OR(AND(ISNUMBER(Test[[#This Row],[Total (%)]]),Test[[#This Row],[Total (%)]]&gt;=0,Test[[#This Row],[Total (%)]]&lt;=C$5),ISNUMBER(FIND("ABS",Test[[#This Row],[Total (%)]])),ISNUMBER(FIND("DEF",Test[[#This Row],[Total (%)]])),COUNTBLANK(Test[[#This Row],[Total (%)]])=1)</f>
        <v>1</v>
      </c>
    </row>
    <row r="56" spans="1:6">
      <c r="A56" s="14" t="s">
        <v>339</v>
      </c>
      <c r="B56" s="27" t="s">
        <v>514</v>
      </c>
      <c r="C56" s="28" t="str">
        <f>IF(ISNUMBER(Test[[#This Row],[Total]]),ROUND(Test[[#This Row],[Total]]/$D$5*100,0),"")</f>
        <v/>
      </c>
      <c r="E56" s="3"/>
      <c r="F56" s="137" t="b">
        <f>OR(AND(ISNUMBER(Test[[#This Row],[Total (%)]]),Test[[#This Row],[Total (%)]]&gt;=0,Test[[#This Row],[Total (%)]]&lt;=C$5),ISNUMBER(FIND("ABS",Test[[#This Row],[Total (%)]])),ISNUMBER(FIND("DEF",Test[[#This Row],[Total (%)]])),COUNTBLANK(Test[[#This Row],[Total (%)]])=1)</f>
        <v>1</v>
      </c>
    </row>
    <row r="57" spans="1:6">
      <c r="A57" s="14" t="s">
        <v>340</v>
      </c>
      <c r="B57" s="27" t="s">
        <v>515</v>
      </c>
      <c r="C57" s="28" t="str">
        <f>IF(ISNUMBER(Test[[#This Row],[Total]]),ROUND(Test[[#This Row],[Total]]/$D$5*100,0),"")</f>
        <v/>
      </c>
      <c r="E57" s="3"/>
      <c r="F57" s="137" t="b">
        <f>OR(AND(ISNUMBER(Test[[#This Row],[Total (%)]]),Test[[#This Row],[Total (%)]]&gt;=0,Test[[#This Row],[Total (%)]]&lt;=C$5),ISNUMBER(FIND("ABS",Test[[#This Row],[Total (%)]])),ISNUMBER(FIND("DEF",Test[[#This Row],[Total (%)]])),COUNTBLANK(Test[[#This Row],[Total (%)]])=1)</f>
        <v>1</v>
      </c>
    </row>
    <row r="58" spans="1:6">
      <c r="A58" s="14" t="s">
        <v>342</v>
      </c>
      <c r="B58" s="27" t="s">
        <v>517</v>
      </c>
      <c r="C58" s="28" t="str">
        <f>IF(ISNUMBER(Test[[#This Row],[Total]]),ROUND(Test[[#This Row],[Total]]/$D$5*100,0),"")</f>
        <v/>
      </c>
      <c r="E58" s="3"/>
      <c r="F58" s="137" t="b">
        <f>OR(AND(ISNUMBER(Test[[#This Row],[Total (%)]]),Test[[#This Row],[Total (%)]]&gt;=0,Test[[#This Row],[Total (%)]]&lt;=C$5),ISNUMBER(FIND("ABS",Test[[#This Row],[Total (%)]])),ISNUMBER(FIND("DEF",Test[[#This Row],[Total (%)]])),COUNTBLANK(Test[[#This Row],[Total (%)]])=1)</f>
        <v>1</v>
      </c>
    </row>
    <row r="59" spans="1:6">
      <c r="A59" s="14" t="s">
        <v>344</v>
      </c>
      <c r="B59" s="27" t="s">
        <v>519</v>
      </c>
      <c r="C59" s="28" t="str">
        <f>IF(ISNUMBER(Test[[#This Row],[Total]]),ROUND(Test[[#This Row],[Total]]/$D$5*100,0),"")</f>
        <v/>
      </c>
      <c r="E59" s="3"/>
      <c r="F59" s="137" t="b">
        <f>OR(AND(ISNUMBER(Test[[#This Row],[Total (%)]]),Test[[#This Row],[Total (%)]]&gt;=0,Test[[#This Row],[Total (%)]]&lt;=C$5),ISNUMBER(FIND("ABS",Test[[#This Row],[Total (%)]])),ISNUMBER(FIND("DEF",Test[[#This Row],[Total (%)]])),COUNTBLANK(Test[[#This Row],[Total (%)]])=1)</f>
        <v>1</v>
      </c>
    </row>
    <row r="60" spans="1:6">
      <c r="A60" s="14" t="s">
        <v>346</v>
      </c>
      <c r="B60" s="27" t="s">
        <v>521</v>
      </c>
      <c r="C60" s="28" t="str">
        <f>IF(ISNUMBER(Test[[#This Row],[Total]]),ROUND(Test[[#This Row],[Total]]/$D$5*100,0),"")</f>
        <v/>
      </c>
      <c r="E60" s="3"/>
      <c r="F60" s="137" t="b">
        <f>OR(AND(ISNUMBER(Test[[#This Row],[Total (%)]]),Test[[#This Row],[Total (%)]]&gt;=0,Test[[#This Row],[Total (%)]]&lt;=C$5),ISNUMBER(FIND("ABS",Test[[#This Row],[Total (%)]])),ISNUMBER(FIND("DEF",Test[[#This Row],[Total (%)]])),COUNTBLANK(Test[[#This Row],[Total (%)]])=1)</f>
        <v>1</v>
      </c>
    </row>
    <row r="61" spans="1:6">
      <c r="A61" s="14" t="s">
        <v>1470</v>
      </c>
      <c r="B61" s="27" t="s">
        <v>1399</v>
      </c>
      <c r="C61" s="28" t="str">
        <f>IF(ISNUMBER(Test[[#This Row],[Total]]),ROUND(Test[[#This Row],[Total]]/$D$5*100,0),"")</f>
        <v/>
      </c>
      <c r="E61" s="3"/>
      <c r="F61" s="137" t="b">
        <f>OR(AND(ISNUMBER(Test[[#This Row],[Total (%)]]),Test[[#This Row],[Total (%)]]&gt;=0,Test[[#This Row],[Total (%)]]&lt;=C$5),ISNUMBER(FIND("ABS",Test[[#This Row],[Total (%)]])),ISNUMBER(FIND("DEF",Test[[#This Row],[Total (%)]])),COUNTBLANK(Test[[#This Row],[Total (%)]])=1)</f>
        <v>1</v>
      </c>
    </row>
    <row r="62" spans="1:6">
      <c r="A62" s="14" t="s">
        <v>1471</v>
      </c>
      <c r="B62" s="27" t="s">
        <v>1400</v>
      </c>
      <c r="C62" s="28" t="str">
        <f>IF(ISNUMBER(Test[[#This Row],[Total]]),ROUND(Test[[#This Row],[Total]]/$D$5*100,0),"")</f>
        <v/>
      </c>
      <c r="E62" s="3"/>
      <c r="F62" s="137" t="b">
        <f>OR(AND(ISNUMBER(Test[[#This Row],[Total (%)]]),Test[[#This Row],[Total (%)]]&gt;=0,Test[[#This Row],[Total (%)]]&lt;=C$5),ISNUMBER(FIND("ABS",Test[[#This Row],[Total (%)]])),ISNUMBER(FIND("DEF",Test[[#This Row],[Total (%)]])),COUNTBLANK(Test[[#This Row],[Total (%)]])=1)</f>
        <v>1</v>
      </c>
    </row>
    <row r="63" spans="1:6">
      <c r="A63" s="14" t="s">
        <v>351</v>
      </c>
      <c r="B63" s="27" t="s">
        <v>525</v>
      </c>
      <c r="C63" s="28" t="str">
        <f>IF(ISNUMBER(Test[[#This Row],[Total]]),ROUND(Test[[#This Row],[Total]]/$D$5*100,0),"")</f>
        <v/>
      </c>
      <c r="E63" s="3"/>
      <c r="F63" s="137" t="b">
        <f>OR(AND(ISNUMBER(Test[[#This Row],[Total (%)]]),Test[[#This Row],[Total (%)]]&gt;=0,Test[[#This Row],[Total (%)]]&lt;=C$5),ISNUMBER(FIND("ABS",Test[[#This Row],[Total (%)]])),ISNUMBER(FIND("DEF",Test[[#This Row],[Total (%)]])),COUNTBLANK(Test[[#This Row],[Total (%)]])=1)</f>
        <v>1</v>
      </c>
    </row>
    <row r="64" spans="1:6">
      <c r="A64" s="14" t="s">
        <v>1472</v>
      </c>
      <c r="B64" s="27" t="s">
        <v>1401</v>
      </c>
      <c r="C64" s="28" t="str">
        <f>IF(ISNUMBER(Test[[#This Row],[Total]]),ROUND(Test[[#This Row],[Total]]/$D$5*100,0),"")</f>
        <v/>
      </c>
      <c r="E64" s="3"/>
      <c r="F64" s="137" t="b">
        <f>OR(AND(ISNUMBER(Test[[#This Row],[Total (%)]]),Test[[#This Row],[Total (%)]]&gt;=0,Test[[#This Row],[Total (%)]]&lt;=C$5),ISNUMBER(FIND("ABS",Test[[#This Row],[Total (%)]])),ISNUMBER(FIND("DEF",Test[[#This Row],[Total (%)]])),COUNTBLANK(Test[[#This Row],[Total (%)]])=1)</f>
        <v>1</v>
      </c>
    </row>
    <row r="65" spans="1:6">
      <c r="A65" s="14" t="s">
        <v>1473</v>
      </c>
      <c r="B65" s="27" t="s">
        <v>1402</v>
      </c>
      <c r="C65" s="28" t="str">
        <f>IF(ISNUMBER(Test[[#This Row],[Total]]),ROUND(Test[[#This Row],[Total]]/$D$5*100,0),"")</f>
        <v/>
      </c>
      <c r="E65" s="3"/>
      <c r="F65" s="137" t="b">
        <f>OR(AND(ISNUMBER(Test[[#This Row],[Total (%)]]),Test[[#This Row],[Total (%)]]&gt;=0,Test[[#This Row],[Total (%)]]&lt;=C$5),ISNUMBER(FIND("ABS",Test[[#This Row],[Total (%)]])),ISNUMBER(FIND("DEF",Test[[#This Row],[Total (%)]])),COUNTBLANK(Test[[#This Row],[Total (%)]])=1)</f>
        <v>1</v>
      </c>
    </row>
    <row r="66" spans="1:6">
      <c r="A66" s="14" t="s">
        <v>1474</v>
      </c>
      <c r="B66" s="27" t="s">
        <v>1403</v>
      </c>
      <c r="C66" s="28" t="str">
        <f>IF(ISNUMBER(Test[[#This Row],[Total]]),ROUND(Test[[#This Row],[Total]]/$D$5*100,0),"")</f>
        <v/>
      </c>
      <c r="E66" s="3"/>
      <c r="F66" s="137" t="b">
        <f>OR(AND(ISNUMBER(Test[[#This Row],[Total (%)]]),Test[[#This Row],[Total (%)]]&gt;=0,Test[[#This Row],[Total (%)]]&lt;=C$5),ISNUMBER(FIND("ABS",Test[[#This Row],[Total (%)]])),ISNUMBER(FIND("DEF",Test[[#This Row],[Total (%)]])),COUNTBLANK(Test[[#This Row],[Total (%)]])=1)</f>
        <v>1</v>
      </c>
    </row>
    <row r="67" spans="1:6">
      <c r="A67" s="14" t="s">
        <v>1475</v>
      </c>
      <c r="B67" s="27" t="s">
        <v>1404</v>
      </c>
      <c r="C67" s="28" t="str">
        <f>IF(ISNUMBER(Test[[#This Row],[Total]]),ROUND(Test[[#This Row],[Total]]/$D$5*100,0),"")</f>
        <v/>
      </c>
      <c r="E67" s="3"/>
      <c r="F67" s="137" t="b">
        <f>OR(AND(ISNUMBER(Test[[#This Row],[Total (%)]]),Test[[#This Row],[Total (%)]]&gt;=0,Test[[#This Row],[Total (%)]]&lt;=C$5),ISNUMBER(FIND("ABS",Test[[#This Row],[Total (%)]])),ISNUMBER(FIND("DEF",Test[[#This Row],[Total (%)]])),COUNTBLANK(Test[[#This Row],[Total (%)]])=1)</f>
        <v>1</v>
      </c>
    </row>
    <row r="68" spans="1:6">
      <c r="A68" s="14" t="s">
        <v>1476</v>
      </c>
      <c r="B68" s="27" t="s">
        <v>1405</v>
      </c>
      <c r="C68" s="28" t="str">
        <f>IF(ISNUMBER(Test[[#This Row],[Total]]),ROUND(Test[[#This Row],[Total]]/$D$5*100,0),"")</f>
        <v/>
      </c>
      <c r="E68" s="3"/>
      <c r="F68" s="137" t="b">
        <f>OR(AND(ISNUMBER(Test[[#This Row],[Total (%)]]),Test[[#This Row],[Total (%)]]&gt;=0,Test[[#This Row],[Total (%)]]&lt;=C$5),ISNUMBER(FIND("ABS",Test[[#This Row],[Total (%)]])),ISNUMBER(FIND("DEF",Test[[#This Row],[Total (%)]])),COUNTBLANK(Test[[#This Row],[Total (%)]])=1)</f>
        <v>1</v>
      </c>
    </row>
    <row r="69" spans="1:6">
      <c r="A69" s="14" t="s">
        <v>358</v>
      </c>
      <c r="B69" s="27" t="s">
        <v>532</v>
      </c>
      <c r="C69" s="28" t="str">
        <f>IF(ISNUMBER(Test[[#This Row],[Total]]),ROUND(Test[[#This Row],[Total]]/$D$5*100,0),"")</f>
        <v/>
      </c>
      <c r="E69" s="3"/>
      <c r="F69" s="137" t="b">
        <f>OR(AND(ISNUMBER(Test[[#This Row],[Total (%)]]),Test[[#This Row],[Total (%)]]&gt;=0,Test[[#This Row],[Total (%)]]&lt;=C$5),ISNUMBER(FIND("ABS",Test[[#This Row],[Total (%)]])),ISNUMBER(FIND("DEF",Test[[#This Row],[Total (%)]])),COUNTBLANK(Test[[#This Row],[Total (%)]])=1)</f>
        <v>1</v>
      </c>
    </row>
    <row r="70" spans="1:6">
      <c r="A70" s="14" t="s">
        <v>363</v>
      </c>
      <c r="B70" s="27" t="s">
        <v>537</v>
      </c>
      <c r="C70" s="28" t="str">
        <f>IF(ISNUMBER(Test[[#This Row],[Total]]),ROUND(Test[[#This Row],[Total]]/$D$5*100,0),"")</f>
        <v/>
      </c>
      <c r="E70" s="3"/>
      <c r="F70" s="137" t="b">
        <f>OR(AND(ISNUMBER(Test[[#This Row],[Total (%)]]),Test[[#This Row],[Total (%)]]&gt;=0,Test[[#This Row],[Total (%)]]&lt;=C$5),ISNUMBER(FIND("ABS",Test[[#This Row],[Total (%)]])),ISNUMBER(FIND("DEF",Test[[#This Row],[Total (%)]])),COUNTBLANK(Test[[#This Row],[Total (%)]])=1)</f>
        <v>1</v>
      </c>
    </row>
    <row r="71" spans="1:6">
      <c r="A71" s="14" t="s">
        <v>1477</v>
      </c>
      <c r="B71" s="27" t="s">
        <v>1406</v>
      </c>
      <c r="C71" s="28" t="str">
        <f>IF(ISNUMBER(Test[[#This Row],[Total]]),ROUND(Test[[#This Row],[Total]]/$D$5*100,0),"")</f>
        <v/>
      </c>
      <c r="E71" s="3"/>
      <c r="F71" s="137" t="b">
        <f>OR(AND(ISNUMBER(Test[[#This Row],[Total (%)]]),Test[[#This Row],[Total (%)]]&gt;=0,Test[[#This Row],[Total (%)]]&lt;=C$5),ISNUMBER(FIND("ABS",Test[[#This Row],[Total (%)]])),ISNUMBER(FIND("DEF",Test[[#This Row],[Total (%)]])),COUNTBLANK(Test[[#This Row],[Total (%)]])=1)</f>
        <v>1</v>
      </c>
    </row>
    <row r="72" spans="1:6">
      <c r="A72" s="14" t="s">
        <v>365</v>
      </c>
      <c r="B72" s="27" t="s">
        <v>539</v>
      </c>
      <c r="C72" s="28" t="str">
        <f>IF(ISNUMBER(Test[[#This Row],[Total]]),ROUND(Test[[#This Row],[Total]]/$D$5*100,0),"")</f>
        <v/>
      </c>
      <c r="E72" s="3"/>
      <c r="F72" s="137" t="b">
        <f>OR(AND(ISNUMBER(Test[[#This Row],[Total (%)]]),Test[[#This Row],[Total (%)]]&gt;=0,Test[[#This Row],[Total (%)]]&lt;=C$5),ISNUMBER(FIND("ABS",Test[[#This Row],[Total (%)]])),ISNUMBER(FIND("DEF",Test[[#This Row],[Total (%)]])),COUNTBLANK(Test[[#This Row],[Total (%)]])=1)</f>
        <v>1</v>
      </c>
    </row>
    <row r="73" spans="1:6">
      <c r="A73" s="14" t="s">
        <v>366</v>
      </c>
      <c r="B73" s="27" t="s">
        <v>540</v>
      </c>
      <c r="C73" s="28" t="str">
        <f>IF(ISNUMBER(Test[[#This Row],[Total]]),ROUND(Test[[#This Row],[Total]]/$D$5*100,0),"")</f>
        <v/>
      </c>
      <c r="E73" s="3"/>
      <c r="F73" s="137" t="b">
        <f>OR(AND(ISNUMBER(Test[[#This Row],[Total (%)]]),Test[[#This Row],[Total (%)]]&gt;=0,Test[[#This Row],[Total (%)]]&lt;=C$5),ISNUMBER(FIND("ABS",Test[[#This Row],[Total (%)]])),ISNUMBER(FIND("DEF",Test[[#This Row],[Total (%)]])),COUNTBLANK(Test[[#This Row],[Total (%)]])=1)</f>
        <v>1</v>
      </c>
    </row>
    <row r="74" spans="1:6">
      <c r="A74" s="14" t="s">
        <v>367</v>
      </c>
      <c r="B74" s="27" t="s">
        <v>541</v>
      </c>
      <c r="C74" s="28" t="str">
        <f>IF(ISNUMBER(Test[[#This Row],[Total]]),ROUND(Test[[#This Row],[Total]]/$D$5*100,0),"")</f>
        <v/>
      </c>
      <c r="E74" s="3"/>
      <c r="F74" s="137" t="b">
        <f>OR(AND(ISNUMBER(Test[[#This Row],[Total (%)]]),Test[[#This Row],[Total (%)]]&gt;=0,Test[[#This Row],[Total (%)]]&lt;=C$5),ISNUMBER(FIND("ABS",Test[[#This Row],[Total (%)]])),ISNUMBER(FIND("DEF",Test[[#This Row],[Total (%)]])),COUNTBLANK(Test[[#This Row],[Total (%)]])=1)</f>
        <v>1</v>
      </c>
    </row>
    <row r="75" spans="1:6">
      <c r="A75" s="14" t="s">
        <v>368</v>
      </c>
      <c r="B75" s="27" t="s">
        <v>542</v>
      </c>
      <c r="C75" s="28" t="str">
        <f>IF(ISNUMBER(Test[[#This Row],[Total]]),ROUND(Test[[#This Row],[Total]]/$D$5*100,0),"")</f>
        <v/>
      </c>
      <c r="E75" s="3"/>
      <c r="F75" s="137" t="b">
        <f>OR(AND(ISNUMBER(Test[[#This Row],[Total (%)]]),Test[[#This Row],[Total (%)]]&gt;=0,Test[[#This Row],[Total (%)]]&lt;=C$5),ISNUMBER(FIND("ABS",Test[[#This Row],[Total (%)]])),ISNUMBER(FIND("DEF",Test[[#This Row],[Total (%)]])),COUNTBLANK(Test[[#This Row],[Total (%)]])=1)</f>
        <v>1</v>
      </c>
    </row>
    <row r="76" spans="1:6">
      <c r="A76" s="14" t="s">
        <v>1478</v>
      </c>
      <c r="B76" s="27" t="s">
        <v>1407</v>
      </c>
      <c r="C76" s="28" t="str">
        <f>IF(ISNUMBER(Test[[#This Row],[Total]]),ROUND(Test[[#This Row],[Total]]/$D$5*100,0),"")</f>
        <v/>
      </c>
      <c r="E76" s="3"/>
      <c r="F76" s="137" t="b">
        <f>OR(AND(ISNUMBER(Test[[#This Row],[Total (%)]]),Test[[#This Row],[Total (%)]]&gt;=0,Test[[#This Row],[Total (%)]]&lt;=C$5),ISNUMBER(FIND("ABS",Test[[#This Row],[Total (%)]])),ISNUMBER(FIND("DEF",Test[[#This Row],[Total (%)]])),COUNTBLANK(Test[[#This Row],[Total (%)]])=1)</f>
        <v>1</v>
      </c>
    </row>
    <row r="77" spans="1:6">
      <c r="A77" s="14" t="s">
        <v>1479</v>
      </c>
      <c r="B77" s="27" t="s">
        <v>1408</v>
      </c>
      <c r="C77" s="28" t="str">
        <f>IF(ISNUMBER(Test[[#This Row],[Total]]),ROUND(Test[[#This Row],[Total]]/$D$5*100,0),"")</f>
        <v/>
      </c>
      <c r="E77" s="3"/>
      <c r="F77" s="137" t="b">
        <f>OR(AND(ISNUMBER(Test[[#This Row],[Total (%)]]),Test[[#This Row],[Total (%)]]&gt;=0,Test[[#This Row],[Total (%)]]&lt;=C$5),ISNUMBER(FIND("ABS",Test[[#This Row],[Total (%)]])),ISNUMBER(FIND("DEF",Test[[#This Row],[Total (%)]])),COUNTBLANK(Test[[#This Row],[Total (%)]])=1)</f>
        <v>1</v>
      </c>
    </row>
    <row r="78" spans="1:6">
      <c r="A78" s="14" t="s">
        <v>1480</v>
      </c>
      <c r="B78" s="27" t="s">
        <v>1409</v>
      </c>
      <c r="C78" s="28" t="str">
        <f>IF(ISNUMBER(Test[[#This Row],[Total]]),ROUND(Test[[#This Row],[Total]]/$D$5*100,0),"")</f>
        <v/>
      </c>
      <c r="E78" s="3"/>
      <c r="F78" s="137" t="b">
        <f>OR(AND(ISNUMBER(Test[[#This Row],[Total (%)]]),Test[[#This Row],[Total (%)]]&gt;=0,Test[[#This Row],[Total (%)]]&lt;=C$5),ISNUMBER(FIND("ABS",Test[[#This Row],[Total (%)]])),ISNUMBER(FIND("DEF",Test[[#This Row],[Total (%)]])),COUNTBLANK(Test[[#This Row],[Total (%)]])=1)</f>
        <v>1</v>
      </c>
    </row>
    <row r="79" spans="1:6">
      <c r="A79" s="14" t="s">
        <v>370</v>
      </c>
      <c r="B79" s="27" t="s">
        <v>544</v>
      </c>
      <c r="C79" s="28" t="str">
        <f>IF(ISNUMBER(Test[[#This Row],[Total]]),ROUND(Test[[#This Row],[Total]]/$D$5*100,0),"")</f>
        <v/>
      </c>
      <c r="E79" s="3"/>
      <c r="F79" s="137" t="b">
        <f>OR(AND(ISNUMBER(Test[[#This Row],[Total (%)]]),Test[[#This Row],[Total (%)]]&gt;=0,Test[[#This Row],[Total (%)]]&lt;=C$5),ISNUMBER(FIND("ABS",Test[[#This Row],[Total (%)]])),ISNUMBER(FIND("DEF",Test[[#This Row],[Total (%)]])),COUNTBLANK(Test[[#This Row],[Total (%)]])=1)</f>
        <v>1</v>
      </c>
    </row>
    <row r="80" spans="1:6">
      <c r="A80" s="14" t="s">
        <v>371</v>
      </c>
      <c r="B80" s="27" t="s">
        <v>545</v>
      </c>
      <c r="C80" s="28" t="str">
        <f>IF(ISNUMBER(Test[[#This Row],[Total]]),ROUND(Test[[#This Row],[Total]]/$D$5*100,0),"")</f>
        <v/>
      </c>
      <c r="E80" s="3"/>
      <c r="F80" s="137" t="b">
        <f>OR(AND(ISNUMBER(Test[[#This Row],[Total (%)]]),Test[[#This Row],[Total (%)]]&gt;=0,Test[[#This Row],[Total (%)]]&lt;=C$5),ISNUMBER(FIND("ABS",Test[[#This Row],[Total (%)]])),ISNUMBER(FIND("DEF",Test[[#This Row],[Total (%)]])),COUNTBLANK(Test[[#This Row],[Total (%)]])=1)</f>
        <v>1</v>
      </c>
    </row>
    <row r="81" spans="1:6">
      <c r="A81" s="14" t="s">
        <v>375</v>
      </c>
      <c r="B81" s="27" t="s">
        <v>549</v>
      </c>
      <c r="C81" s="28" t="str">
        <f>IF(ISNUMBER(Test[[#This Row],[Total]]),ROUND(Test[[#This Row],[Total]]/$D$5*100,0),"")</f>
        <v/>
      </c>
      <c r="E81" s="3"/>
      <c r="F81" s="137" t="b">
        <f>OR(AND(ISNUMBER(Test[[#This Row],[Total (%)]]),Test[[#This Row],[Total (%)]]&gt;=0,Test[[#This Row],[Total (%)]]&lt;=C$5),ISNUMBER(FIND("ABS",Test[[#This Row],[Total (%)]])),ISNUMBER(FIND("DEF",Test[[#This Row],[Total (%)]])),COUNTBLANK(Test[[#This Row],[Total (%)]])=1)</f>
        <v>1</v>
      </c>
    </row>
    <row r="82" spans="1:6">
      <c r="A82" s="14" t="s">
        <v>376</v>
      </c>
      <c r="B82" s="27" t="s">
        <v>550</v>
      </c>
      <c r="C82" s="28" t="str">
        <f>IF(ISNUMBER(Test[[#This Row],[Total]]),ROUND(Test[[#This Row],[Total]]/$D$5*100,0),"")</f>
        <v/>
      </c>
      <c r="E82" s="3"/>
      <c r="F82" s="137" t="b">
        <f>OR(AND(ISNUMBER(Test[[#This Row],[Total (%)]]),Test[[#This Row],[Total (%)]]&gt;=0,Test[[#This Row],[Total (%)]]&lt;=C$5),ISNUMBER(FIND("ABS",Test[[#This Row],[Total (%)]])),ISNUMBER(FIND("DEF",Test[[#This Row],[Total (%)]])),COUNTBLANK(Test[[#This Row],[Total (%)]])=1)</f>
        <v>1</v>
      </c>
    </row>
    <row r="83" spans="1:6">
      <c r="A83" s="14" t="s">
        <v>377</v>
      </c>
      <c r="B83" s="27" t="s">
        <v>551</v>
      </c>
      <c r="C83" s="28" t="str">
        <f>IF(ISNUMBER(Test[[#This Row],[Total]]),ROUND(Test[[#This Row],[Total]]/$D$5*100,0),"")</f>
        <v/>
      </c>
      <c r="E83" s="3"/>
      <c r="F83" s="137" t="b">
        <f>OR(AND(ISNUMBER(Test[[#This Row],[Total (%)]]),Test[[#This Row],[Total (%)]]&gt;=0,Test[[#This Row],[Total (%)]]&lt;=C$5),ISNUMBER(FIND("ABS",Test[[#This Row],[Total (%)]])),ISNUMBER(FIND("DEF",Test[[#This Row],[Total (%)]])),COUNTBLANK(Test[[#This Row],[Total (%)]])=1)</f>
        <v>1</v>
      </c>
    </row>
    <row r="84" spans="1:6">
      <c r="A84" s="14" t="s">
        <v>1481</v>
      </c>
      <c r="B84" s="27" t="s">
        <v>1410</v>
      </c>
      <c r="C84" s="28" t="str">
        <f>IF(ISNUMBER(Test[[#This Row],[Total]]),ROUND(Test[[#This Row],[Total]]/$D$5*100,0),"")</f>
        <v/>
      </c>
      <c r="E84" s="3"/>
      <c r="F84" s="137" t="b">
        <f>OR(AND(ISNUMBER(Test[[#This Row],[Total (%)]]),Test[[#This Row],[Total (%)]]&gt;=0,Test[[#This Row],[Total (%)]]&lt;=C$5),ISNUMBER(FIND("ABS",Test[[#This Row],[Total (%)]])),ISNUMBER(FIND("DEF",Test[[#This Row],[Total (%)]])),COUNTBLANK(Test[[#This Row],[Total (%)]])=1)</f>
        <v>1</v>
      </c>
    </row>
    <row r="85" spans="1:6">
      <c r="A85" s="14" t="s">
        <v>378</v>
      </c>
      <c r="B85" s="27" t="s">
        <v>552</v>
      </c>
      <c r="C85" s="28" t="str">
        <f>IF(ISNUMBER(Test[[#This Row],[Total]]),ROUND(Test[[#This Row],[Total]]/$D$5*100,0),"")</f>
        <v/>
      </c>
      <c r="E85" s="3"/>
      <c r="F85" s="137" t="b">
        <f>OR(AND(ISNUMBER(Test[[#This Row],[Total (%)]]),Test[[#This Row],[Total (%)]]&gt;=0,Test[[#This Row],[Total (%)]]&lt;=C$5),ISNUMBER(FIND("ABS",Test[[#This Row],[Total (%)]])),ISNUMBER(FIND("DEF",Test[[#This Row],[Total (%)]])),COUNTBLANK(Test[[#This Row],[Total (%)]])=1)</f>
        <v>1</v>
      </c>
    </row>
    <row r="86" spans="1:6">
      <c r="A86" s="14" t="s">
        <v>381</v>
      </c>
      <c r="B86" s="27" t="s">
        <v>555</v>
      </c>
      <c r="C86" s="28" t="str">
        <f>IF(ISNUMBER(Test[[#This Row],[Total]]),ROUND(Test[[#This Row],[Total]]/$D$5*100,0),"")</f>
        <v/>
      </c>
      <c r="E86" s="3"/>
      <c r="F86" s="137" t="b">
        <f>OR(AND(ISNUMBER(Test[[#This Row],[Total (%)]]),Test[[#This Row],[Total (%)]]&gt;=0,Test[[#This Row],[Total (%)]]&lt;=C$5),ISNUMBER(FIND("ABS",Test[[#This Row],[Total (%)]])),ISNUMBER(FIND("DEF",Test[[#This Row],[Total (%)]])),COUNTBLANK(Test[[#This Row],[Total (%)]])=1)</f>
        <v>1</v>
      </c>
    </row>
    <row r="87" spans="1:6">
      <c r="A87" s="14" t="s">
        <v>1482</v>
      </c>
      <c r="B87" s="27" t="s">
        <v>1411</v>
      </c>
      <c r="C87" s="28" t="str">
        <f>IF(ISNUMBER(Test[[#This Row],[Total]]),ROUND(Test[[#This Row],[Total]]/$D$5*100,0),"")</f>
        <v/>
      </c>
      <c r="E87" s="3"/>
      <c r="F87" s="137" t="b">
        <f>OR(AND(ISNUMBER(Test[[#This Row],[Total (%)]]),Test[[#This Row],[Total (%)]]&gt;=0,Test[[#This Row],[Total (%)]]&lt;=C$5),ISNUMBER(FIND("ABS",Test[[#This Row],[Total (%)]])),ISNUMBER(FIND("DEF",Test[[#This Row],[Total (%)]])),COUNTBLANK(Test[[#This Row],[Total (%)]])=1)</f>
        <v>1</v>
      </c>
    </row>
    <row r="88" spans="1:6">
      <c r="A88" s="14" t="s">
        <v>383</v>
      </c>
      <c r="B88" s="27" t="s">
        <v>557</v>
      </c>
      <c r="C88" s="28" t="str">
        <f>IF(ISNUMBER(Test[[#This Row],[Total]]),ROUND(Test[[#This Row],[Total]]/$D$5*100,0),"")</f>
        <v/>
      </c>
      <c r="E88" s="3"/>
      <c r="F88" s="137" t="b">
        <f>OR(AND(ISNUMBER(Test[[#This Row],[Total (%)]]),Test[[#This Row],[Total (%)]]&gt;=0,Test[[#This Row],[Total (%)]]&lt;=C$5),ISNUMBER(FIND("ABS",Test[[#This Row],[Total (%)]])),ISNUMBER(FIND("DEF",Test[[#This Row],[Total (%)]])),COUNTBLANK(Test[[#This Row],[Total (%)]])=1)</f>
        <v>1</v>
      </c>
    </row>
    <row r="89" spans="1:6">
      <c r="A89" s="14" t="s">
        <v>1483</v>
      </c>
      <c r="B89" s="27" t="s">
        <v>1412</v>
      </c>
      <c r="C89" s="28" t="str">
        <f>IF(ISNUMBER(Test[[#This Row],[Total]]),ROUND(Test[[#This Row],[Total]]/$D$5*100,0),"")</f>
        <v/>
      </c>
      <c r="E89" s="3"/>
      <c r="F89" s="137" t="b">
        <f>OR(AND(ISNUMBER(Test[[#This Row],[Total (%)]]),Test[[#This Row],[Total (%)]]&gt;=0,Test[[#This Row],[Total (%)]]&lt;=C$5),ISNUMBER(FIND("ABS",Test[[#This Row],[Total (%)]])),ISNUMBER(FIND("DEF",Test[[#This Row],[Total (%)]])),COUNTBLANK(Test[[#This Row],[Total (%)]])=1)</f>
        <v>1</v>
      </c>
    </row>
    <row r="90" spans="1:6">
      <c r="A90" s="14" t="s">
        <v>386</v>
      </c>
      <c r="B90" s="27" t="s">
        <v>559</v>
      </c>
      <c r="C90" s="28" t="str">
        <f>IF(ISNUMBER(Test[[#This Row],[Total]]),ROUND(Test[[#This Row],[Total]]/$D$5*100,0),"")</f>
        <v/>
      </c>
      <c r="E90" s="3"/>
      <c r="F90" s="137" t="b">
        <f>OR(AND(ISNUMBER(Test[[#This Row],[Total (%)]]),Test[[#This Row],[Total (%)]]&gt;=0,Test[[#This Row],[Total (%)]]&lt;=C$5),ISNUMBER(FIND("ABS",Test[[#This Row],[Total (%)]])),ISNUMBER(FIND("DEF",Test[[#This Row],[Total (%)]])),COUNTBLANK(Test[[#This Row],[Total (%)]])=1)</f>
        <v>1</v>
      </c>
    </row>
    <row r="91" spans="1:6">
      <c r="A91" s="14" t="s">
        <v>388</v>
      </c>
      <c r="B91" s="27" t="s">
        <v>561</v>
      </c>
      <c r="C91" s="28" t="str">
        <f>IF(ISNUMBER(Test[[#This Row],[Total]]),ROUND(Test[[#This Row],[Total]]/$D$5*100,0),"")</f>
        <v/>
      </c>
      <c r="E91" s="3"/>
      <c r="F91" s="137" t="b">
        <f>OR(AND(ISNUMBER(Test[[#This Row],[Total (%)]]),Test[[#This Row],[Total (%)]]&gt;=0,Test[[#This Row],[Total (%)]]&lt;=C$5),ISNUMBER(FIND("ABS",Test[[#This Row],[Total (%)]])),ISNUMBER(FIND("DEF",Test[[#This Row],[Total (%)]])),COUNTBLANK(Test[[#This Row],[Total (%)]])=1)</f>
        <v>1</v>
      </c>
    </row>
    <row r="92" spans="1:6">
      <c r="A92" s="14" t="s">
        <v>389</v>
      </c>
      <c r="B92" s="27" t="s">
        <v>562</v>
      </c>
      <c r="C92" s="28" t="str">
        <f>IF(ISNUMBER(Test[[#This Row],[Total]]),ROUND(Test[[#This Row],[Total]]/$D$5*100,0),"")</f>
        <v/>
      </c>
      <c r="E92" s="3"/>
      <c r="F92" s="137" t="b">
        <f>OR(AND(ISNUMBER(Test[[#This Row],[Total (%)]]),Test[[#This Row],[Total (%)]]&gt;=0,Test[[#This Row],[Total (%)]]&lt;=C$5),ISNUMBER(FIND("ABS",Test[[#This Row],[Total (%)]])),ISNUMBER(FIND("DEF",Test[[#This Row],[Total (%)]])),COUNTBLANK(Test[[#This Row],[Total (%)]])=1)</f>
        <v>1</v>
      </c>
    </row>
    <row r="93" spans="1:6">
      <c r="A93" s="14" t="s">
        <v>393</v>
      </c>
      <c r="B93" s="27" t="s">
        <v>566</v>
      </c>
      <c r="C93" s="28" t="str">
        <f>IF(ISNUMBER(Test[[#This Row],[Total]]),ROUND(Test[[#This Row],[Total]]/$D$5*100,0),"")</f>
        <v/>
      </c>
      <c r="E93" s="3"/>
      <c r="F93" s="137" t="b">
        <f>OR(AND(ISNUMBER(Test[[#This Row],[Total (%)]]),Test[[#This Row],[Total (%)]]&gt;=0,Test[[#This Row],[Total (%)]]&lt;=C$5),ISNUMBER(FIND("ABS",Test[[#This Row],[Total (%)]])),ISNUMBER(FIND("DEF",Test[[#This Row],[Total (%)]])),COUNTBLANK(Test[[#This Row],[Total (%)]])=1)</f>
        <v>1</v>
      </c>
    </row>
    <row r="94" spans="1:6">
      <c r="A94" s="14" t="s">
        <v>1484</v>
      </c>
      <c r="B94" s="27" t="s">
        <v>1413</v>
      </c>
      <c r="C94" s="28" t="str">
        <f>IF(ISNUMBER(Test[[#This Row],[Total]]),ROUND(Test[[#This Row],[Total]]/$D$5*100,0),"")</f>
        <v/>
      </c>
      <c r="E94" s="3"/>
      <c r="F94" s="137" t="b">
        <f>OR(AND(ISNUMBER(Test[[#This Row],[Total (%)]]),Test[[#This Row],[Total (%)]]&gt;=0,Test[[#This Row],[Total (%)]]&lt;=C$5),ISNUMBER(FIND("ABS",Test[[#This Row],[Total (%)]])),ISNUMBER(FIND("DEF",Test[[#This Row],[Total (%)]])),COUNTBLANK(Test[[#This Row],[Total (%)]])=1)</f>
        <v>1</v>
      </c>
    </row>
    <row r="95" spans="1:6">
      <c r="A95" s="14" t="s">
        <v>1485</v>
      </c>
      <c r="B95" s="27" t="s">
        <v>1414</v>
      </c>
      <c r="C95" s="28" t="str">
        <f>IF(ISNUMBER(Test[[#This Row],[Total]]),ROUND(Test[[#This Row],[Total]]/$D$5*100,0),"")</f>
        <v/>
      </c>
      <c r="E95" s="3"/>
      <c r="F95" s="137" t="b">
        <f>OR(AND(ISNUMBER(Test[[#This Row],[Total (%)]]),Test[[#This Row],[Total (%)]]&gt;=0,Test[[#This Row],[Total (%)]]&lt;=C$5),ISNUMBER(FIND("ABS",Test[[#This Row],[Total (%)]])),ISNUMBER(FIND("DEF",Test[[#This Row],[Total (%)]])),COUNTBLANK(Test[[#This Row],[Total (%)]])=1)</f>
        <v>1</v>
      </c>
    </row>
    <row r="96" spans="1:6">
      <c r="A96" s="14" t="s">
        <v>395</v>
      </c>
      <c r="B96" s="27" t="s">
        <v>568</v>
      </c>
      <c r="C96" s="28" t="str">
        <f>IF(ISNUMBER(Test[[#This Row],[Total]]),ROUND(Test[[#This Row],[Total]]/$D$5*100,0),"")</f>
        <v/>
      </c>
      <c r="E96" s="3"/>
      <c r="F96" s="137" t="b">
        <f>OR(AND(ISNUMBER(Test[[#This Row],[Total (%)]]),Test[[#This Row],[Total (%)]]&gt;=0,Test[[#This Row],[Total (%)]]&lt;=C$5),ISNUMBER(FIND("ABS",Test[[#This Row],[Total (%)]])),ISNUMBER(FIND("DEF",Test[[#This Row],[Total (%)]])),COUNTBLANK(Test[[#This Row],[Total (%)]])=1)</f>
        <v>1</v>
      </c>
    </row>
    <row r="97" spans="1:6">
      <c r="A97" s="14" t="s">
        <v>396</v>
      </c>
      <c r="B97" s="27" t="s">
        <v>569</v>
      </c>
      <c r="C97" s="28" t="str">
        <f>IF(ISNUMBER(Test[[#This Row],[Total]]),ROUND(Test[[#This Row],[Total]]/$D$5*100,0),"")</f>
        <v/>
      </c>
      <c r="E97" s="3"/>
      <c r="F97" s="137" t="b">
        <f>OR(AND(ISNUMBER(Test[[#This Row],[Total (%)]]),Test[[#This Row],[Total (%)]]&gt;=0,Test[[#This Row],[Total (%)]]&lt;=C$5),ISNUMBER(FIND("ABS",Test[[#This Row],[Total (%)]])),ISNUMBER(FIND("DEF",Test[[#This Row],[Total (%)]])),COUNTBLANK(Test[[#This Row],[Total (%)]])=1)</f>
        <v>1</v>
      </c>
    </row>
    <row r="98" spans="1:6">
      <c r="A98" s="14" t="s">
        <v>397</v>
      </c>
      <c r="B98" s="27" t="s">
        <v>570</v>
      </c>
      <c r="C98" s="28" t="str">
        <f>IF(ISNUMBER(Test[[#This Row],[Total]]),ROUND(Test[[#This Row],[Total]]/$D$5*100,0),"")</f>
        <v/>
      </c>
      <c r="E98" s="3"/>
      <c r="F98" s="137" t="b">
        <f>OR(AND(ISNUMBER(Test[[#This Row],[Total (%)]]),Test[[#This Row],[Total (%)]]&gt;=0,Test[[#This Row],[Total (%)]]&lt;=C$5),ISNUMBER(FIND("ABS",Test[[#This Row],[Total (%)]])),ISNUMBER(FIND("DEF",Test[[#This Row],[Total (%)]])),COUNTBLANK(Test[[#This Row],[Total (%)]])=1)</f>
        <v>1</v>
      </c>
    </row>
    <row r="99" spans="1:6">
      <c r="A99" s="14" t="s">
        <v>1486</v>
      </c>
      <c r="B99" s="27" t="s">
        <v>1415</v>
      </c>
      <c r="C99" s="28" t="str">
        <f>IF(ISNUMBER(Test[[#This Row],[Total]]),ROUND(Test[[#This Row],[Total]]/$D$5*100,0),"")</f>
        <v/>
      </c>
      <c r="E99" s="3"/>
      <c r="F99" s="137" t="b">
        <f>OR(AND(ISNUMBER(Test[[#This Row],[Total (%)]]),Test[[#This Row],[Total (%)]]&gt;=0,Test[[#This Row],[Total (%)]]&lt;=C$5),ISNUMBER(FIND("ABS",Test[[#This Row],[Total (%)]])),ISNUMBER(FIND("DEF",Test[[#This Row],[Total (%)]])),COUNTBLANK(Test[[#This Row],[Total (%)]])=1)</f>
        <v>1</v>
      </c>
    </row>
    <row r="100" spans="1:6">
      <c r="A100" s="14" t="s">
        <v>398</v>
      </c>
      <c r="B100" s="27" t="s">
        <v>571</v>
      </c>
      <c r="C100" s="28" t="str">
        <f>IF(ISNUMBER(Test[[#This Row],[Total]]),ROUND(Test[[#This Row],[Total]]/$D$5*100,0),"")</f>
        <v/>
      </c>
      <c r="E100" s="3"/>
      <c r="F100" s="137" t="b">
        <f>OR(AND(ISNUMBER(Test[[#This Row],[Total (%)]]),Test[[#This Row],[Total (%)]]&gt;=0,Test[[#This Row],[Total (%)]]&lt;=C$5),ISNUMBER(FIND("ABS",Test[[#This Row],[Total (%)]])),ISNUMBER(FIND("DEF",Test[[#This Row],[Total (%)]])),COUNTBLANK(Test[[#This Row],[Total (%)]])=1)</f>
        <v>1</v>
      </c>
    </row>
    <row r="101" spans="1:6">
      <c r="A101" s="14" t="s">
        <v>399</v>
      </c>
      <c r="B101" s="27" t="s">
        <v>572</v>
      </c>
      <c r="C101" s="28" t="str">
        <f>IF(ISNUMBER(Test[[#This Row],[Total]]),ROUND(Test[[#This Row],[Total]]/$D$5*100,0),"")</f>
        <v/>
      </c>
      <c r="E101" s="3"/>
      <c r="F101" s="137" t="b">
        <f>OR(AND(ISNUMBER(Test[[#This Row],[Total (%)]]),Test[[#This Row],[Total (%)]]&gt;=0,Test[[#This Row],[Total (%)]]&lt;=C$5),ISNUMBER(FIND("ABS",Test[[#This Row],[Total (%)]])),ISNUMBER(FIND("DEF",Test[[#This Row],[Total (%)]])),COUNTBLANK(Test[[#This Row],[Total (%)]])=1)</f>
        <v>1</v>
      </c>
    </row>
    <row r="102" spans="1:6">
      <c r="A102" s="14" t="s">
        <v>1487</v>
      </c>
      <c r="B102" s="27" t="s">
        <v>1416</v>
      </c>
      <c r="C102" s="28" t="str">
        <f>IF(ISNUMBER(Test[[#This Row],[Total]]),ROUND(Test[[#This Row],[Total]]/$D$5*100,0),"")</f>
        <v/>
      </c>
      <c r="E102" s="3"/>
      <c r="F102" s="137" t="b">
        <f>OR(AND(ISNUMBER(Test[[#This Row],[Total (%)]]),Test[[#This Row],[Total (%)]]&gt;=0,Test[[#This Row],[Total (%)]]&lt;=C$5),ISNUMBER(FIND("ABS",Test[[#This Row],[Total (%)]])),ISNUMBER(FIND("DEF",Test[[#This Row],[Total (%)]])),COUNTBLANK(Test[[#This Row],[Total (%)]])=1)</f>
        <v>1</v>
      </c>
    </row>
    <row r="103" spans="1:6">
      <c r="A103" s="14" t="s">
        <v>402</v>
      </c>
      <c r="B103" s="27" t="s">
        <v>575</v>
      </c>
      <c r="C103" s="28" t="str">
        <f>IF(ISNUMBER(Test[[#This Row],[Total]]),ROUND(Test[[#This Row],[Total]]/$D$5*100,0),"")</f>
        <v/>
      </c>
      <c r="E103" s="3"/>
      <c r="F103" s="137" t="b">
        <f>OR(AND(ISNUMBER(Test[[#This Row],[Total (%)]]),Test[[#This Row],[Total (%)]]&gt;=0,Test[[#This Row],[Total (%)]]&lt;=C$5),ISNUMBER(FIND("ABS",Test[[#This Row],[Total (%)]])),ISNUMBER(FIND("DEF",Test[[#This Row],[Total (%)]])),COUNTBLANK(Test[[#This Row],[Total (%)]])=1)</f>
        <v>1</v>
      </c>
    </row>
    <row r="104" spans="1:6">
      <c r="A104" s="14" t="s">
        <v>1488</v>
      </c>
      <c r="B104" s="27" t="s">
        <v>1417</v>
      </c>
      <c r="C104" s="28" t="str">
        <f>IF(ISNUMBER(Test[[#This Row],[Total]]),ROUND(Test[[#This Row],[Total]]/$D$5*100,0),"")</f>
        <v/>
      </c>
      <c r="E104" s="3"/>
      <c r="F104" s="137" t="b">
        <f>OR(AND(ISNUMBER(Test[[#This Row],[Total (%)]]),Test[[#This Row],[Total (%)]]&gt;=0,Test[[#This Row],[Total (%)]]&lt;=C$5),ISNUMBER(FIND("ABS",Test[[#This Row],[Total (%)]])),ISNUMBER(FIND("DEF",Test[[#This Row],[Total (%)]])),COUNTBLANK(Test[[#This Row],[Total (%)]])=1)</f>
        <v>1</v>
      </c>
    </row>
    <row r="105" spans="1:6">
      <c r="A105" s="14" t="s">
        <v>1489</v>
      </c>
      <c r="B105" s="27" t="s">
        <v>1418</v>
      </c>
      <c r="C105" s="28" t="str">
        <f>IF(ISNUMBER(Test[[#This Row],[Total]]),ROUND(Test[[#This Row],[Total]]/$D$5*100,0),"")</f>
        <v/>
      </c>
      <c r="E105" s="3"/>
      <c r="F105" s="137" t="b">
        <f>OR(AND(ISNUMBER(Test[[#This Row],[Total (%)]]),Test[[#This Row],[Total (%)]]&gt;=0,Test[[#This Row],[Total (%)]]&lt;=C$5),ISNUMBER(FIND("ABS",Test[[#This Row],[Total (%)]])),ISNUMBER(FIND("DEF",Test[[#This Row],[Total (%)]])),COUNTBLANK(Test[[#This Row],[Total (%)]])=1)</f>
        <v>1</v>
      </c>
    </row>
    <row r="106" spans="1:6">
      <c r="A106" s="14" t="s">
        <v>1490</v>
      </c>
      <c r="B106" s="27" t="s">
        <v>1419</v>
      </c>
      <c r="C106" s="28" t="str">
        <f>IF(ISNUMBER(Test[[#This Row],[Total]]),ROUND(Test[[#This Row],[Total]]/$D$5*100,0),"")</f>
        <v/>
      </c>
      <c r="E106" s="3"/>
      <c r="F106" s="137" t="b">
        <f>OR(AND(ISNUMBER(Test[[#This Row],[Total (%)]]),Test[[#This Row],[Total (%)]]&gt;=0,Test[[#This Row],[Total (%)]]&lt;=C$5),ISNUMBER(FIND("ABS",Test[[#This Row],[Total (%)]])),ISNUMBER(FIND("DEF",Test[[#This Row],[Total (%)]])),COUNTBLANK(Test[[#This Row],[Total (%)]])=1)</f>
        <v>1</v>
      </c>
    </row>
    <row r="107" spans="1:6">
      <c r="A107" s="14" t="s">
        <v>403</v>
      </c>
      <c r="B107" s="27" t="s">
        <v>576</v>
      </c>
      <c r="C107" s="28" t="str">
        <f>IF(ISNUMBER(Test[[#This Row],[Total]]),ROUND(Test[[#This Row],[Total]]/$D$5*100,0),"")</f>
        <v/>
      </c>
      <c r="E107" s="3"/>
      <c r="F107" s="137" t="b">
        <f>OR(AND(ISNUMBER(Test[[#This Row],[Total (%)]]),Test[[#This Row],[Total (%)]]&gt;=0,Test[[#This Row],[Total (%)]]&lt;=C$5),ISNUMBER(FIND("ABS",Test[[#This Row],[Total (%)]])),ISNUMBER(FIND("DEF",Test[[#This Row],[Total (%)]])),COUNTBLANK(Test[[#This Row],[Total (%)]])=1)</f>
        <v>1</v>
      </c>
    </row>
    <row r="108" spans="1:6">
      <c r="A108" s="14" t="s">
        <v>405</v>
      </c>
      <c r="B108" s="27" t="s">
        <v>578</v>
      </c>
      <c r="C108" s="28" t="str">
        <f>IF(ISNUMBER(Test[[#This Row],[Total]]),ROUND(Test[[#This Row],[Total]]/$D$5*100,0),"")</f>
        <v/>
      </c>
      <c r="E108" s="3"/>
      <c r="F108" s="137" t="b">
        <f>OR(AND(ISNUMBER(Test[[#This Row],[Total (%)]]),Test[[#This Row],[Total (%)]]&gt;=0,Test[[#This Row],[Total (%)]]&lt;=C$5),ISNUMBER(FIND("ABS",Test[[#This Row],[Total (%)]])),ISNUMBER(FIND("DEF",Test[[#This Row],[Total (%)]])),COUNTBLANK(Test[[#This Row],[Total (%)]])=1)</f>
        <v>1</v>
      </c>
    </row>
    <row r="109" spans="1:6">
      <c r="A109" s="14" t="s">
        <v>1491</v>
      </c>
      <c r="B109" s="27" t="s">
        <v>1420</v>
      </c>
      <c r="C109" s="28" t="str">
        <f>IF(ISNUMBER(Test[[#This Row],[Total]]),ROUND(Test[[#This Row],[Total]]/$D$5*100,0),"")</f>
        <v/>
      </c>
      <c r="E109" s="3"/>
      <c r="F109" s="137" t="b">
        <f>OR(AND(ISNUMBER(Test[[#This Row],[Total (%)]]),Test[[#This Row],[Total (%)]]&gt;=0,Test[[#This Row],[Total (%)]]&lt;=C$5),ISNUMBER(FIND("ABS",Test[[#This Row],[Total (%)]])),ISNUMBER(FIND("DEF",Test[[#This Row],[Total (%)]])),COUNTBLANK(Test[[#This Row],[Total (%)]])=1)</f>
        <v>1</v>
      </c>
    </row>
    <row r="110" spans="1:6">
      <c r="A110" s="14" t="s">
        <v>1492</v>
      </c>
      <c r="B110" s="27" t="s">
        <v>1421</v>
      </c>
      <c r="C110" s="28" t="str">
        <f>IF(ISNUMBER(Test[[#This Row],[Total]]),ROUND(Test[[#This Row],[Total]]/$D$5*100,0),"")</f>
        <v/>
      </c>
      <c r="E110" s="3"/>
      <c r="F110" s="137" t="b">
        <f>OR(AND(ISNUMBER(Test[[#This Row],[Total (%)]]),Test[[#This Row],[Total (%)]]&gt;=0,Test[[#This Row],[Total (%)]]&lt;=C$5),ISNUMBER(FIND("ABS",Test[[#This Row],[Total (%)]])),ISNUMBER(FIND("DEF",Test[[#This Row],[Total (%)]])),COUNTBLANK(Test[[#This Row],[Total (%)]])=1)</f>
        <v>1</v>
      </c>
    </row>
    <row r="111" spans="1:6">
      <c r="A111" s="14" t="s">
        <v>407</v>
      </c>
      <c r="B111" s="27" t="s">
        <v>580</v>
      </c>
      <c r="C111" s="28" t="str">
        <f>IF(ISNUMBER(Test[[#This Row],[Total]]),ROUND(Test[[#This Row],[Total]]/$D$5*100,0),"")</f>
        <v/>
      </c>
      <c r="E111" s="3"/>
      <c r="F111" s="137" t="b">
        <f>OR(AND(ISNUMBER(Test[[#This Row],[Total (%)]]),Test[[#This Row],[Total (%)]]&gt;=0,Test[[#This Row],[Total (%)]]&lt;=C$5),ISNUMBER(FIND("ABS",Test[[#This Row],[Total (%)]])),ISNUMBER(FIND("DEF",Test[[#This Row],[Total (%)]])),COUNTBLANK(Test[[#This Row],[Total (%)]])=1)</f>
        <v>1</v>
      </c>
    </row>
    <row r="112" spans="1:6">
      <c r="A112" s="14" t="s">
        <v>1493</v>
      </c>
      <c r="B112" s="27" t="s">
        <v>1422</v>
      </c>
      <c r="C112" s="28" t="str">
        <f>IF(ISNUMBER(Test[[#This Row],[Total]]),ROUND(Test[[#This Row],[Total]]/$D$5*100,0),"")</f>
        <v/>
      </c>
      <c r="E112" s="3"/>
      <c r="F112" s="137" t="b">
        <f>OR(AND(ISNUMBER(Test[[#This Row],[Total (%)]]),Test[[#This Row],[Total (%)]]&gt;=0,Test[[#This Row],[Total (%)]]&lt;=C$5),ISNUMBER(FIND("ABS",Test[[#This Row],[Total (%)]])),ISNUMBER(FIND("DEF",Test[[#This Row],[Total (%)]])),COUNTBLANK(Test[[#This Row],[Total (%)]])=1)</f>
        <v>1</v>
      </c>
    </row>
    <row r="113" spans="1:6">
      <c r="A113" s="14" t="s">
        <v>1494</v>
      </c>
      <c r="B113" s="27" t="s">
        <v>1423</v>
      </c>
      <c r="C113" s="28" t="str">
        <f>IF(ISNUMBER(Test[[#This Row],[Total]]),ROUND(Test[[#This Row],[Total]]/$D$5*100,0),"")</f>
        <v/>
      </c>
      <c r="E113" s="3"/>
      <c r="F113" s="137" t="b">
        <f>OR(AND(ISNUMBER(Test[[#This Row],[Total (%)]]),Test[[#This Row],[Total (%)]]&gt;=0,Test[[#This Row],[Total (%)]]&lt;=C$5),ISNUMBER(FIND("ABS",Test[[#This Row],[Total (%)]])),ISNUMBER(FIND("DEF",Test[[#This Row],[Total (%)]])),COUNTBLANK(Test[[#This Row],[Total (%)]])=1)</f>
        <v>1</v>
      </c>
    </row>
    <row r="114" spans="1:6">
      <c r="A114" s="14" t="s">
        <v>1495</v>
      </c>
      <c r="B114" s="27" t="s">
        <v>1424</v>
      </c>
      <c r="C114" s="28" t="str">
        <f>IF(ISNUMBER(Test[[#This Row],[Total]]),ROUND(Test[[#This Row],[Total]]/$D$5*100,0),"")</f>
        <v/>
      </c>
      <c r="E114" s="3"/>
      <c r="F114" s="137" t="b">
        <f>OR(AND(ISNUMBER(Test[[#This Row],[Total (%)]]),Test[[#This Row],[Total (%)]]&gt;=0,Test[[#This Row],[Total (%)]]&lt;=C$5),ISNUMBER(FIND("ABS",Test[[#This Row],[Total (%)]])),ISNUMBER(FIND("DEF",Test[[#This Row],[Total (%)]])),COUNTBLANK(Test[[#This Row],[Total (%)]])=1)</f>
        <v>1</v>
      </c>
    </row>
    <row r="115" spans="1:6">
      <c r="A115" s="14" t="s">
        <v>409</v>
      </c>
      <c r="B115" s="27" t="s">
        <v>582</v>
      </c>
      <c r="C115" s="28" t="str">
        <f>IF(ISNUMBER(Test[[#This Row],[Total]]),ROUND(Test[[#This Row],[Total]]/$D$5*100,0),"")</f>
        <v/>
      </c>
      <c r="E115" s="3"/>
      <c r="F115" s="137" t="b">
        <f>OR(AND(ISNUMBER(Test[[#This Row],[Total (%)]]),Test[[#This Row],[Total (%)]]&gt;=0,Test[[#This Row],[Total (%)]]&lt;=C$5),ISNUMBER(FIND("ABS",Test[[#This Row],[Total (%)]])),ISNUMBER(FIND("DEF",Test[[#This Row],[Total (%)]])),COUNTBLANK(Test[[#This Row],[Total (%)]])=1)</f>
        <v>1</v>
      </c>
    </row>
    <row r="116" spans="1:6">
      <c r="A116" s="14" t="s">
        <v>1496</v>
      </c>
      <c r="B116" s="27" t="s">
        <v>1425</v>
      </c>
      <c r="C116" s="28" t="str">
        <f>IF(ISNUMBER(Test[[#This Row],[Total]]),ROUND(Test[[#This Row],[Total]]/$D$5*100,0),"")</f>
        <v/>
      </c>
      <c r="E116" s="3"/>
      <c r="F116" s="137" t="b">
        <f>OR(AND(ISNUMBER(Test[[#This Row],[Total (%)]]),Test[[#This Row],[Total (%)]]&gt;=0,Test[[#This Row],[Total (%)]]&lt;=C$5),ISNUMBER(FIND("ABS",Test[[#This Row],[Total (%)]])),ISNUMBER(FIND("DEF",Test[[#This Row],[Total (%)]])),COUNTBLANK(Test[[#This Row],[Total (%)]])=1)</f>
        <v>1</v>
      </c>
    </row>
    <row r="117" spans="1:6">
      <c r="A117" s="14" t="s">
        <v>411</v>
      </c>
      <c r="B117" s="27" t="s">
        <v>584</v>
      </c>
      <c r="C117" s="28" t="str">
        <f>IF(ISNUMBER(Test[[#This Row],[Total]]),ROUND(Test[[#This Row],[Total]]/$D$5*100,0),"")</f>
        <v/>
      </c>
      <c r="E117" s="3"/>
      <c r="F117" s="137" t="b">
        <f>OR(AND(ISNUMBER(Test[[#This Row],[Total (%)]]),Test[[#This Row],[Total (%)]]&gt;=0,Test[[#This Row],[Total (%)]]&lt;=C$5),ISNUMBER(FIND("ABS",Test[[#This Row],[Total (%)]])),ISNUMBER(FIND("DEF",Test[[#This Row],[Total (%)]])),COUNTBLANK(Test[[#This Row],[Total (%)]])=1)</f>
        <v>1</v>
      </c>
    </row>
    <row r="118" spans="1:6">
      <c r="A118" s="14" t="s">
        <v>1497</v>
      </c>
      <c r="B118" s="27" t="s">
        <v>1426</v>
      </c>
      <c r="C118" s="28" t="str">
        <f>IF(ISNUMBER(Test[[#This Row],[Total]]),ROUND(Test[[#This Row],[Total]]/$D$5*100,0),"")</f>
        <v/>
      </c>
      <c r="E118" s="3"/>
      <c r="F118" s="137" t="b">
        <f>OR(AND(ISNUMBER(Test[[#This Row],[Total (%)]]),Test[[#This Row],[Total (%)]]&gt;=0,Test[[#This Row],[Total (%)]]&lt;=C$5),ISNUMBER(FIND("ABS",Test[[#This Row],[Total (%)]])),ISNUMBER(FIND("DEF",Test[[#This Row],[Total (%)]])),COUNTBLANK(Test[[#This Row],[Total (%)]])=1)</f>
        <v>1</v>
      </c>
    </row>
    <row r="119" spans="1:6">
      <c r="A119" s="14" t="s">
        <v>1498</v>
      </c>
      <c r="B119" s="27" t="s">
        <v>1427</v>
      </c>
      <c r="C119" s="28" t="str">
        <f>IF(ISNUMBER(Test[[#This Row],[Total]]),ROUND(Test[[#This Row],[Total]]/$D$5*100,0),"")</f>
        <v/>
      </c>
      <c r="E119" s="3"/>
      <c r="F119" s="137" t="b">
        <f>OR(AND(ISNUMBER(Test[[#This Row],[Total (%)]]),Test[[#This Row],[Total (%)]]&gt;=0,Test[[#This Row],[Total (%)]]&lt;=C$5),ISNUMBER(FIND("ABS",Test[[#This Row],[Total (%)]])),ISNUMBER(FIND("DEF",Test[[#This Row],[Total (%)]])),COUNTBLANK(Test[[#This Row],[Total (%)]])=1)</f>
        <v>1</v>
      </c>
    </row>
    <row r="120" spans="1:6">
      <c r="A120" s="14" t="s">
        <v>1499</v>
      </c>
      <c r="B120" s="27" t="s">
        <v>1428</v>
      </c>
      <c r="C120" s="28" t="str">
        <f>IF(ISNUMBER(Test[[#This Row],[Total]]),ROUND(Test[[#This Row],[Total]]/$D$5*100,0),"")</f>
        <v/>
      </c>
      <c r="E120" s="3"/>
      <c r="F120" s="137" t="b">
        <f>OR(AND(ISNUMBER(Test[[#This Row],[Total (%)]]),Test[[#This Row],[Total (%)]]&gt;=0,Test[[#This Row],[Total (%)]]&lt;=C$5),ISNUMBER(FIND("ABS",Test[[#This Row],[Total (%)]])),ISNUMBER(FIND("DEF",Test[[#This Row],[Total (%)]])),COUNTBLANK(Test[[#This Row],[Total (%)]])=1)</f>
        <v>1</v>
      </c>
    </row>
    <row r="121" spans="1:6">
      <c r="A121" s="14" t="s">
        <v>1500</v>
      </c>
      <c r="B121" s="27" t="s">
        <v>1429</v>
      </c>
      <c r="C121" s="28" t="str">
        <f>IF(ISNUMBER(Test[[#This Row],[Total]]),ROUND(Test[[#This Row],[Total]]/$D$5*100,0),"")</f>
        <v/>
      </c>
      <c r="E121" s="3"/>
      <c r="F121" s="137" t="b">
        <f>OR(AND(ISNUMBER(Test[[#This Row],[Total (%)]]),Test[[#This Row],[Total (%)]]&gt;=0,Test[[#This Row],[Total (%)]]&lt;=C$5),ISNUMBER(FIND("ABS",Test[[#This Row],[Total (%)]])),ISNUMBER(FIND("DEF",Test[[#This Row],[Total (%)]])),COUNTBLANK(Test[[#This Row],[Total (%)]])=1)</f>
        <v>1</v>
      </c>
    </row>
    <row r="122" spans="1:6">
      <c r="A122" s="14" t="s">
        <v>1501</v>
      </c>
      <c r="B122" s="27" t="s">
        <v>1430</v>
      </c>
      <c r="C122" s="28" t="str">
        <f>IF(ISNUMBER(Test[[#This Row],[Total]]),ROUND(Test[[#This Row],[Total]]/$D$5*100,0),"")</f>
        <v/>
      </c>
      <c r="E122" s="3"/>
      <c r="F122" s="137" t="b">
        <f>OR(AND(ISNUMBER(Test[[#This Row],[Total (%)]]),Test[[#This Row],[Total (%)]]&gt;=0,Test[[#This Row],[Total (%)]]&lt;=C$5),ISNUMBER(FIND("ABS",Test[[#This Row],[Total (%)]])),ISNUMBER(FIND("DEF",Test[[#This Row],[Total (%)]])),COUNTBLANK(Test[[#This Row],[Total (%)]])=1)</f>
        <v>1</v>
      </c>
    </row>
    <row r="123" spans="1:6">
      <c r="A123" s="14" t="s">
        <v>1502</v>
      </c>
      <c r="B123" s="27" t="s">
        <v>1431</v>
      </c>
      <c r="C123" s="28" t="str">
        <f>IF(ISNUMBER(Test[[#This Row],[Total]]),ROUND(Test[[#This Row],[Total]]/$D$5*100,0),"")</f>
        <v/>
      </c>
      <c r="E123" s="3"/>
      <c r="F123" s="137" t="b">
        <f>OR(AND(ISNUMBER(Test[[#This Row],[Total (%)]]),Test[[#This Row],[Total (%)]]&gt;=0,Test[[#This Row],[Total (%)]]&lt;=C$5),ISNUMBER(FIND("ABS",Test[[#This Row],[Total (%)]])),ISNUMBER(FIND("DEF",Test[[#This Row],[Total (%)]])),COUNTBLANK(Test[[#This Row],[Total (%)]])=1)</f>
        <v>1</v>
      </c>
    </row>
    <row r="124" spans="1:6">
      <c r="A124" s="14" t="s">
        <v>417</v>
      </c>
      <c r="B124" s="27" t="s">
        <v>590</v>
      </c>
      <c r="C124" s="28" t="str">
        <f>IF(ISNUMBER(Test[[#This Row],[Total]]),ROUND(Test[[#This Row],[Total]]/$D$5*100,0),"")</f>
        <v/>
      </c>
      <c r="E124" s="3"/>
      <c r="F124" s="137" t="b">
        <f>OR(AND(ISNUMBER(Test[[#This Row],[Total (%)]]),Test[[#This Row],[Total (%)]]&gt;=0,Test[[#This Row],[Total (%)]]&lt;=C$5),ISNUMBER(FIND("ABS",Test[[#This Row],[Total (%)]])),ISNUMBER(FIND("DEF",Test[[#This Row],[Total (%)]])),COUNTBLANK(Test[[#This Row],[Total (%)]])=1)</f>
        <v>1</v>
      </c>
    </row>
    <row r="125" spans="1:6">
      <c r="A125" s="14" t="s">
        <v>1503</v>
      </c>
      <c r="B125" s="27" t="s">
        <v>1432</v>
      </c>
      <c r="C125" s="28" t="str">
        <f>IF(ISNUMBER(Test[[#This Row],[Total]]),ROUND(Test[[#This Row],[Total]]/$D$5*100,0),"")</f>
        <v/>
      </c>
      <c r="E125" s="3"/>
      <c r="F125" s="137" t="b">
        <f>OR(AND(ISNUMBER(Test[[#This Row],[Total (%)]]),Test[[#This Row],[Total (%)]]&gt;=0,Test[[#This Row],[Total (%)]]&lt;=C$5),ISNUMBER(FIND("ABS",Test[[#This Row],[Total (%)]])),ISNUMBER(FIND("DEF",Test[[#This Row],[Total (%)]])),COUNTBLANK(Test[[#This Row],[Total (%)]])=1)</f>
        <v>1</v>
      </c>
    </row>
    <row r="126" spans="1:6">
      <c r="A126" s="14" t="s">
        <v>419</v>
      </c>
      <c r="B126" s="27" t="s">
        <v>592</v>
      </c>
      <c r="C126" s="28" t="str">
        <f>IF(ISNUMBER(Test[[#This Row],[Total]]),ROUND(Test[[#This Row],[Total]]/$D$5*100,0),"")</f>
        <v/>
      </c>
      <c r="E126" s="3"/>
      <c r="F126" s="137" t="b">
        <f>OR(AND(ISNUMBER(Test[[#This Row],[Total (%)]]),Test[[#This Row],[Total (%)]]&gt;=0,Test[[#This Row],[Total (%)]]&lt;=C$5),ISNUMBER(FIND("ABS",Test[[#This Row],[Total (%)]])),ISNUMBER(FIND("DEF",Test[[#This Row],[Total (%)]])),COUNTBLANK(Test[[#This Row],[Total (%)]])=1)</f>
        <v>1</v>
      </c>
    </row>
    <row r="127" spans="1:6">
      <c r="A127" s="14" t="s">
        <v>421</v>
      </c>
      <c r="B127" s="27" t="s">
        <v>594</v>
      </c>
      <c r="C127" s="28" t="str">
        <f>IF(ISNUMBER(Test[[#This Row],[Total]]),ROUND(Test[[#This Row],[Total]]/$D$5*100,0),"")</f>
        <v/>
      </c>
      <c r="E127" s="3"/>
      <c r="F127" s="137" t="b">
        <f>OR(AND(ISNUMBER(Test[[#This Row],[Total (%)]]),Test[[#This Row],[Total (%)]]&gt;=0,Test[[#This Row],[Total (%)]]&lt;=C$5),ISNUMBER(FIND("ABS",Test[[#This Row],[Total (%)]])),ISNUMBER(FIND("DEF",Test[[#This Row],[Total (%)]])),COUNTBLANK(Test[[#This Row],[Total (%)]])=1)</f>
        <v>1</v>
      </c>
    </row>
    <row r="128" spans="1:6">
      <c r="A128" s="14" t="s">
        <v>1504</v>
      </c>
      <c r="B128" s="27" t="s">
        <v>1433</v>
      </c>
      <c r="C128" s="28" t="str">
        <f>IF(ISNUMBER(Test[[#This Row],[Total]]),ROUND(Test[[#This Row],[Total]]/$D$5*100,0),"")</f>
        <v/>
      </c>
      <c r="E128" s="3"/>
      <c r="F128" s="137" t="b">
        <f>OR(AND(ISNUMBER(Test[[#This Row],[Total (%)]]),Test[[#This Row],[Total (%)]]&gt;=0,Test[[#This Row],[Total (%)]]&lt;=C$5),ISNUMBER(FIND("ABS",Test[[#This Row],[Total (%)]])),ISNUMBER(FIND("DEF",Test[[#This Row],[Total (%)]])),COUNTBLANK(Test[[#This Row],[Total (%)]])=1)</f>
        <v>1</v>
      </c>
    </row>
    <row r="129" spans="1:6">
      <c r="A129" s="14" t="s">
        <v>1505</v>
      </c>
      <c r="B129" s="27" t="s">
        <v>1434</v>
      </c>
      <c r="C129" s="28" t="str">
        <f>IF(ISNUMBER(Test[[#This Row],[Total]]),ROUND(Test[[#This Row],[Total]]/$D$5*100,0),"")</f>
        <v/>
      </c>
      <c r="E129" s="3"/>
      <c r="F129" s="137" t="b">
        <f>OR(AND(ISNUMBER(Test[[#This Row],[Total (%)]]),Test[[#This Row],[Total (%)]]&gt;=0,Test[[#This Row],[Total (%)]]&lt;=C$5),ISNUMBER(FIND("ABS",Test[[#This Row],[Total (%)]])),ISNUMBER(FIND("DEF",Test[[#This Row],[Total (%)]])),COUNTBLANK(Test[[#This Row],[Total (%)]])=1)</f>
        <v>1</v>
      </c>
    </row>
    <row r="130" spans="1:6">
      <c r="A130" s="14" t="s">
        <v>1506</v>
      </c>
      <c r="B130" s="27" t="s">
        <v>1435</v>
      </c>
      <c r="C130" s="28" t="str">
        <f>IF(ISNUMBER(Test[[#This Row],[Total]]),ROUND(Test[[#This Row],[Total]]/$D$5*100,0),"")</f>
        <v/>
      </c>
      <c r="E130" s="3"/>
      <c r="F130" s="137" t="b">
        <f>OR(AND(ISNUMBER(Test[[#This Row],[Total (%)]]),Test[[#This Row],[Total (%)]]&gt;=0,Test[[#This Row],[Total (%)]]&lt;=C$5),ISNUMBER(FIND("ABS",Test[[#This Row],[Total (%)]])),ISNUMBER(FIND("DEF",Test[[#This Row],[Total (%)]])),COUNTBLANK(Test[[#This Row],[Total (%)]])=1)</f>
        <v>1</v>
      </c>
    </row>
    <row r="131" spans="1:6">
      <c r="A131" s="14" t="s">
        <v>1507</v>
      </c>
      <c r="B131" s="27" t="s">
        <v>1436</v>
      </c>
      <c r="C131" s="28" t="str">
        <f>IF(ISNUMBER(Test[[#This Row],[Total]]),ROUND(Test[[#This Row],[Total]]/$D$5*100,0),"")</f>
        <v/>
      </c>
      <c r="E131" s="3"/>
      <c r="F131" s="137" t="b">
        <f>OR(AND(ISNUMBER(Test[[#This Row],[Total (%)]]),Test[[#This Row],[Total (%)]]&gt;=0,Test[[#This Row],[Total (%)]]&lt;=C$5),ISNUMBER(FIND("ABS",Test[[#This Row],[Total (%)]])),ISNUMBER(FIND("DEF",Test[[#This Row],[Total (%)]])),COUNTBLANK(Test[[#This Row],[Total (%)]])=1)</f>
        <v>1</v>
      </c>
    </row>
    <row r="132" spans="1:6">
      <c r="A132" s="14" t="s">
        <v>425</v>
      </c>
      <c r="B132" s="27" t="s">
        <v>598</v>
      </c>
      <c r="C132" s="28" t="str">
        <f>IF(ISNUMBER(Test[[#This Row],[Total]]),ROUND(Test[[#This Row],[Total]]/$D$5*100,0),"")</f>
        <v/>
      </c>
      <c r="E132" s="3"/>
      <c r="F132" s="137" t="b">
        <f>OR(AND(ISNUMBER(Test[[#This Row],[Total (%)]]),Test[[#This Row],[Total (%)]]&gt;=0,Test[[#This Row],[Total (%)]]&lt;=C$5),ISNUMBER(FIND("ABS",Test[[#This Row],[Total (%)]])),ISNUMBER(FIND("DEF",Test[[#This Row],[Total (%)]])),COUNTBLANK(Test[[#This Row],[Total (%)]])=1)</f>
        <v>1</v>
      </c>
    </row>
    <row r="133" spans="1:6">
      <c r="A133" s="14" t="s">
        <v>427</v>
      </c>
      <c r="B133" s="27" t="s">
        <v>600</v>
      </c>
      <c r="C133" s="28" t="str">
        <f>IF(ISNUMBER(Test[[#This Row],[Total]]),ROUND(Test[[#This Row],[Total]]/$D$5*100,0),"")</f>
        <v/>
      </c>
      <c r="E133" s="3"/>
      <c r="F133" s="137" t="b">
        <f>OR(AND(ISNUMBER(Test[[#This Row],[Total (%)]]),Test[[#This Row],[Total (%)]]&gt;=0,Test[[#This Row],[Total (%)]]&lt;=C$5),ISNUMBER(FIND("ABS",Test[[#This Row],[Total (%)]])),ISNUMBER(FIND("DEF",Test[[#This Row],[Total (%)]])),COUNTBLANK(Test[[#This Row],[Total (%)]])=1)</f>
        <v>1</v>
      </c>
    </row>
    <row r="134" spans="1:6">
      <c r="A134" s="14" t="s">
        <v>1508</v>
      </c>
      <c r="B134" s="27" t="s">
        <v>1437</v>
      </c>
      <c r="C134" s="28" t="str">
        <f>IF(ISNUMBER(Test[[#This Row],[Total]]),ROUND(Test[[#This Row],[Total]]/$D$5*100,0),"")</f>
        <v/>
      </c>
      <c r="E134" s="3"/>
      <c r="F134" s="137" t="b">
        <f>OR(AND(ISNUMBER(Test[[#This Row],[Total (%)]]),Test[[#This Row],[Total (%)]]&gt;=0,Test[[#This Row],[Total (%)]]&lt;=C$5),ISNUMBER(FIND("ABS",Test[[#This Row],[Total (%)]])),ISNUMBER(FIND("DEF",Test[[#This Row],[Total (%)]])),COUNTBLANK(Test[[#This Row],[Total (%)]])=1)</f>
        <v>1</v>
      </c>
    </row>
    <row r="135" spans="1:6">
      <c r="A135" s="14" t="s">
        <v>1509</v>
      </c>
      <c r="B135" s="27" t="s">
        <v>1438</v>
      </c>
      <c r="C135" s="28" t="str">
        <f>IF(ISNUMBER(Test[[#This Row],[Total]]),ROUND(Test[[#This Row],[Total]]/$D$5*100,0),"")</f>
        <v/>
      </c>
      <c r="E135" s="3"/>
      <c r="F135" s="137" t="b">
        <f>OR(AND(ISNUMBER(Test[[#This Row],[Total (%)]]),Test[[#This Row],[Total (%)]]&gt;=0,Test[[#This Row],[Total (%)]]&lt;=C$5),ISNUMBER(FIND("ABS",Test[[#This Row],[Total (%)]])),ISNUMBER(FIND("DEF",Test[[#This Row],[Total (%)]])),COUNTBLANK(Test[[#This Row],[Total (%)]])=1)</f>
        <v>1</v>
      </c>
    </row>
    <row r="136" spans="1:6">
      <c r="A136" s="14" t="s">
        <v>1510</v>
      </c>
      <c r="B136" s="27" t="s">
        <v>1439</v>
      </c>
      <c r="C136" s="28" t="str">
        <f>IF(ISNUMBER(Test[[#This Row],[Total]]),ROUND(Test[[#This Row],[Total]]/$D$5*100,0),"")</f>
        <v/>
      </c>
      <c r="E136" s="3"/>
      <c r="F136" s="137" t="b">
        <f>OR(AND(ISNUMBER(Test[[#This Row],[Total (%)]]),Test[[#This Row],[Total (%)]]&gt;=0,Test[[#This Row],[Total (%)]]&lt;=C$5),ISNUMBER(FIND("ABS",Test[[#This Row],[Total (%)]])),ISNUMBER(FIND("DEF",Test[[#This Row],[Total (%)]])),COUNTBLANK(Test[[#This Row],[Total (%)]])=1)</f>
        <v>1</v>
      </c>
    </row>
    <row r="137" spans="1:6">
      <c r="A137" s="14" t="s">
        <v>435</v>
      </c>
      <c r="B137" s="27" t="s">
        <v>607</v>
      </c>
      <c r="C137" s="28" t="str">
        <f>IF(ISNUMBER(Test[[#This Row],[Total]]),ROUND(Test[[#This Row],[Total]]/$D$5*100,0),"")</f>
        <v/>
      </c>
      <c r="E137" s="3"/>
      <c r="F137" s="137" t="b">
        <f>OR(AND(ISNUMBER(Test[[#This Row],[Total (%)]]),Test[[#This Row],[Total (%)]]&gt;=0,Test[[#This Row],[Total (%)]]&lt;=C$5),ISNUMBER(FIND("ABS",Test[[#This Row],[Total (%)]])),ISNUMBER(FIND("DEF",Test[[#This Row],[Total (%)]])),COUNTBLANK(Test[[#This Row],[Total (%)]])=1)</f>
        <v>1</v>
      </c>
    </row>
    <row r="138" spans="1:6">
      <c r="A138" s="14" t="s">
        <v>1511</v>
      </c>
      <c r="B138" s="27" t="s">
        <v>1440</v>
      </c>
      <c r="C138" s="28" t="str">
        <f>IF(ISNUMBER(Test[[#This Row],[Total]]),ROUND(Test[[#This Row],[Total]]/$D$5*100,0),"")</f>
        <v/>
      </c>
      <c r="E138" s="3"/>
      <c r="F138" s="137" t="b">
        <f>OR(AND(ISNUMBER(Test[[#This Row],[Total (%)]]),Test[[#This Row],[Total (%)]]&gt;=0,Test[[#This Row],[Total (%)]]&lt;=C$5),ISNUMBER(FIND("ABS",Test[[#This Row],[Total (%)]])),ISNUMBER(FIND("DEF",Test[[#This Row],[Total (%)]])),COUNTBLANK(Test[[#This Row],[Total (%)]])=1)</f>
        <v>1</v>
      </c>
    </row>
    <row r="139" spans="1:6">
      <c r="A139" s="14" t="s">
        <v>436</v>
      </c>
      <c r="B139" s="27" t="s">
        <v>608</v>
      </c>
      <c r="C139" s="28" t="str">
        <f>IF(ISNUMBER(Test[[#This Row],[Total]]),ROUND(Test[[#This Row],[Total]]/$D$5*100,0),"")</f>
        <v/>
      </c>
      <c r="E139" s="3"/>
      <c r="F139" s="137" t="b">
        <f>OR(AND(ISNUMBER(Test[[#This Row],[Total (%)]]),Test[[#This Row],[Total (%)]]&gt;=0,Test[[#This Row],[Total (%)]]&lt;=C$5),ISNUMBER(FIND("ABS",Test[[#This Row],[Total (%)]])),ISNUMBER(FIND("DEF",Test[[#This Row],[Total (%)]])),COUNTBLANK(Test[[#This Row],[Total (%)]])=1)</f>
        <v>1</v>
      </c>
    </row>
    <row r="140" spans="1:6">
      <c r="A140" s="14" t="s">
        <v>1512</v>
      </c>
      <c r="B140" s="27" t="s">
        <v>1441</v>
      </c>
      <c r="C140" s="28" t="str">
        <f>IF(ISNUMBER(Test[[#This Row],[Total]]),ROUND(Test[[#This Row],[Total]]/$D$5*100,0),"")</f>
        <v/>
      </c>
      <c r="E140" s="3"/>
      <c r="F140" s="137" t="b">
        <f>OR(AND(ISNUMBER(Test[[#This Row],[Total (%)]]),Test[[#This Row],[Total (%)]]&gt;=0,Test[[#This Row],[Total (%)]]&lt;=C$5),ISNUMBER(FIND("ABS",Test[[#This Row],[Total (%)]])),ISNUMBER(FIND("DEF",Test[[#This Row],[Total (%)]])),COUNTBLANK(Test[[#This Row],[Total (%)]])=1)</f>
        <v>1</v>
      </c>
    </row>
    <row r="141" spans="1:6">
      <c r="A141" s="14" t="s">
        <v>1513</v>
      </c>
      <c r="B141" s="27" t="s">
        <v>1442</v>
      </c>
      <c r="C141" s="28" t="str">
        <f>IF(ISNUMBER(Test[[#This Row],[Total]]),ROUND(Test[[#This Row],[Total]]/$D$5*100,0),"")</f>
        <v/>
      </c>
      <c r="E141" s="3"/>
      <c r="F141" s="137" t="b">
        <f>OR(AND(ISNUMBER(Test[[#This Row],[Total (%)]]),Test[[#This Row],[Total (%)]]&gt;=0,Test[[#This Row],[Total (%)]]&lt;=C$5),ISNUMBER(FIND("ABS",Test[[#This Row],[Total (%)]])),ISNUMBER(FIND("DEF",Test[[#This Row],[Total (%)]])),COUNTBLANK(Test[[#This Row],[Total (%)]])=1)</f>
        <v>1</v>
      </c>
    </row>
    <row r="142" spans="1:6">
      <c r="A142" s="7"/>
      <c r="B142" s="7" t="s">
        <v>6</v>
      </c>
      <c r="C142" s="8" t="str">
        <f>IF(COUNT(Test[Total (%)])&gt;0,TEXT(AVERAGE(Test[Total (%)]),"0.0")&amp; "  (" &amp; TEXT(AVERAGE(Test[Total (%)])/C$5*100,"###") &amp; "%)","")</f>
        <v/>
      </c>
      <c r="D142" s="6" t="str">
        <f>IF(COUNT(Test[Total])&gt;0,TEXT(AVERAGE(Test[Total]),"0.0")&amp; "  (" &amp; TEXT(AVERAGE(Test[Total])/D$5*100,"###") &amp; "%)","")</f>
        <v/>
      </c>
      <c r="E142" s="6"/>
    </row>
  </sheetData>
  <dataConsolidate/>
  <conditionalFormatting sqref="C7:C141">
    <cfRule type="expression" dxfId="151" priority="2">
      <formula>NOT(INDIRECT("Test[@[Total (%) Valid]]"))</formula>
    </cfRule>
  </conditionalFormatting>
  <dataValidations count="2">
    <dataValidation type="custom" allowBlank="1" showInputMessage="1" showErrorMessage="1" sqref="D7:D141">
      <formula1>OR(AND(ISNUMBER(D7),D7&gt;=0,D7&lt;=D$5),D7="")</formula1>
    </dataValidation>
    <dataValidation allowBlank="1" showInputMessage="1" showErrorMessage="1" error="The only accepted values for this column are: a calculated mark, ABS for absent, or _x000a_DEF for deferred." sqref="C7:C141"/>
  </dataValidations>
  <pageMargins left="0.7" right="0.7" top="0.75" bottom="0.75" header="0.3" footer="0.3"/>
  <pageSetup paperSize="9" orientation="portrait" verticalDpi="0"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Q171"/>
  <sheetViews>
    <sheetView workbookViewId="0">
      <pane xSplit="2" ySplit="4" topLeftCell="C5" activePane="bottomRight" state="frozen"/>
      <selection pane="topRight" activeCell="C1" sqref="C1"/>
      <selection pane="bottomLeft" activeCell="A5" sqref="A5"/>
      <selection pane="bottomRight" activeCell="D5" sqref="D5:M171"/>
    </sheetView>
  </sheetViews>
  <sheetFormatPr defaultColWidth="9.109375" defaultRowHeight="14.4"/>
  <cols>
    <col min="1" max="1" width="11.21875" customWidth="1"/>
    <col min="2" max="2" width="27.21875" bestFit="1" customWidth="1"/>
    <col min="3" max="3" width="12.6640625" bestFit="1" customWidth="1"/>
    <col min="4" max="4" width="9.77734375" customWidth="1"/>
    <col min="6" max="6" width="11.88671875" style="2" customWidth="1"/>
    <col min="7" max="7" width="11.21875" style="2" customWidth="1"/>
    <col min="8" max="8" width="18" style="2" customWidth="1"/>
    <col min="9" max="9" width="9.88671875" style="2" customWidth="1"/>
    <col min="10" max="10" width="10.77734375" style="2" customWidth="1"/>
    <col min="11" max="11" width="12.44140625" style="2" customWidth="1"/>
    <col min="12" max="12" width="12.33203125" style="2" customWidth="1"/>
    <col min="13" max="13" width="19.44140625" bestFit="1" customWidth="1"/>
    <col min="14" max="14" width="18.88671875" style="3" customWidth="1"/>
    <col min="15" max="15" width="19.44140625" style="2" bestFit="1" customWidth="1"/>
    <col min="16" max="16" width="12" style="2" bestFit="1" customWidth="1"/>
    <col min="17" max="17" width="23.44140625" style="2" customWidth="1"/>
    <col min="19" max="19" width="37.33203125" customWidth="1"/>
    <col min="20" max="29" width="12.6640625" bestFit="1" customWidth="1"/>
    <col min="30" max="30" width="12.6640625" customWidth="1"/>
    <col min="31" max="33" width="12.6640625" bestFit="1" customWidth="1"/>
    <col min="34" max="34" width="10.6640625" bestFit="1" customWidth="1"/>
  </cols>
  <sheetData>
    <row r="1" spans="1:17" ht="31.2">
      <c r="A1" s="34" t="s">
        <v>263</v>
      </c>
      <c r="B1" s="20"/>
      <c r="D1" s="2"/>
      <c r="M1" s="2"/>
      <c r="O1"/>
      <c r="P1"/>
      <c r="Q1"/>
    </row>
    <row r="2" spans="1:17" ht="17.399999999999999" customHeight="1">
      <c r="A2" s="34"/>
      <c r="B2" s="20"/>
      <c r="D2" s="2"/>
      <c r="M2" s="2"/>
      <c r="O2"/>
      <c r="P2"/>
      <c r="Q2"/>
    </row>
    <row r="3" spans="1:17">
      <c r="A3" t="s">
        <v>25</v>
      </c>
      <c r="C3" s="6">
        <v>100</v>
      </c>
      <c r="D3" s="2"/>
      <c r="E3" s="2"/>
      <c r="M3" s="2">
        <v>100</v>
      </c>
      <c r="N3" s="161"/>
      <c r="O3"/>
      <c r="P3"/>
      <c r="Q3"/>
    </row>
    <row r="4" spans="1:17">
      <c r="A4" s="149" t="s">
        <v>617</v>
      </c>
      <c r="B4" s="150" t="s">
        <v>1010</v>
      </c>
      <c r="C4" s="151" t="s">
        <v>29</v>
      </c>
      <c r="D4" s="160" t="s">
        <v>1017</v>
      </c>
      <c r="E4" s="160" t="s">
        <v>1013</v>
      </c>
      <c r="F4" s="160" t="s">
        <v>1014</v>
      </c>
      <c r="G4" s="160" t="s">
        <v>1015</v>
      </c>
      <c r="H4" s="160" t="s">
        <v>1016</v>
      </c>
      <c r="I4" s="160" t="s">
        <v>1020</v>
      </c>
      <c r="J4" s="160" t="s">
        <v>1022</v>
      </c>
      <c r="K4" s="160" t="s">
        <v>1019</v>
      </c>
      <c r="L4" s="160" t="s">
        <v>1018</v>
      </c>
      <c r="M4" s="160" t="s">
        <v>1021</v>
      </c>
      <c r="N4" s="149" t="s">
        <v>24</v>
      </c>
      <c r="O4"/>
      <c r="P4"/>
      <c r="Q4"/>
    </row>
    <row r="5" spans="1:17">
      <c r="A5" s="147" t="s">
        <v>271</v>
      </c>
      <c r="B5" s="148" t="s">
        <v>448</v>
      </c>
      <c r="C5" s="141" t="str">
        <f>IF(ISNUMBER(Project[[#This Row],[Mark after capping]]),IF(Project[[#This Row],[Mark after capping]]&lt;0,0,IF(Project[[#This Row],[Mark after capping]]&gt;100,100,Project[[#This Row],[Mark after capping]]/$M$3*100)),"")</f>
        <v/>
      </c>
      <c r="D5" s="159" t="e">
        <f>_xlfn.IFNA(INDEX(#REF!,MATCH(Project[[#This Row],[Student No.]:[Student No.]], #REF!,0)),"")</f>
        <v>#REF!</v>
      </c>
      <c r="E5" s="159" t="e">
        <f>_xlfn.IFNA(INDEX(#REF!,MATCH(Project[[#This Row],[Student No.]], #REF!,0)),"")</f>
        <v>#REF!</v>
      </c>
      <c r="F5" s="159" t="e">
        <f>_xlfn.IFNA(INDEX(#REF!,MATCH(Project[[#This Row],[Student No.]], #REF!,0)),"")</f>
        <v>#REF!</v>
      </c>
      <c r="G5" s="159" t="e">
        <f>_xlfn.IFNA(INDEX(#REF!,MATCH(Project[[#This Row],[Student No.]:[Student No.]], #REF!,0)),"")</f>
        <v>#REF!</v>
      </c>
      <c r="H5" s="159" t="e">
        <f>_xlfn.IFNA(INDEX(#REF!,MATCH(Project[[#This Row],[Student No.]:[Student No.]], #REF!,0)),"")</f>
        <v>#REF!</v>
      </c>
      <c r="I5" s="159" t="e">
        <f>_xlfn.IFNA(INDEX(#REF!,MATCH(Project[[#This Row],[Student No.]:[Student No.]], #REF!,0)),"")</f>
        <v>#REF!</v>
      </c>
      <c r="J5" s="159" t="e">
        <f>SUM(Project[[#This Row],[Discretionary Mark]:[Mark from ratings]])</f>
        <v>#REF!</v>
      </c>
      <c r="K5" s="159" t="e">
        <f>_xlfn.IFNA(IF(INDEX(#REF!,MATCH(Project[[#This Row],[Student No.]:[Student No.]], #REF!,0))&gt;0,"Yes",""),"")</f>
        <v>#REF!</v>
      </c>
      <c r="L5" s="159" t="e">
        <f>_xlfn.IFNA(IF(INDEX(#REF!,MATCH(Project[[#This Row],[Student No.]:[Student No.]], #REF!,0))="Code contribution less than 35%","Yes",""),"")</f>
        <v>#REF!</v>
      </c>
      <c r="M5"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5" s="147"/>
      <c r="O5"/>
      <c r="P5"/>
      <c r="Q5"/>
    </row>
    <row r="6" spans="1:17">
      <c r="A6" s="147" t="s">
        <v>272</v>
      </c>
      <c r="B6" s="148" t="s">
        <v>449</v>
      </c>
      <c r="C6" s="141" t="str">
        <f>IF(ISNUMBER(Project[[#This Row],[Mark after capping]]),IF(Project[[#This Row],[Mark after capping]]&lt;0,0,IF(Project[[#This Row],[Mark after capping]]&gt;100,100,Project[[#This Row],[Mark after capping]]/$M$3*100)),"")</f>
        <v/>
      </c>
      <c r="D6" s="159" t="e">
        <f>_xlfn.IFNA(INDEX(#REF!,MATCH(Project[[#This Row],[Student No.]:[Student No.]], #REF!,0)),"")</f>
        <v>#REF!</v>
      </c>
      <c r="E6" s="159" t="e">
        <f>_xlfn.IFNA(INDEX(#REF!,MATCH(Project[[#This Row],[Student No.]], #REF!,0)),"")</f>
        <v>#REF!</v>
      </c>
      <c r="F6" s="159" t="e">
        <f>_xlfn.IFNA(INDEX(#REF!,MATCH(Project[[#This Row],[Student No.]], #REF!,0)),"")</f>
        <v>#REF!</v>
      </c>
      <c r="G6" s="159" t="e">
        <f>_xlfn.IFNA(INDEX(#REF!,MATCH(Project[[#This Row],[Student No.]:[Student No.]], #REF!,0)),"")</f>
        <v>#REF!</v>
      </c>
      <c r="H6" s="159" t="e">
        <f>_xlfn.IFNA(INDEX(#REF!,MATCH(Project[[#This Row],[Student No.]:[Student No.]], #REF!,0)),"")</f>
        <v>#REF!</v>
      </c>
      <c r="I6" s="159" t="e">
        <f>_xlfn.IFNA(INDEX(#REF!,MATCH(Project[[#This Row],[Student No.]:[Student No.]], #REF!,0)),"")</f>
        <v>#REF!</v>
      </c>
      <c r="J6" s="159" t="e">
        <f>SUM(Project[[#This Row],[Discretionary Mark]:[Mark from ratings]])</f>
        <v>#REF!</v>
      </c>
      <c r="K6" s="159" t="e">
        <f>_xlfn.IFNA(IF(INDEX(#REF!,MATCH(Project[[#This Row],[Student No.]:[Student No.]], #REF!,0))&gt;0,"Yes",""),"")</f>
        <v>#REF!</v>
      </c>
      <c r="L6" s="159" t="e">
        <f>_xlfn.IFNA(IF(INDEX(#REF!,MATCH(Project[[#This Row],[Student No.]:[Student No.]], #REF!,0))="Code contribution less than 35%","Yes",""),"")</f>
        <v>#REF!</v>
      </c>
      <c r="M6"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6" s="147"/>
      <c r="O6"/>
      <c r="P6"/>
      <c r="Q6"/>
    </row>
    <row r="7" spans="1:17">
      <c r="A7" s="139" t="s">
        <v>273</v>
      </c>
      <c r="B7" s="140" t="s">
        <v>450</v>
      </c>
      <c r="C7" s="141" t="str">
        <f>IF(ISNUMBER(Project[[#This Row],[Mark after capping]]),IF(Project[[#This Row],[Mark after capping]]&lt;0,0,IF(Project[[#This Row],[Mark after capping]]&gt;100,100,Project[[#This Row],[Mark after capping]]/$M$3*100)),"")</f>
        <v/>
      </c>
      <c r="D7" s="159" t="e">
        <f>_xlfn.IFNA(INDEX(#REF!,MATCH(Project[[#This Row],[Student No.]:[Student No.]], #REF!,0)),"")</f>
        <v>#REF!</v>
      </c>
      <c r="E7" s="159" t="e">
        <f>_xlfn.IFNA(INDEX(#REF!,MATCH(Project[[#This Row],[Student No.]], #REF!,0)),"")</f>
        <v>#REF!</v>
      </c>
      <c r="F7" s="159" t="e">
        <f>_xlfn.IFNA(INDEX(#REF!,MATCH(Project[[#This Row],[Student No.]], #REF!,0)),"")</f>
        <v>#REF!</v>
      </c>
      <c r="G7" s="159" t="e">
        <f>_xlfn.IFNA(INDEX(#REF!,MATCH(Project[[#This Row],[Student No.]:[Student No.]], #REF!,0)),"")</f>
        <v>#REF!</v>
      </c>
      <c r="H7" s="159" t="e">
        <f>_xlfn.IFNA(INDEX(#REF!,MATCH(Project[[#This Row],[Student No.]:[Student No.]], #REF!,0)),"")</f>
        <v>#REF!</v>
      </c>
      <c r="I7" s="159" t="e">
        <f>_xlfn.IFNA(INDEX(#REF!,MATCH(Project[[#This Row],[Student No.]:[Student No.]], #REF!,0)),"")</f>
        <v>#REF!</v>
      </c>
      <c r="J7" s="159" t="e">
        <f>SUM(Project[[#This Row],[Discretionary Mark]:[Mark from ratings]])</f>
        <v>#REF!</v>
      </c>
      <c r="K7" s="159" t="e">
        <f>_xlfn.IFNA(IF(INDEX(#REF!,MATCH(Project[[#This Row],[Student No.]:[Student No.]], #REF!,0))&gt;0,"Yes",""),"")</f>
        <v>#REF!</v>
      </c>
      <c r="L7" s="159" t="e">
        <f>_xlfn.IFNA(IF(INDEX(#REF!,MATCH(Project[[#This Row],[Student No.]:[Student No.]], #REF!,0))="Code contribution less than 35%","Yes",""),"")</f>
        <v>#REF!</v>
      </c>
      <c r="M7"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7" s="147"/>
      <c r="O7"/>
      <c r="P7"/>
      <c r="Q7"/>
    </row>
    <row r="8" spans="1:17">
      <c r="A8" s="139" t="s">
        <v>274</v>
      </c>
      <c r="B8" s="140" t="s">
        <v>451</v>
      </c>
      <c r="C8" s="141" t="str">
        <f>IF(ISNUMBER(Project[[#This Row],[Mark after capping]]),IF(Project[[#This Row],[Mark after capping]]&lt;0,0,IF(Project[[#This Row],[Mark after capping]]&gt;100,100,Project[[#This Row],[Mark after capping]]/$M$3*100)),"")</f>
        <v/>
      </c>
      <c r="D8" s="142" t="e">
        <f>_xlfn.IFNA(INDEX(#REF!,MATCH(Project[[#This Row],[Student No.]:[Student No.]], #REF!,0)),"")</f>
        <v>#REF!</v>
      </c>
      <c r="E8" s="142" t="e">
        <f>_xlfn.IFNA(INDEX(#REF!,MATCH(Project[[#This Row],[Student No.]], #REF!,0)),"")</f>
        <v>#REF!</v>
      </c>
      <c r="F8" s="142" t="e">
        <f>_xlfn.IFNA(INDEX(#REF!,MATCH(Project[[#This Row],[Student No.]], #REF!,0)),"")</f>
        <v>#REF!</v>
      </c>
      <c r="G8" s="142" t="e">
        <f>_xlfn.IFNA(INDEX(#REF!,MATCH(Project[[#This Row],[Student No.]:[Student No.]], #REF!,0)),"")</f>
        <v>#REF!</v>
      </c>
      <c r="H8" s="142" t="e">
        <f>_xlfn.IFNA(INDEX(#REF!,MATCH(Project[[#This Row],[Student No.]:[Student No.]], #REF!,0)),"")</f>
        <v>#REF!</v>
      </c>
      <c r="I8" s="159" t="e">
        <f>_xlfn.IFNA(INDEX(#REF!,MATCH(Project[[#This Row],[Student No.]:[Student No.]], #REF!,0)),"")</f>
        <v>#REF!</v>
      </c>
      <c r="J8" s="159" t="e">
        <f>SUM(Project[[#This Row],[Discretionary Mark]:[Mark from ratings]])</f>
        <v>#REF!</v>
      </c>
      <c r="K8" s="159" t="e">
        <f>_xlfn.IFNA(IF(INDEX(#REF!,MATCH(Project[[#This Row],[Student No.]:[Student No.]], #REF!,0))&gt;0,"Yes",""),"")</f>
        <v>#REF!</v>
      </c>
      <c r="L8" s="142" t="e">
        <f>_xlfn.IFNA(IF(INDEX(#REF!,MATCH(Project[[#This Row],[Student No.]:[Student No.]], #REF!,0))="Code contribution less than 35%","Yes",""),"")</f>
        <v>#REF!</v>
      </c>
      <c r="M8"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8" s="152"/>
      <c r="O8"/>
      <c r="P8"/>
      <c r="Q8"/>
    </row>
    <row r="9" spans="1:17">
      <c r="A9" s="139" t="s">
        <v>275</v>
      </c>
      <c r="B9" s="140" t="s">
        <v>452</v>
      </c>
      <c r="C9" s="141" t="str">
        <f>IF(ISNUMBER(Project[[#This Row],[Mark after capping]]),IF(Project[[#This Row],[Mark after capping]]&lt;0,0,IF(Project[[#This Row],[Mark after capping]]&gt;100,100,Project[[#This Row],[Mark after capping]]/$M$3*100)),"")</f>
        <v/>
      </c>
      <c r="D9" s="142" t="e">
        <f>_xlfn.IFNA(INDEX(#REF!,MATCH(Project[[#This Row],[Student No.]:[Student No.]], #REF!,0)),"")</f>
        <v>#REF!</v>
      </c>
      <c r="E9" s="142" t="e">
        <f>_xlfn.IFNA(INDEX(#REF!,MATCH(Project[[#This Row],[Student No.]], #REF!,0)),"")</f>
        <v>#REF!</v>
      </c>
      <c r="F9" s="142" t="e">
        <f>_xlfn.IFNA(INDEX(#REF!,MATCH(Project[[#This Row],[Student No.]], #REF!,0)),"")</f>
        <v>#REF!</v>
      </c>
      <c r="G9" s="142" t="e">
        <f>_xlfn.IFNA(INDEX(#REF!,MATCH(Project[[#This Row],[Student No.]:[Student No.]], #REF!,0)),"")</f>
        <v>#REF!</v>
      </c>
      <c r="H9" s="142" t="e">
        <f>_xlfn.IFNA(INDEX(#REF!,MATCH(Project[[#This Row],[Student No.]:[Student No.]], #REF!,0)),"")</f>
        <v>#REF!</v>
      </c>
      <c r="I9" s="159" t="e">
        <f>_xlfn.IFNA(INDEX(#REF!,MATCH(Project[[#This Row],[Student No.]:[Student No.]], #REF!,0)),"")</f>
        <v>#REF!</v>
      </c>
      <c r="J9" s="159" t="e">
        <f>SUM(Project[[#This Row],[Discretionary Mark]:[Mark from ratings]])</f>
        <v>#REF!</v>
      </c>
      <c r="K9" s="159" t="e">
        <f>_xlfn.IFNA(IF(INDEX(#REF!,MATCH(Project[[#This Row],[Student No.]:[Student No.]], #REF!,0))&gt;0,"Yes",""),"")</f>
        <v>#REF!</v>
      </c>
      <c r="L9" s="142" t="e">
        <f>_xlfn.IFNA(IF(INDEX(#REF!,MATCH(Project[[#This Row],[Student No.]:[Student No.]], #REF!,0))="Code contribution less than 35%","Yes",""),"")</f>
        <v>#REF!</v>
      </c>
      <c r="M9"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9" s="152"/>
      <c r="O9"/>
      <c r="P9"/>
      <c r="Q9"/>
    </row>
    <row r="10" spans="1:17">
      <c r="A10" s="139" t="s">
        <v>276</v>
      </c>
      <c r="B10" s="140" t="s">
        <v>453</v>
      </c>
      <c r="C10" s="141" t="str">
        <f>IF(ISNUMBER(Project[[#This Row],[Mark after capping]]),IF(Project[[#This Row],[Mark after capping]]&lt;0,0,IF(Project[[#This Row],[Mark after capping]]&gt;100,100,Project[[#This Row],[Mark after capping]]/$M$3*100)),"")</f>
        <v/>
      </c>
      <c r="D10" s="142" t="e">
        <f>_xlfn.IFNA(INDEX(#REF!,MATCH(Project[[#This Row],[Student No.]:[Student No.]], #REF!,0)),"")</f>
        <v>#REF!</v>
      </c>
      <c r="E10" s="142" t="e">
        <f>_xlfn.IFNA(INDEX(#REF!,MATCH(Project[[#This Row],[Student No.]], #REF!,0)),"")</f>
        <v>#REF!</v>
      </c>
      <c r="F10" s="142" t="e">
        <f>_xlfn.IFNA(INDEX(#REF!,MATCH(Project[[#This Row],[Student No.]], #REF!,0)),"")</f>
        <v>#REF!</v>
      </c>
      <c r="G10" s="142" t="e">
        <f>_xlfn.IFNA(INDEX(#REF!,MATCH(Project[[#This Row],[Student No.]:[Student No.]], #REF!,0)),"")</f>
        <v>#REF!</v>
      </c>
      <c r="H10" s="142" t="e">
        <f>_xlfn.IFNA(INDEX(#REF!,MATCH(Project[[#This Row],[Student No.]:[Student No.]], #REF!,0)),"")</f>
        <v>#REF!</v>
      </c>
      <c r="I10" s="159" t="e">
        <f>_xlfn.IFNA(INDEX(#REF!,MATCH(Project[[#This Row],[Student No.]:[Student No.]], #REF!,0)),"")</f>
        <v>#REF!</v>
      </c>
      <c r="J10" s="159" t="e">
        <f>SUM(Project[[#This Row],[Discretionary Mark]:[Mark from ratings]])</f>
        <v>#REF!</v>
      </c>
      <c r="K10" s="159" t="e">
        <f>_xlfn.IFNA(IF(INDEX(#REF!,MATCH(Project[[#This Row],[Student No.]:[Student No.]], #REF!,0))&gt;0,"Yes",""),"")</f>
        <v>#REF!</v>
      </c>
      <c r="L10" s="142" t="e">
        <f>_xlfn.IFNA(IF(INDEX(#REF!,MATCH(Project[[#This Row],[Student No.]:[Student No.]], #REF!,0))="Code contribution less than 35%","Yes",""),"")</f>
        <v>#REF!</v>
      </c>
      <c r="M10"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0" s="152"/>
      <c r="O10"/>
      <c r="P10"/>
      <c r="Q10"/>
    </row>
    <row r="11" spans="1:17">
      <c r="A11" s="139" t="s">
        <v>277</v>
      </c>
      <c r="B11" s="140" t="s">
        <v>454</v>
      </c>
      <c r="C11" s="141" t="str">
        <f>IF(ISNUMBER(Project[[#This Row],[Mark after capping]]),IF(Project[[#This Row],[Mark after capping]]&lt;0,0,IF(Project[[#This Row],[Mark after capping]]&gt;100,100,Project[[#This Row],[Mark after capping]]/$M$3*100)),"")</f>
        <v/>
      </c>
      <c r="D11" s="142" t="e">
        <f>_xlfn.IFNA(INDEX(#REF!,MATCH(Project[[#This Row],[Student No.]:[Student No.]], #REF!,0)),"")</f>
        <v>#REF!</v>
      </c>
      <c r="E11" s="142" t="e">
        <f>_xlfn.IFNA(INDEX(#REF!,MATCH(Project[[#This Row],[Student No.]], #REF!,0)),"")</f>
        <v>#REF!</v>
      </c>
      <c r="F11" s="142" t="e">
        <f>_xlfn.IFNA(INDEX(#REF!,MATCH(Project[[#This Row],[Student No.]], #REF!,0)),"")</f>
        <v>#REF!</v>
      </c>
      <c r="G11" s="142" t="e">
        <f>_xlfn.IFNA(INDEX(#REF!,MATCH(Project[[#This Row],[Student No.]:[Student No.]], #REF!,0)),"")</f>
        <v>#REF!</v>
      </c>
      <c r="H11" s="142" t="e">
        <f>_xlfn.IFNA(INDEX(#REF!,MATCH(Project[[#This Row],[Student No.]:[Student No.]], #REF!,0)),"")</f>
        <v>#REF!</v>
      </c>
      <c r="I11" s="159" t="e">
        <f>_xlfn.IFNA(INDEX(#REF!,MATCH(Project[[#This Row],[Student No.]:[Student No.]], #REF!,0)),"")</f>
        <v>#REF!</v>
      </c>
      <c r="J11" s="159" t="e">
        <f>SUM(Project[[#This Row],[Discretionary Mark]:[Mark from ratings]])</f>
        <v>#REF!</v>
      </c>
      <c r="K11" s="159" t="e">
        <f>_xlfn.IFNA(IF(INDEX(#REF!,MATCH(Project[[#This Row],[Student No.]:[Student No.]], #REF!,0))&gt;0,"Yes",""),"")</f>
        <v>#REF!</v>
      </c>
      <c r="L11" s="142" t="e">
        <f>_xlfn.IFNA(IF(INDEX(#REF!,MATCH(Project[[#This Row],[Student No.]:[Student No.]], #REF!,0))="Code contribution less than 35%","Yes",""),"")</f>
        <v>#REF!</v>
      </c>
      <c r="M11"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1" s="152"/>
      <c r="O11"/>
      <c r="P11"/>
      <c r="Q11"/>
    </row>
    <row r="12" spans="1:17">
      <c r="A12" s="139" t="s">
        <v>278</v>
      </c>
      <c r="B12" s="140" t="s">
        <v>455</v>
      </c>
      <c r="C12" s="141" t="str">
        <f>IF(ISNUMBER(Project[[#This Row],[Mark after capping]]),IF(Project[[#This Row],[Mark after capping]]&lt;0,0,IF(Project[[#This Row],[Mark after capping]]&gt;100,100,Project[[#This Row],[Mark after capping]]/$M$3*100)),"")</f>
        <v/>
      </c>
      <c r="D12" s="142" t="e">
        <f>_xlfn.IFNA(INDEX(#REF!,MATCH(Project[[#This Row],[Student No.]:[Student No.]], #REF!,0)),"")</f>
        <v>#REF!</v>
      </c>
      <c r="E12" s="142" t="e">
        <f>_xlfn.IFNA(INDEX(#REF!,MATCH(Project[[#This Row],[Student No.]], #REF!,0)),"")</f>
        <v>#REF!</v>
      </c>
      <c r="F12" s="142" t="e">
        <f>_xlfn.IFNA(INDEX(#REF!,MATCH(Project[[#This Row],[Student No.]], #REF!,0)),"")</f>
        <v>#REF!</v>
      </c>
      <c r="G12" s="142" t="e">
        <f>_xlfn.IFNA(INDEX(#REF!,MATCH(Project[[#This Row],[Student No.]:[Student No.]], #REF!,0)),"")</f>
        <v>#REF!</v>
      </c>
      <c r="H12" s="142" t="e">
        <f>_xlfn.IFNA(INDEX(#REF!,MATCH(Project[[#This Row],[Student No.]:[Student No.]], #REF!,0)),"")</f>
        <v>#REF!</v>
      </c>
      <c r="I12" s="159" t="e">
        <f>_xlfn.IFNA(INDEX(#REF!,MATCH(Project[[#This Row],[Student No.]:[Student No.]], #REF!,0)),"")</f>
        <v>#REF!</v>
      </c>
      <c r="J12" s="159" t="e">
        <f>SUM(Project[[#This Row],[Discretionary Mark]:[Mark from ratings]])</f>
        <v>#REF!</v>
      </c>
      <c r="K12" s="159" t="e">
        <f>_xlfn.IFNA(IF(INDEX(#REF!,MATCH(Project[[#This Row],[Student No.]:[Student No.]], #REF!,0))&gt;0,"Yes",""),"")</f>
        <v>#REF!</v>
      </c>
      <c r="L12" s="142" t="e">
        <f>_xlfn.IFNA(IF(INDEX(#REF!,MATCH(Project[[#This Row],[Student No.]:[Student No.]], #REF!,0))="Code contribution less than 35%","Yes",""),"")</f>
        <v>#REF!</v>
      </c>
      <c r="M12"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2" s="152"/>
      <c r="O12"/>
      <c r="P12"/>
      <c r="Q12"/>
    </row>
    <row r="13" spans="1:17">
      <c r="A13" s="139" t="s">
        <v>279</v>
      </c>
      <c r="B13" s="140" t="s">
        <v>456</v>
      </c>
      <c r="C13" s="141" t="str">
        <f>IF(ISNUMBER(Project[[#This Row],[Mark after capping]]),IF(Project[[#This Row],[Mark after capping]]&lt;0,0,IF(Project[[#This Row],[Mark after capping]]&gt;100,100,Project[[#This Row],[Mark after capping]]/$M$3*100)),"")</f>
        <v/>
      </c>
      <c r="D13" s="142" t="e">
        <f>_xlfn.IFNA(INDEX(#REF!,MATCH(Project[[#This Row],[Student No.]:[Student No.]], #REF!,0)),"")</f>
        <v>#REF!</v>
      </c>
      <c r="E13" s="142" t="e">
        <f>_xlfn.IFNA(INDEX(#REF!,MATCH(Project[[#This Row],[Student No.]], #REF!,0)),"")</f>
        <v>#REF!</v>
      </c>
      <c r="F13" s="142" t="e">
        <f>_xlfn.IFNA(INDEX(#REF!,MATCH(Project[[#This Row],[Student No.]], #REF!,0)),"")</f>
        <v>#REF!</v>
      </c>
      <c r="G13" s="142" t="e">
        <f>_xlfn.IFNA(INDEX(#REF!,MATCH(Project[[#This Row],[Student No.]:[Student No.]], #REF!,0)),"")</f>
        <v>#REF!</v>
      </c>
      <c r="H13" s="142" t="e">
        <f>_xlfn.IFNA(INDEX(#REF!,MATCH(Project[[#This Row],[Student No.]:[Student No.]], #REF!,0)),"")</f>
        <v>#REF!</v>
      </c>
      <c r="I13" s="159" t="e">
        <f>_xlfn.IFNA(INDEX(#REF!,MATCH(Project[[#This Row],[Student No.]:[Student No.]], #REF!,0)),"")</f>
        <v>#REF!</v>
      </c>
      <c r="J13" s="159" t="e">
        <f>SUM(Project[[#This Row],[Discretionary Mark]:[Mark from ratings]])</f>
        <v>#REF!</v>
      </c>
      <c r="K13" s="159" t="e">
        <f>_xlfn.IFNA(IF(INDEX(#REF!,MATCH(Project[[#This Row],[Student No.]:[Student No.]], #REF!,0))&gt;0,"Yes",""),"")</f>
        <v>#REF!</v>
      </c>
      <c r="L13" s="142" t="e">
        <f>_xlfn.IFNA(IF(INDEX(#REF!,MATCH(Project[[#This Row],[Student No.]:[Student No.]], #REF!,0))="Code contribution less than 35%","Yes",""),"")</f>
        <v>#REF!</v>
      </c>
      <c r="M13"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3" s="152"/>
      <c r="O13"/>
      <c r="P13"/>
      <c r="Q13"/>
    </row>
    <row r="14" spans="1:17">
      <c r="A14" s="139" t="s">
        <v>280</v>
      </c>
      <c r="B14" s="140" t="s">
        <v>457</v>
      </c>
      <c r="C14" s="141" t="str">
        <f>IF(ISNUMBER(Project[[#This Row],[Mark after capping]]),IF(Project[[#This Row],[Mark after capping]]&lt;0,0,IF(Project[[#This Row],[Mark after capping]]&gt;100,100,Project[[#This Row],[Mark after capping]]/$M$3*100)),"")</f>
        <v/>
      </c>
      <c r="D14" s="142" t="e">
        <f>_xlfn.IFNA(INDEX(#REF!,MATCH(Project[[#This Row],[Student No.]:[Student No.]], #REF!,0)),"")</f>
        <v>#REF!</v>
      </c>
      <c r="E14" s="142" t="e">
        <f>_xlfn.IFNA(INDEX(#REF!,MATCH(Project[[#This Row],[Student No.]], #REF!,0)),"")</f>
        <v>#REF!</v>
      </c>
      <c r="F14" s="142" t="e">
        <f>_xlfn.IFNA(INDEX(#REF!,MATCH(Project[[#This Row],[Student No.]], #REF!,0)),"")</f>
        <v>#REF!</v>
      </c>
      <c r="G14" s="142" t="e">
        <f>_xlfn.IFNA(INDEX(#REF!,MATCH(Project[[#This Row],[Student No.]:[Student No.]], #REF!,0)),"")</f>
        <v>#REF!</v>
      </c>
      <c r="H14" s="142" t="e">
        <f>_xlfn.IFNA(INDEX(#REF!,MATCH(Project[[#This Row],[Student No.]:[Student No.]], #REF!,0)),"")</f>
        <v>#REF!</v>
      </c>
      <c r="I14" s="159" t="e">
        <f>_xlfn.IFNA(INDEX(#REF!,MATCH(Project[[#This Row],[Student No.]:[Student No.]], #REF!,0)),"")</f>
        <v>#REF!</v>
      </c>
      <c r="J14" s="159" t="e">
        <f>SUM(Project[[#This Row],[Discretionary Mark]:[Mark from ratings]])</f>
        <v>#REF!</v>
      </c>
      <c r="K14" s="159" t="e">
        <f>_xlfn.IFNA(IF(INDEX(#REF!,MATCH(Project[[#This Row],[Student No.]:[Student No.]], #REF!,0))&gt;0,"Yes",""),"")</f>
        <v>#REF!</v>
      </c>
      <c r="L14" s="142" t="e">
        <f>_xlfn.IFNA(IF(INDEX(#REF!,MATCH(Project[[#This Row],[Student No.]:[Student No.]], #REF!,0))="Code contribution less than 35%","Yes",""),"")</f>
        <v>#REF!</v>
      </c>
      <c r="M14"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4" s="152"/>
      <c r="O14"/>
      <c r="P14"/>
      <c r="Q14"/>
    </row>
    <row r="15" spans="1:17">
      <c r="A15" s="139" t="s">
        <v>281</v>
      </c>
      <c r="B15" s="140" t="s">
        <v>458</v>
      </c>
      <c r="C15" s="141" t="str">
        <f>IF(ISNUMBER(Project[[#This Row],[Mark after capping]]),IF(Project[[#This Row],[Mark after capping]]&lt;0,0,IF(Project[[#This Row],[Mark after capping]]&gt;100,100,Project[[#This Row],[Mark after capping]]/$M$3*100)),"")</f>
        <v/>
      </c>
      <c r="D15" s="142" t="e">
        <f>_xlfn.IFNA(INDEX(#REF!,MATCH(Project[[#This Row],[Student No.]:[Student No.]], #REF!,0)),"")</f>
        <v>#REF!</v>
      </c>
      <c r="E15" s="142" t="e">
        <f>_xlfn.IFNA(INDEX(#REF!,MATCH(Project[[#This Row],[Student No.]], #REF!,0)),"")</f>
        <v>#REF!</v>
      </c>
      <c r="F15" s="142" t="e">
        <f>_xlfn.IFNA(INDEX(#REF!,MATCH(Project[[#This Row],[Student No.]], #REF!,0)),"")</f>
        <v>#REF!</v>
      </c>
      <c r="G15" s="142" t="e">
        <f>_xlfn.IFNA(INDEX(#REF!,MATCH(Project[[#This Row],[Student No.]:[Student No.]], #REF!,0)),"")</f>
        <v>#REF!</v>
      </c>
      <c r="H15" s="142" t="e">
        <f>_xlfn.IFNA(INDEX(#REF!,MATCH(Project[[#This Row],[Student No.]:[Student No.]], #REF!,0)),"")</f>
        <v>#REF!</v>
      </c>
      <c r="I15" s="142" t="e">
        <f>_xlfn.IFNA(INDEX(#REF!,MATCH(Project[[#This Row],[Student No.]:[Student No.]], #REF!,0)),"")</f>
        <v>#REF!</v>
      </c>
      <c r="J15" s="159" t="e">
        <f>SUM(Project[[#This Row],[Discretionary Mark]:[Mark from ratings]])</f>
        <v>#REF!</v>
      </c>
      <c r="K15" s="159" t="e">
        <f>_xlfn.IFNA(IF(INDEX(#REF!,MATCH(Project[[#This Row],[Student No.]:[Student No.]], #REF!,0))&gt;0,"Yes",""),"")</f>
        <v>#REF!</v>
      </c>
      <c r="L15" s="142" t="e">
        <f>_xlfn.IFNA(IF(INDEX(#REF!,MATCH(Project[[#This Row],[Student No.]:[Student No.]], #REF!,0))="Code contribution less than 35%","Yes",""),"")</f>
        <v>#REF!</v>
      </c>
      <c r="M15"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5" s="152"/>
      <c r="O15"/>
      <c r="P15"/>
      <c r="Q15"/>
    </row>
    <row r="16" spans="1:17">
      <c r="A16" s="139" t="s">
        <v>282</v>
      </c>
      <c r="B16" s="140" t="s">
        <v>459</v>
      </c>
      <c r="C16" s="141" t="str">
        <f>IF(ISNUMBER(Project[[#This Row],[Mark after capping]]),IF(Project[[#This Row],[Mark after capping]]&lt;0,0,IF(Project[[#This Row],[Mark after capping]]&gt;100,100,Project[[#This Row],[Mark after capping]]/$M$3*100)),"")</f>
        <v/>
      </c>
      <c r="D16" s="142" t="e">
        <f>_xlfn.IFNA(INDEX(#REF!,MATCH(Project[[#This Row],[Student No.]:[Student No.]], #REF!,0)),"")</f>
        <v>#REF!</v>
      </c>
      <c r="E16" s="142" t="e">
        <f>_xlfn.IFNA(INDEX(#REF!,MATCH(Project[[#This Row],[Student No.]], #REF!,0)),"")</f>
        <v>#REF!</v>
      </c>
      <c r="F16" s="142" t="e">
        <f>_xlfn.IFNA(INDEX(#REF!,MATCH(Project[[#This Row],[Student No.]], #REF!,0)),"")</f>
        <v>#REF!</v>
      </c>
      <c r="G16" s="142" t="e">
        <f>_xlfn.IFNA(INDEX(#REF!,MATCH(Project[[#This Row],[Student No.]:[Student No.]], #REF!,0)),"")</f>
        <v>#REF!</v>
      </c>
      <c r="H16" s="142" t="e">
        <f>_xlfn.IFNA(INDEX(#REF!,MATCH(Project[[#This Row],[Student No.]:[Student No.]], #REF!,0)),"")</f>
        <v>#REF!</v>
      </c>
      <c r="I16" s="142" t="e">
        <f>_xlfn.IFNA(INDEX(#REF!,MATCH(Project[[#This Row],[Student No.]:[Student No.]], #REF!,0)),"")</f>
        <v>#REF!</v>
      </c>
      <c r="J16" s="159" t="e">
        <f>SUM(Project[[#This Row],[Discretionary Mark]:[Mark from ratings]])</f>
        <v>#REF!</v>
      </c>
      <c r="K16" s="159" t="e">
        <f>_xlfn.IFNA(IF(INDEX(#REF!,MATCH(Project[[#This Row],[Student No.]:[Student No.]], #REF!,0))&gt;0,"Yes",""),"")</f>
        <v>#REF!</v>
      </c>
      <c r="L16" s="142" t="e">
        <f>_xlfn.IFNA(IF(INDEX(#REF!,MATCH(Project[[#This Row],[Student No.]:[Student No.]], #REF!,0))="Code contribution less than 35%","Yes",""),"")</f>
        <v>#REF!</v>
      </c>
      <c r="M16"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6" s="152"/>
      <c r="O16"/>
      <c r="P16"/>
      <c r="Q16"/>
    </row>
    <row r="17" spans="1:17">
      <c r="A17" s="139" t="s">
        <v>283</v>
      </c>
      <c r="B17" s="140" t="s">
        <v>460</v>
      </c>
      <c r="C17" s="141" t="str">
        <f>IF(ISNUMBER(Project[[#This Row],[Mark after capping]]),IF(Project[[#This Row],[Mark after capping]]&lt;0,0,IF(Project[[#This Row],[Mark after capping]]&gt;100,100,Project[[#This Row],[Mark after capping]]/$M$3*100)),"")</f>
        <v/>
      </c>
      <c r="D17" s="142" t="e">
        <f>_xlfn.IFNA(INDEX(#REF!,MATCH(Project[[#This Row],[Student No.]:[Student No.]], #REF!,0)),"")</f>
        <v>#REF!</v>
      </c>
      <c r="E17" s="142" t="e">
        <f>_xlfn.IFNA(INDEX(#REF!,MATCH(Project[[#This Row],[Student No.]], #REF!,0)),"")</f>
        <v>#REF!</v>
      </c>
      <c r="F17" s="142" t="e">
        <f>_xlfn.IFNA(INDEX(#REF!,MATCH(Project[[#This Row],[Student No.]], #REF!,0)),"")</f>
        <v>#REF!</v>
      </c>
      <c r="G17" s="142" t="e">
        <f>_xlfn.IFNA(INDEX(#REF!,MATCH(Project[[#This Row],[Student No.]:[Student No.]], #REF!,0)),"")</f>
        <v>#REF!</v>
      </c>
      <c r="H17" s="142" t="e">
        <f>_xlfn.IFNA(INDEX(#REF!,MATCH(Project[[#This Row],[Student No.]:[Student No.]], #REF!,0)),"")</f>
        <v>#REF!</v>
      </c>
      <c r="I17" s="142" t="e">
        <f>_xlfn.IFNA(INDEX(#REF!,MATCH(Project[[#This Row],[Student No.]:[Student No.]], #REF!,0)),"")</f>
        <v>#REF!</v>
      </c>
      <c r="J17" s="159" t="e">
        <f>SUM(Project[[#This Row],[Discretionary Mark]:[Mark from ratings]])</f>
        <v>#REF!</v>
      </c>
      <c r="K17" s="159" t="e">
        <f>_xlfn.IFNA(IF(INDEX(#REF!,MATCH(Project[[#This Row],[Student No.]:[Student No.]], #REF!,0))&gt;0,"Yes",""),"")</f>
        <v>#REF!</v>
      </c>
      <c r="L17" s="142" t="e">
        <f>_xlfn.IFNA(IF(INDEX(#REF!,MATCH(Project[[#This Row],[Student No.]:[Student No.]], #REF!,0))="Code contribution less than 35%","Yes",""),"")</f>
        <v>#REF!</v>
      </c>
      <c r="M17"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7" s="152"/>
      <c r="O17"/>
      <c r="P17"/>
      <c r="Q17"/>
    </row>
    <row r="18" spans="1:17">
      <c r="A18" s="139" t="s">
        <v>284</v>
      </c>
      <c r="B18" s="140" t="s">
        <v>461</v>
      </c>
      <c r="C18" s="141" t="str">
        <f>IF(ISNUMBER(Project[[#This Row],[Mark after capping]]),IF(Project[[#This Row],[Mark after capping]]&lt;0,0,IF(Project[[#This Row],[Mark after capping]]&gt;100,100,Project[[#This Row],[Mark after capping]]/$M$3*100)),"")</f>
        <v/>
      </c>
      <c r="D18" s="142" t="e">
        <f>_xlfn.IFNA(INDEX(#REF!,MATCH(Project[[#This Row],[Student No.]:[Student No.]], #REF!,0)),"")</f>
        <v>#REF!</v>
      </c>
      <c r="E18" s="142" t="e">
        <f>_xlfn.IFNA(INDEX(#REF!,MATCH(Project[[#This Row],[Student No.]], #REF!,0)),"")</f>
        <v>#REF!</v>
      </c>
      <c r="F18" s="142" t="e">
        <f>_xlfn.IFNA(INDEX(#REF!,MATCH(Project[[#This Row],[Student No.]], #REF!,0)),"")</f>
        <v>#REF!</v>
      </c>
      <c r="G18" s="142" t="e">
        <f>_xlfn.IFNA(INDEX(#REF!,MATCH(Project[[#This Row],[Student No.]:[Student No.]], #REF!,0)),"")</f>
        <v>#REF!</v>
      </c>
      <c r="H18" s="142" t="e">
        <f>_xlfn.IFNA(INDEX(#REF!,MATCH(Project[[#This Row],[Student No.]:[Student No.]], #REF!,0)),"")</f>
        <v>#REF!</v>
      </c>
      <c r="I18" s="142" t="e">
        <f>_xlfn.IFNA(INDEX(#REF!,MATCH(Project[[#This Row],[Student No.]:[Student No.]], #REF!,0)),"")</f>
        <v>#REF!</v>
      </c>
      <c r="J18" s="159" t="e">
        <f>SUM(Project[[#This Row],[Discretionary Mark]:[Mark from ratings]])</f>
        <v>#REF!</v>
      </c>
      <c r="K18" s="159" t="e">
        <f>_xlfn.IFNA(IF(INDEX(#REF!,MATCH(Project[[#This Row],[Student No.]:[Student No.]], #REF!,0))&gt;0,"Yes",""),"")</f>
        <v>#REF!</v>
      </c>
      <c r="L18" s="142" t="e">
        <f>_xlfn.IFNA(IF(INDEX(#REF!,MATCH(Project[[#This Row],[Student No.]:[Student No.]], #REF!,0))="Code contribution less than 35%","Yes",""),"")</f>
        <v>#REF!</v>
      </c>
      <c r="M18"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8" s="152"/>
      <c r="O18"/>
      <c r="P18"/>
      <c r="Q18"/>
    </row>
    <row r="19" spans="1:17">
      <c r="A19" s="139" t="s">
        <v>285</v>
      </c>
      <c r="B19" s="140" t="s">
        <v>462</v>
      </c>
      <c r="C19" s="141" t="str">
        <f>IF(ISNUMBER(Project[[#This Row],[Mark after capping]]),IF(Project[[#This Row],[Mark after capping]]&lt;0,0,IF(Project[[#This Row],[Mark after capping]]&gt;100,100,Project[[#This Row],[Mark after capping]]/$M$3*100)),"")</f>
        <v/>
      </c>
      <c r="D19" s="142" t="e">
        <f>_xlfn.IFNA(INDEX(#REF!,MATCH(Project[[#This Row],[Student No.]:[Student No.]], #REF!,0)),"")</f>
        <v>#REF!</v>
      </c>
      <c r="E19" s="142" t="e">
        <f>_xlfn.IFNA(INDEX(#REF!,MATCH(Project[[#This Row],[Student No.]], #REF!,0)),"")</f>
        <v>#REF!</v>
      </c>
      <c r="F19" s="142" t="e">
        <f>_xlfn.IFNA(INDEX(#REF!,MATCH(Project[[#This Row],[Student No.]], #REF!,0)),"")</f>
        <v>#REF!</v>
      </c>
      <c r="G19" s="142" t="e">
        <f>_xlfn.IFNA(INDEX(#REF!,MATCH(Project[[#This Row],[Student No.]:[Student No.]], #REF!,0)),"")</f>
        <v>#REF!</v>
      </c>
      <c r="H19" s="142" t="e">
        <f>_xlfn.IFNA(INDEX(#REF!,MATCH(Project[[#This Row],[Student No.]:[Student No.]], #REF!,0)),"")</f>
        <v>#REF!</v>
      </c>
      <c r="I19" s="142" t="e">
        <f>_xlfn.IFNA(INDEX(#REF!,MATCH(Project[[#This Row],[Student No.]:[Student No.]], #REF!,0)),"")</f>
        <v>#REF!</v>
      </c>
      <c r="J19" s="159" t="e">
        <f>SUM(Project[[#This Row],[Discretionary Mark]:[Mark from ratings]])</f>
        <v>#REF!</v>
      </c>
      <c r="K19" s="159" t="e">
        <f>_xlfn.IFNA(IF(INDEX(#REF!,MATCH(Project[[#This Row],[Student No.]:[Student No.]], #REF!,0))&gt;0,"Yes",""),"")</f>
        <v>#REF!</v>
      </c>
      <c r="L19" s="142" t="e">
        <f>_xlfn.IFNA(IF(INDEX(#REF!,MATCH(Project[[#This Row],[Student No.]:[Student No.]], #REF!,0))="Code contribution less than 35%","Yes",""),"")</f>
        <v>#REF!</v>
      </c>
      <c r="M19"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9" s="152"/>
      <c r="O19"/>
      <c r="P19"/>
      <c r="Q19"/>
    </row>
    <row r="20" spans="1:17">
      <c r="A20" s="139" t="s">
        <v>286</v>
      </c>
      <c r="B20" s="140" t="s">
        <v>463</v>
      </c>
      <c r="C20" s="141" t="str">
        <f>IF(ISNUMBER(Project[[#This Row],[Mark after capping]]),IF(Project[[#This Row],[Mark after capping]]&lt;0,0,IF(Project[[#This Row],[Mark after capping]]&gt;100,100,Project[[#This Row],[Mark after capping]]/$M$3*100)),"")</f>
        <v/>
      </c>
      <c r="D20" s="142" t="e">
        <f>_xlfn.IFNA(INDEX(#REF!,MATCH(Project[[#This Row],[Student No.]:[Student No.]], #REF!,0)),"")</f>
        <v>#REF!</v>
      </c>
      <c r="E20" s="142" t="e">
        <f>_xlfn.IFNA(INDEX(#REF!,MATCH(Project[[#This Row],[Student No.]], #REF!,0)),"")</f>
        <v>#REF!</v>
      </c>
      <c r="F20" s="142" t="e">
        <f>_xlfn.IFNA(INDEX(#REF!,MATCH(Project[[#This Row],[Student No.]], #REF!,0)),"")</f>
        <v>#REF!</v>
      </c>
      <c r="G20" s="142" t="e">
        <f>_xlfn.IFNA(INDEX(#REF!,MATCH(Project[[#This Row],[Student No.]:[Student No.]], #REF!,0)),"")</f>
        <v>#REF!</v>
      </c>
      <c r="H20" s="142" t="e">
        <f>_xlfn.IFNA(INDEX(#REF!,MATCH(Project[[#This Row],[Student No.]:[Student No.]], #REF!,0)),"")</f>
        <v>#REF!</v>
      </c>
      <c r="I20" s="142" t="e">
        <f>_xlfn.IFNA(INDEX(#REF!,MATCH(Project[[#This Row],[Student No.]:[Student No.]], #REF!,0)),"")</f>
        <v>#REF!</v>
      </c>
      <c r="J20" s="159" t="e">
        <f>SUM(Project[[#This Row],[Discretionary Mark]:[Mark from ratings]])</f>
        <v>#REF!</v>
      </c>
      <c r="K20" s="159" t="e">
        <f>_xlfn.IFNA(IF(INDEX(#REF!,MATCH(Project[[#This Row],[Student No.]:[Student No.]], #REF!,0))&gt;0,"Yes",""),"")</f>
        <v>#REF!</v>
      </c>
      <c r="L20" s="142" t="e">
        <f>_xlfn.IFNA(IF(INDEX(#REF!,MATCH(Project[[#This Row],[Student No.]:[Student No.]], #REF!,0))="Code contribution less than 35%","Yes",""),"")</f>
        <v>#REF!</v>
      </c>
      <c r="M20"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20" s="152"/>
      <c r="O20"/>
      <c r="P20"/>
      <c r="Q20"/>
    </row>
    <row r="21" spans="1:17">
      <c r="A21" s="139" t="s">
        <v>287</v>
      </c>
      <c r="B21" s="140" t="s">
        <v>464</v>
      </c>
      <c r="C21" s="141" t="str">
        <f>IF(ISNUMBER(Project[[#This Row],[Mark after capping]]),IF(Project[[#This Row],[Mark after capping]]&lt;0,0,IF(Project[[#This Row],[Mark after capping]]&gt;100,100,Project[[#This Row],[Mark after capping]]/$M$3*100)),"")</f>
        <v/>
      </c>
      <c r="D21" s="142" t="e">
        <f>_xlfn.IFNA(INDEX(#REF!,MATCH(Project[[#This Row],[Student No.]:[Student No.]], #REF!,0)),"")</f>
        <v>#REF!</v>
      </c>
      <c r="E21" s="142" t="e">
        <f>_xlfn.IFNA(INDEX(#REF!,MATCH(Project[[#This Row],[Student No.]], #REF!,0)),"")</f>
        <v>#REF!</v>
      </c>
      <c r="F21" s="142" t="e">
        <f>_xlfn.IFNA(INDEX(#REF!,MATCH(Project[[#This Row],[Student No.]], #REF!,0)),"")</f>
        <v>#REF!</v>
      </c>
      <c r="G21" s="142" t="e">
        <f>_xlfn.IFNA(INDEX(#REF!,MATCH(Project[[#This Row],[Student No.]:[Student No.]], #REF!,0)),"")</f>
        <v>#REF!</v>
      </c>
      <c r="H21" s="142" t="e">
        <f>_xlfn.IFNA(INDEX(#REF!,MATCH(Project[[#This Row],[Student No.]:[Student No.]], #REF!,0)),"")</f>
        <v>#REF!</v>
      </c>
      <c r="I21" s="142" t="e">
        <f>_xlfn.IFNA(INDEX(#REF!,MATCH(Project[[#This Row],[Student No.]:[Student No.]], #REF!,0)),"")</f>
        <v>#REF!</v>
      </c>
      <c r="J21" s="159" t="e">
        <f>SUM(Project[[#This Row],[Discretionary Mark]:[Mark from ratings]])</f>
        <v>#REF!</v>
      </c>
      <c r="K21" s="159" t="e">
        <f>_xlfn.IFNA(IF(INDEX(#REF!,MATCH(Project[[#This Row],[Student No.]:[Student No.]], #REF!,0))&gt;0,"Yes",""),"")</f>
        <v>#REF!</v>
      </c>
      <c r="L21" s="142" t="e">
        <f>_xlfn.IFNA(IF(INDEX(#REF!,MATCH(Project[[#This Row],[Student No.]:[Student No.]], #REF!,0))="Code contribution less than 35%","Yes",""),"")</f>
        <v>#REF!</v>
      </c>
      <c r="M21"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21" s="152" t="s">
        <v>1230</v>
      </c>
      <c r="O21"/>
      <c r="P21"/>
      <c r="Q21"/>
    </row>
    <row r="22" spans="1:17">
      <c r="A22" s="139" t="s">
        <v>288</v>
      </c>
      <c r="B22" s="140" t="s">
        <v>465</v>
      </c>
      <c r="C22" s="141" t="str">
        <f>IF(ISNUMBER(Project[[#This Row],[Mark after capping]]),IF(Project[[#This Row],[Mark after capping]]&lt;0,0,IF(Project[[#This Row],[Mark after capping]]&gt;100,100,Project[[#This Row],[Mark after capping]]/$M$3*100)),"")</f>
        <v/>
      </c>
      <c r="D22" s="142" t="e">
        <f>_xlfn.IFNA(INDEX(#REF!,MATCH(Project[[#This Row],[Student No.]:[Student No.]], #REF!,0)),"")</f>
        <v>#REF!</v>
      </c>
      <c r="E22" s="142" t="e">
        <f>_xlfn.IFNA(INDEX(#REF!,MATCH(Project[[#This Row],[Student No.]], #REF!,0)),"")</f>
        <v>#REF!</v>
      </c>
      <c r="F22" s="142" t="e">
        <f>_xlfn.IFNA(INDEX(#REF!,MATCH(Project[[#This Row],[Student No.]], #REF!,0)),"")</f>
        <v>#REF!</v>
      </c>
      <c r="G22" s="142" t="e">
        <f>_xlfn.IFNA(INDEX(#REF!,MATCH(Project[[#This Row],[Student No.]:[Student No.]], #REF!,0)),"")</f>
        <v>#REF!</v>
      </c>
      <c r="H22" s="142" t="e">
        <f>_xlfn.IFNA(INDEX(#REF!,MATCH(Project[[#This Row],[Student No.]:[Student No.]], #REF!,0)),"")</f>
        <v>#REF!</v>
      </c>
      <c r="I22" s="142" t="e">
        <f>_xlfn.IFNA(INDEX(#REF!,MATCH(Project[[#This Row],[Student No.]:[Student No.]], #REF!,0)),"")</f>
        <v>#REF!</v>
      </c>
      <c r="J22" s="159" t="e">
        <f>SUM(Project[[#This Row],[Discretionary Mark]:[Mark from ratings]])</f>
        <v>#REF!</v>
      </c>
      <c r="K22" s="159" t="e">
        <f>_xlfn.IFNA(IF(INDEX(#REF!,MATCH(Project[[#This Row],[Student No.]:[Student No.]], #REF!,0))&gt;0,"Yes",""),"")</f>
        <v>#REF!</v>
      </c>
      <c r="L22" s="142" t="e">
        <f>_xlfn.IFNA(IF(INDEX(#REF!,MATCH(Project[[#This Row],[Student No.]:[Student No.]], #REF!,0))="Code contribution less than 35%","Yes",""),"")</f>
        <v>#REF!</v>
      </c>
      <c r="M22"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22" s="152"/>
      <c r="O22"/>
      <c r="P22"/>
      <c r="Q22"/>
    </row>
    <row r="23" spans="1:17">
      <c r="A23" s="139" t="s">
        <v>289</v>
      </c>
      <c r="B23" s="140" t="s">
        <v>466</v>
      </c>
      <c r="C23" s="141" t="str">
        <f>IF(ISNUMBER(Project[[#This Row],[Mark after capping]]),IF(Project[[#This Row],[Mark after capping]]&lt;0,0,IF(Project[[#This Row],[Mark after capping]]&gt;100,100,Project[[#This Row],[Mark after capping]]/$M$3*100)),"")</f>
        <v/>
      </c>
      <c r="D23" s="142" t="e">
        <f>_xlfn.IFNA(INDEX(#REF!,MATCH(Project[[#This Row],[Student No.]:[Student No.]], #REF!,0)),"")</f>
        <v>#REF!</v>
      </c>
      <c r="E23" s="142" t="e">
        <f>_xlfn.IFNA(INDEX(#REF!,MATCH(Project[[#This Row],[Student No.]], #REF!,0)),"")</f>
        <v>#REF!</v>
      </c>
      <c r="F23" s="142" t="e">
        <f>_xlfn.IFNA(INDEX(#REF!,MATCH(Project[[#This Row],[Student No.]], #REF!,0)),"")</f>
        <v>#REF!</v>
      </c>
      <c r="G23" s="142" t="e">
        <f>_xlfn.IFNA(INDEX(#REF!,MATCH(Project[[#This Row],[Student No.]:[Student No.]], #REF!,0)),"")</f>
        <v>#REF!</v>
      </c>
      <c r="H23" s="142" t="e">
        <f>_xlfn.IFNA(INDEX(#REF!,MATCH(Project[[#This Row],[Student No.]:[Student No.]], #REF!,0)),"")</f>
        <v>#REF!</v>
      </c>
      <c r="I23" s="142" t="e">
        <f>_xlfn.IFNA(INDEX(#REF!,MATCH(Project[[#This Row],[Student No.]:[Student No.]], #REF!,0)),"")</f>
        <v>#REF!</v>
      </c>
      <c r="J23" s="159" t="e">
        <f>SUM(Project[[#This Row],[Discretionary Mark]:[Mark from ratings]])</f>
        <v>#REF!</v>
      </c>
      <c r="K23" s="159" t="e">
        <f>_xlfn.IFNA(IF(INDEX(#REF!,MATCH(Project[[#This Row],[Student No.]:[Student No.]], #REF!,0))&gt;0,"Yes",""),"")</f>
        <v>#REF!</v>
      </c>
      <c r="L23" s="142" t="e">
        <f>_xlfn.IFNA(IF(INDEX(#REF!,MATCH(Project[[#This Row],[Student No.]:[Student No.]], #REF!,0))="Code contribution less than 35%","Yes",""),"")</f>
        <v>#REF!</v>
      </c>
      <c r="M23"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23" s="152"/>
      <c r="O23"/>
      <c r="P23"/>
      <c r="Q23"/>
    </row>
    <row r="24" spans="1:17">
      <c r="A24" s="139" t="s">
        <v>290</v>
      </c>
      <c r="B24" s="140" t="s">
        <v>467</v>
      </c>
      <c r="C24" s="141" t="str">
        <f>IF(ISNUMBER(Project[[#This Row],[Mark after capping]]),IF(Project[[#This Row],[Mark after capping]]&lt;0,0,IF(Project[[#This Row],[Mark after capping]]&gt;100,100,Project[[#This Row],[Mark after capping]]/$M$3*100)),"")</f>
        <v/>
      </c>
      <c r="D24" s="142" t="e">
        <f>_xlfn.IFNA(INDEX(#REF!,MATCH(Project[[#This Row],[Student No.]:[Student No.]], #REF!,0)),"")</f>
        <v>#REF!</v>
      </c>
      <c r="E24" s="142" t="e">
        <f>_xlfn.IFNA(INDEX(#REF!,MATCH(Project[[#This Row],[Student No.]], #REF!,0)),"")</f>
        <v>#REF!</v>
      </c>
      <c r="F24" s="142" t="e">
        <f>_xlfn.IFNA(INDEX(#REF!,MATCH(Project[[#This Row],[Student No.]], #REF!,0)),"")</f>
        <v>#REF!</v>
      </c>
      <c r="G24" s="142" t="e">
        <f>_xlfn.IFNA(INDEX(#REF!,MATCH(Project[[#This Row],[Student No.]:[Student No.]], #REF!,0)),"")</f>
        <v>#REF!</v>
      </c>
      <c r="H24" s="142" t="e">
        <f>_xlfn.IFNA(INDEX(#REF!,MATCH(Project[[#This Row],[Student No.]:[Student No.]], #REF!,0)),"")</f>
        <v>#REF!</v>
      </c>
      <c r="I24" s="142" t="e">
        <f>_xlfn.IFNA(INDEX(#REF!,MATCH(Project[[#This Row],[Student No.]:[Student No.]], #REF!,0)),"")</f>
        <v>#REF!</v>
      </c>
      <c r="J24" s="159" t="e">
        <f>SUM(Project[[#This Row],[Discretionary Mark]:[Mark from ratings]])</f>
        <v>#REF!</v>
      </c>
      <c r="K24" s="159" t="e">
        <f>_xlfn.IFNA(IF(INDEX(#REF!,MATCH(Project[[#This Row],[Student No.]:[Student No.]], #REF!,0))&gt;0,"Yes",""),"")</f>
        <v>#REF!</v>
      </c>
      <c r="L24" s="142" t="e">
        <f>_xlfn.IFNA(IF(INDEX(#REF!,MATCH(Project[[#This Row],[Student No.]:[Student No.]], #REF!,0))="Code contribution less than 35%","Yes",""),"")</f>
        <v>#REF!</v>
      </c>
      <c r="M24"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24" s="152"/>
      <c r="O24"/>
      <c r="P24"/>
      <c r="Q24"/>
    </row>
    <row r="25" spans="1:17">
      <c r="A25" s="139" t="s">
        <v>291</v>
      </c>
      <c r="B25" s="140" t="s">
        <v>468</v>
      </c>
      <c r="C25" s="141" t="str">
        <f>IF(ISNUMBER(Project[[#This Row],[Mark after capping]]),IF(Project[[#This Row],[Mark after capping]]&lt;0,0,IF(Project[[#This Row],[Mark after capping]]&gt;100,100,Project[[#This Row],[Mark after capping]]/$M$3*100)),"")</f>
        <v/>
      </c>
      <c r="D25" s="142" t="e">
        <f>_xlfn.IFNA(INDEX(#REF!,MATCH(Project[[#This Row],[Student No.]:[Student No.]], #REF!,0)),"")</f>
        <v>#REF!</v>
      </c>
      <c r="E25" s="142" t="e">
        <f>_xlfn.IFNA(INDEX(#REF!,MATCH(Project[[#This Row],[Student No.]], #REF!,0)),"")</f>
        <v>#REF!</v>
      </c>
      <c r="F25" s="142" t="e">
        <f>_xlfn.IFNA(INDEX(#REF!,MATCH(Project[[#This Row],[Student No.]], #REF!,0)),"")</f>
        <v>#REF!</v>
      </c>
      <c r="G25" s="142" t="e">
        <f>_xlfn.IFNA(INDEX(#REF!,MATCH(Project[[#This Row],[Student No.]:[Student No.]], #REF!,0)),"")</f>
        <v>#REF!</v>
      </c>
      <c r="H25" s="142" t="e">
        <f>_xlfn.IFNA(INDEX(#REF!,MATCH(Project[[#This Row],[Student No.]:[Student No.]], #REF!,0)),"")</f>
        <v>#REF!</v>
      </c>
      <c r="I25" s="142" t="e">
        <f>_xlfn.IFNA(INDEX(#REF!,MATCH(Project[[#This Row],[Student No.]:[Student No.]], #REF!,0)),"")</f>
        <v>#REF!</v>
      </c>
      <c r="J25" s="159" t="e">
        <f>SUM(Project[[#This Row],[Discretionary Mark]:[Mark from ratings]])</f>
        <v>#REF!</v>
      </c>
      <c r="K25" s="159" t="e">
        <f>_xlfn.IFNA(IF(INDEX(#REF!,MATCH(Project[[#This Row],[Student No.]:[Student No.]], #REF!,0))&gt;0,"Yes",""),"")</f>
        <v>#REF!</v>
      </c>
      <c r="L25" s="142" t="e">
        <f>_xlfn.IFNA(IF(INDEX(#REF!,MATCH(Project[[#This Row],[Student No.]:[Student No.]], #REF!,0))="Code contribution less than 35%","Yes",""),"")</f>
        <v>#REF!</v>
      </c>
      <c r="M25"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25" s="152"/>
      <c r="O25"/>
      <c r="P25"/>
      <c r="Q25"/>
    </row>
    <row r="26" spans="1:17">
      <c r="A26" s="139" t="s">
        <v>292</v>
      </c>
      <c r="B26" s="140" t="s">
        <v>469</v>
      </c>
      <c r="C26" s="141" t="str">
        <f>IF(ISNUMBER(Project[[#This Row],[Mark after capping]]),IF(Project[[#This Row],[Mark after capping]]&lt;0,0,IF(Project[[#This Row],[Mark after capping]]&gt;100,100,Project[[#This Row],[Mark after capping]]/$M$3*100)),"")</f>
        <v/>
      </c>
      <c r="D26" s="142" t="e">
        <f>_xlfn.IFNA(INDEX(#REF!,MATCH(Project[[#This Row],[Student No.]:[Student No.]], #REF!,0)),"")</f>
        <v>#REF!</v>
      </c>
      <c r="E26" s="142" t="e">
        <f>_xlfn.IFNA(INDEX(#REF!,MATCH(Project[[#This Row],[Student No.]], #REF!,0)),"")</f>
        <v>#REF!</v>
      </c>
      <c r="F26" s="142" t="e">
        <f>_xlfn.IFNA(INDEX(#REF!,MATCH(Project[[#This Row],[Student No.]], #REF!,0)),"")</f>
        <v>#REF!</v>
      </c>
      <c r="G26" s="142" t="e">
        <f>_xlfn.IFNA(INDEX(#REF!,MATCH(Project[[#This Row],[Student No.]:[Student No.]], #REF!,0)),"")</f>
        <v>#REF!</v>
      </c>
      <c r="H26" s="142" t="e">
        <f>_xlfn.IFNA(INDEX(#REF!,MATCH(Project[[#This Row],[Student No.]:[Student No.]], #REF!,0)),"")</f>
        <v>#REF!</v>
      </c>
      <c r="I26" s="142" t="e">
        <f>_xlfn.IFNA(INDEX(#REF!,MATCH(Project[[#This Row],[Student No.]:[Student No.]], #REF!,0)),"")</f>
        <v>#REF!</v>
      </c>
      <c r="J26" s="159" t="e">
        <f>SUM(Project[[#This Row],[Discretionary Mark]:[Mark from ratings]])</f>
        <v>#REF!</v>
      </c>
      <c r="K26" s="159" t="e">
        <f>_xlfn.IFNA(IF(INDEX(#REF!,MATCH(Project[[#This Row],[Student No.]:[Student No.]], #REF!,0))&gt;0,"Yes",""),"")</f>
        <v>#REF!</v>
      </c>
      <c r="L26" s="142" t="e">
        <f>_xlfn.IFNA(IF(INDEX(#REF!,MATCH(Project[[#This Row],[Student No.]:[Student No.]], #REF!,0))="Code contribution less than 35%","Yes",""),"")</f>
        <v>#REF!</v>
      </c>
      <c r="M26"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26" s="152"/>
      <c r="O26"/>
      <c r="P26"/>
      <c r="Q26"/>
    </row>
    <row r="27" spans="1:17">
      <c r="A27" s="139" t="s">
        <v>293</v>
      </c>
      <c r="B27" s="140" t="s">
        <v>470</v>
      </c>
      <c r="C27" s="141" t="str">
        <f>IF(ISNUMBER(Project[[#This Row],[Mark after capping]]),IF(Project[[#This Row],[Mark after capping]]&lt;0,0,IF(Project[[#This Row],[Mark after capping]]&gt;100,100,Project[[#This Row],[Mark after capping]]/$M$3*100)),"")</f>
        <v/>
      </c>
      <c r="D27" s="142" t="e">
        <f>_xlfn.IFNA(INDEX(#REF!,MATCH(Project[[#This Row],[Student No.]:[Student No.]], #REF!,0)),"")</f>
        <v>#REF!</v>
      </c>
      <c r="E27" s="142" t="e">
        <f>_xlfn.IFNA(INDEX(#REF!,MATCH(Project[[#This Row],[Student No.]], #REF!,0)),"")</f>
        <v>#REF!</v>
      </c>
      <c r="F27" s="142" t="e">
        <f>_xlfn.IFNA(INDEX(#REF!,MATCH(Project[[#This Row],[Student No.]], #REF!,0)),"")</f>
        <v>#REF!</v>
      </c>
      <c r="G27" s="142" t="e">
        <f>_xlfn.IFNA(INDEX(#REF!,MATCH(Project[[#This Row],[Student No.]:[Student No.]], #REF!,0)),"")</f>
        <v>#REF!</v>
      </c>
      <c r="H27" s="142" t="e">
        <f>_xlfn.IFNA(INDEX(#REF!,MATCH(Project[[#This Row],[Student No.]:[Student No.]], #REF!,0)),"")</f>
        <v>#REF!</v>
      </c>
      <c r="I27" s="142" t="e">
        <f>_xlfn.IFNA(INDEX(#REF!,MATCH(Project[[#This Row],[Student No.]:[Student No.]], #REF!,0)),"")</f>
        <v>#REF!</v>
      </c>
      <c r="J27" s="159" t="e">
        <f>SUM(Project[[#This Row],[Discretionary Mark]:[Mark from ratings]])</f>
        <v>#REF!</v>
      </c>
      <c r="K27" s="159" t="e">
        <f>_xlfn.IFNA(IF(INDEX(#REF!,MATCH(Project[[#This Row],[Student No.]:[Student No.]], #REF!,0))&gt;0,"Yes",""),"")</f>
        <v>#REF!</v>
      </c>
      <c r="L27" s="142" t="e">
        <f>_xlfn.IFNA(IF(INDEX(#REF!,MATCH(Project[[#This Row],[Student No.]:[Student No.]], #REF!,0))="Code contribution less than 35%","Yes",""),"")</f>
        <v>#REF!</v>
      </c>
      <c r="M27"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27" s="152"/>
      <c r="O27"/>
      <c r="P27"/>
      <c r="Q27"/>
    </row>
    <row r="28" spans="1:17">
      <c r="A28" s="139" t="s">
        <v>294</v>
      </c>
      <c r="B28" s="140" t="s">
        <v>471</v>
      </c>
      <c r="C28" s="141" t="str">
        <f>IF(ISNUMBER(Project[[#This Row],[Mark after capping]]),IF(Project[[#This Row],[Mark after capping]]&lt;0,0,IF(Project[[#This Row],[Mark after capping]]&gt;100,100,Project[[#This Row],[Mark after capping]]/$M$3*100)),"")</f>
        <v/>
      </c>
      <c r="D28" s="142" t="e">
        <f>_xlfn.IFNA(INDEX(#REF!,MATCH(Project[[#This Row],[Student No.]:[Student No.]], #REF!,0)),"")</f>
        <v>#REF!</v>
      </c>
      <c r="E28" s="142" t="e">
        <f>_xlfn.IFNA(INDEX(#REF!,MATCH(Project[[#This Row],[Student No.]], #REF!,0)),"")</f>
        <v>#REF!</v>
      </c>
      <c r="F28" s="142" t="e">
        <f>_xlfn.IFNA(INDEX(#REF!,MATCH(Project[[#This Row],[Student No.]], #REF!,0)),"")</f>
        <v>#REF!</v>
      </c>
      <c r="G28" s="142" t="e">
        <f>_xlfn.IFNA(INDEX(#REF!,MATCH(Project[[#This Row],[Student No.]:[Student No.]], #REF!,0)),"")</f>
        <v>#REF!</v>
      </c>
      <c r="H28" s="142" t="e">
        <f>_xlfn.IFNA(INDEX(#REF!,MATCH(Project[[#This Row],[Student No.]:[Student No.]], #REF!,0)),"")</f>
        <v>#REF!</v>
      </c>
      <c r="I28" s="142" t="e">
        <f>_xlfn.IFNA(INDEX(#REF!,MATCH(Project[[#This Row],[Student No.]:[Student No.]], #REF!,0)),"")</f>
        <v>#REF!</v>
      </c>
      <c r="J28" s="159" t="e">
        <f>SUM(Project[[#This Row],[Discretionary Mark]:[Mark from ratings]])</f>
        <v>#REF!</v>
      </c>
      <c r="K28" s="159" t="e">
        <f>_xlfn.IFNA(IF(INDEX(#REF!,MATCH(Project[[#This Row],[Student No.]:[Student No.]], #REF!,0))&gt;0,"Yes",""),"")</f>
        <v>#REF!</v>
      </c>
      <c r="L28" s="142" t="e">
        <f>_xlfn.IFNA(IF(INDEX(#REF!,MATCH(Project[[#This Row],[Student No.]:[Student No.]], #REF!,0))="Code contribution less than 35%","Yes",""),"")</f>
        <v>#REF!</v>
      </c>
      <c r="M28"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28" s="152"/>
      <c r="O28"/>
      <c r="P28"/>
      <c r="Q28"/>
    </row>
    <row r="29" spans="1:17">
      <c r="A29" s="139" t="s">
        <v>296</v>
      </c>
      <c r="B29" s="140" t="s">
        <v>472</v>
      </c>
      <c r="C29" s="141" t="str">
        <f>IF(ISNUMBER(Project[[#This Row],[Mark after capping]]),IF(Project[[#This Row],[Mark after capping]]&lt;0,0,IF(Project[[#This Row],[Mark after capping]]&gt;100,100,Project[[#This Row],[Mark after capping]]/$M$3*100)),"")</f>
        <v/>
      </c>
      <c r="D29" s="142" t="e">
        <f>_xlfn.IFNA(INDEX(#REF!,MATCH(Project[[#This Row],[Student No.]:[Student No.]], #REF!,0)),"")</f>
        <v>#REF!</v>
      </c>
      <c r="E29" s="142" t="e">
        <f>_xlfn.IFNA(INDEX(#REF!,MATCH(Project[[#This Row],[Student No.]], #REF!,0)),"")</f>
        <v>#REF!</v>
      </c>
      <c r="F29" s="142" t="e">
        <f>_xlfn.IFNA(INDEX(#REF!,MATCH(Project[[#This Row],[Student No.]], #REF!,0)),"")</f>
        <v>#REF!</v>
      </c>
      <c r="G29" s="142" t="e">
        <f>_xlfn.IFNA(INDEX(#REF!,MATCH(Project[[#This Row],[Student No.]:[Student No.]], #REF!,0)),"")</f>
        <v>#REF!</v>
      </c>
      <c r="H29" s="142" t="e">
        <f>_xlfn.IFNA(INDEX(#REF!,MATCH(Project[[#This Row],[Student No.]:[Student No.]], #REF!,0)),"")</f>
        <v>#REF!</v>
      </c>
      <c r="I29" s="142" t="e">
        <f>_xlfn.IFNA(INDEX(#REF!,MATCH(Project[[#This Row],[Student No.]:[Student No.]], #REF!,0)),"")</f>
        <v>#REF!</v>
      </c>
      <c r="J29" s="159" t="e">
        <f>SUM(Project[[#This Row],[Discretionary Mark]:[Mark from ratings]])</f>
        <v>#REF!</v>
      </c>
      <c r="K29" s="159" t="e">
        <f>_xlfn.IFNA(IF(INDEX(#REF!,MATCH(Project[[#This Row],[Student No.]:[Student No.]], #REF!,0))&gt;0,"Yes",""),"")</f>
        <v>#REF!</v>
      </c>
      <c r="L29" s="142" t="e">
        <f>_xlfn.IFNA(IF(INDEX(#REF!,MATCH(Project[[#This Row],[Student No.]:[Student No.]], #REF!,0))="Code contribution less than 35%","Yes",""),"")</f>
        <v>#REF!</v>
      </c>
      <c r="M29"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29" s="152"/>
      <c r="O29"/>
      <c r="P29"/>
      <c r="Q29"/>
    </row>
    <row r="30" spans="1:17">
      <c r="A30" s="139" t="s">
        <v>297</v>
      </c>
      <c r="B30" s="140" t="s">
        <v>473</v>
      </c>
      <c r="C30" s="141" t="str">
        <f>IF(ISNUMBER(Project[[#This Row],[Mark after capping]]),IF(Project[[#This Row],[Mark after capping]]&lt;0,0,IF(Project[[#This Row],[Mark after capping]]&gt;100,100,Project[[#This Row],[Mark after capping]]/$M$3*100)),"")</f>
        <v/>
      </c>
      <c r="D30" s="142" t="e">
        <f>_xlfn.IFNA(INDEX(#REF!,MATCH(Project[[#This Row],[Student No.]:[Student No.]], #REF!,0)),"")</f>
        <v>#REF!</v>
      </c>
      <c r="E30" s="142" t="e">
        <f>_xlfn.IFNA(INDEX(#REF!,MATCH(Project[[#This Row],[Student No.]], #REF!,0)),"")</f>
        <v>#REF!</v>
      </c>
      <c r="F30" s="142" t="e">
        <f>_xlfn.IFNA(INDEX(#REF!,MATCH(Project[[#This Row],[Student No.]], #REF!,0)),"")</f>
        <v>#REF!</v>
      </c>
      <c r="G30" s="142" t="e">
        <f>_xlfn.IFNA(INDEX(#REF!,MATCH(Project[[#This Row],[Student No.]:[Student No.]], #REF!,0)),"")</f>
        <v>#REF!</v>
      </c>
      <c r="H30" s="142" t="e">
        <f>_xlfn.IFNA(INDEX(#REF!,MATCH(Project[[#This Row],[Student No.]:[Student No.]], #REF!,0)),"")</f>
        <v>#REF!</v>
      </c>
      <c r="I30" s="142" t="e">
        <f>_xlfn.IFNA(INDEX(#REF!,MATCH(Project[[#This Row],[Student No.]:[Student No.]], #REF!,0)),"")</f>
        <v>#REF!</v>
      </c>
      <c r="J30" s="159" t="e">
        <f>SUM(Project[[#This Row],[Discretionary Mark]:[Mark from ratings]])</f>
        <v>#REF!</v>
      </c>
      <c r="K30" s="159" t="e">
        <f>_xlfn.IFNA(IF(INDEX(#REF!,MATCH(Project[[#This Row],[Student No.]:[Student No.]], #REF!,0))&gt;0,"Yes",""),"")</f>
        <v>#REF!</v>
      </c>
      <c r="L30" s="142" t="e">
        <f>_xlfn.IFNA(IF(INDEX(#REF!,MATCH(Project[[#This Row],[Student No.]:[Student No.]], #REF!,0))="Code contribution less than 35%","Yes",""),"")</f>
        <v>#REF!</v>
      </c>
      <c r="M30"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30" s="152"/>
      <c r="O30"/>
      <c r="P30"/>
      <c r="Q30"/>
    </row>
    <row r="31" spans="1:17">
      <c r="A31" s="139" t="s">
        <v>298</v>
      </c>
      <c r="B31" s="140" t="s">
        <v>474</v>
      </c>
      <c r="C31" s="141" t="str">
        <f>IF(ISNUMBER(Project[[#This Row],[Mark after capping]]),IF(Project[[#This Row],[Mark after capping]]&lt;0,0,IF(Project[[#This Row],[Mark after capping]]&gt;100,100,Project[[#This Row],[Mark after capping]]/$M$3*100)),"")</f>
        <v/>
      </c>
      <c r="D31" s="142" t="e">
        <f>_xlfn.IFNA(INDEX(#REF!,MATCH(Project[[#This Row],[Student No.]:[Student No.]], #REF!,0)),"")</f>
        <v>#REF!</v>
      </c>
      <c r="E31" s="142" t="e">
        <f>_xlfn.IFNA(INDEX(#REF!,MATCH(Project[[#This Row],[Student No.]], #REF!,0)),"")</f>
        <v>#REF!</v>
      </c>
      <c r="F31" s="142" t="e">
        <f>_xlfn.IFNA(INDEX(#REF!,MATCH(Project[[#This Row],[Student No.]], #REF!,0)),"")</f>
        <v>#REF!</v>
      </c>
      <c r="G31" s="142" t="e">
        <f>_xlfn.IFNA(INDEX(#REF!,MATCH(Project[[#This Row],[Student No.]:[Student No.]], #REF!,0)),"")</f>
        <v>#REF!</v>
      </c>
      <c r="H31" s="142" t="e">
        <f>_xlfn.IFNA(INDEX(#REF!,MATCH(Project[[#This Row],[Student No.]:[Student No.]], #REF!,0)),"")</f>
        <v>#REF!</v>
      </c>
      <c r="I31" s="142" t="e">
        <f>_xlfn.IFNA(INDEX(#REF!,MATCH(Project[[#This Row],[Student No.]:[Student No.]], #REF!,0)),"")</f>
        <v>#REF!</v>
      </c>
      <c r="J31" s="159" t="e">
        <f>SUM(Project[[#This Row],[Discretionary Mark]:[Mark from ratings]])</f>
        <v>#REF!</v>
      </c>
      <c r="K31" s="159" t="e">
        <f>_xlfn.IFNA(IF(INDEX(#REF!,MATCH(Project[[#This Row],[Student No.]:[Student No.]], #REF!,0))&gt;0,"Yes",""),"")</f>
        <v>#REF!</v>
      </c>
      <c r="L31" s="142" t="e">
        <f>_xlfn.IFNA(IF(INDEX(#REF!,MATCH(Project[[#This Row],[Student No.]:[Student No.]], #REF!,0))="Code contribution less than 35%","Yes",""),"")</f>
        <v>#REF!</v>
      </c>
      <c r="M31"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31" s="152"/>
      <c r="O31"/>
      <c r="P31"/>
      <c r="Q31"/>
    </row>
    <row r="32" spans="1:17">
      <c r="A32" s="139" t="s">
        <v>299</v>
      </c>
      <c r="B32" s="140" t="s">
        <v>475</v>
      </c>
      <c r="C32" s="141" t="str">
        <f>IF(ISNUMBER(Project[[#This Row],[Mark after capping]]),IF(Project[[#This Row],[Mark after capping]]&lt;0,0,IF(Project[[#This Row],[Mark after capping]]&gt;100,100,Project[[#This Row],[Mark after capping]]/$M$3*100)),"")</f>
        <v/>
      </c>
      <c r="D32" s="142" t="e">
        <f>_xlfn.IFNA(INDEX(#REF!,MATCH(Project[[#This Row],[Student No.]:[Student No.]], #REF!,0)),"")</f>
        <v>#REF!</v>
      </c>
      <c r="E32" s="142" t="e">
        <f>_xlfn.IFNA(INDEX(#REF!,MATCH(Project[[#This Row],[Student No.]], #REF!,0)),"")</f>
        <v>#REF!</v>
      </c>
      <c r="F32" s="142" t="e">
        <f>_xlfn.IFNA(INDEX(#REF!,MATCH(Project[[#This Row],[Student No.]], #REF!,0)),"")</f>
        <v>#REF!</v>
      </c>
      <c r="G32" s="142" t="e">
        <f>_xlfn.IFNA(INDEX(#REF!,MATCH(Project[[#This Row],[Student No.]:[Student No.]], #REF!,0)),"")</f>
        <v>#REF!</v>
      </c>
      <c r="H32" s="142" t="e">
        <f>_xlfn.IFNA(INDEX(#REF!,MATCH(Project[[#This Row],[Student No.]:[Student No.]], #REF!,0)),"")</f>
        <v>#REF!</v>
      </c>
      <c r="I32" s="142" t="e">
        <f>_xlfn.IFNA(INDEX(#REF!,MATCH(Project[[#This Row],[Student No.]:[Student No.]], #REF!,0)),"")</f>
        <v>#REF!</v>
      </c>
      <c r="J32" s="159" t="e">
        <f>SUM(Project[[#This Row],[Discretionary Mark]:[Mark from ratings]])</f>
        <v>#REF!</v>
      </c>
      <c r="K32" s="159" t="e">
        <f>_xlfn.IFNA(IF(INDEX(#REF!,MATCH(Project[[#This Row],[Student No.]:[Student No.]], #REF!,0))&gt;0,"Yes",""),"")</f>
        <v>#REF!</v>
      </c>
      <c r="L32" s="142" t="e">
        <f>_xlfn.IFNA(IF(INDEX(#REF!,MATCH(Project[[#This Row],[Student No.]:[Student No.]], #REF!,0))="Code contribution less than 35%","Yes",""),"")</f>
        <v>#REF!</v>
      </c>
      <c r="M32"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32" s="152"/>
      <c r="O32"/>
      <c r="P32"/>
      <c r="Q32"/>
    </row>
    <row r="33" spans="1:17">
      <c r="A33" s="139" t="s">
        <v>300</v>
      </c>
      <c r="B33" s="140" t="s">
        <v>476</v>
      </c>
      <c r="C33" s="141" t="str">
        <f>IF(ISNUMBER(Project[[#This Row],[Mark after capping]]),IF(Project[[#This Row],[Mark after capping]]&lt;0,0,IF(Project[[#This Row],[Mark after capping]]&gt;100,100,Project[[#This Row],[Mark after capping]]/$M$3*100)),"")</f>
        <v/>
      </c>
      <c r="D33" s="142" t="e">
        <f>_xlfn.IFNA(INDEX(#REF!,MATCH(Project[[#This Row],[Student No.]:[Student No.]], #REF!,0)),"")</f>
        <v>#REF!</v>
      </c>
      <c r="E33" s="142" t="e">
        <f>_xlfn.IFNA(INDEX(#REF!,MATCH(Project[[#This Row],[Student No.]], #REF!,0)),"")</f>
        <v>#REF!</v>
      </c>
      <c r="F33" s="142" t="e">
        <f>_xlfn.IFNA(INDEX(#REF!,MATCH(Project[[#This Row],[Student No.]], #REF!,0)),"")</f>
        <v>#REF!</v>
      </c>
      <c r="G33" s="142" t="e">
        <f>_xlfn.IFNA(INDEX(#REF!,MATCH(Project[[#This Row],[Student No.]:[Student No.]], #REF!,0)),"")</f>
        <v>#REF!</v>
      </c>
      <c r="H33" s="142" t="e">
        <f>_xlfn.IFNA(INDEX(#REF!,MATCH(Project[[#This Row],[Student No.]:[Student No.]], #REF!,0)),"")</f>
        <v>#REF!</v>
      </c>
      <c r="I33" s="142" t="e">
        <f>_xlfn.IFNA(INDEX(#REF!,MATCH(Project[[#This Row],[Student No.]:[Student No.]], #REF!,0)),"")</f>
        <v>#REF!</v>
      </c>
      <c r="J33" s="159" t="e">
        <f>SUM(Project[[#This Row],[Discretionary Mark]:[Mark from ratings]])</f>
        <v>#REF!</v>
      </c>
      <c r="K33" s="159" t="e">
        <f>_xlfn.IFNA(IF(INDEX(#REF!,MATCH(Project[[#This Row],[Student No.]:[Student No.]], #REF!,0))&gt;0,"Yes",""),"")</f>
        <v>#REF!</v>
      </c>
      <c r="L33" s="142" t="e">
        <f>_xlfn.IFNA(IF(INDEX(#REF!,MATCH(Project[[#This Row],[Student No.]:[Student No.]], #REF!,0))="Code contribution less than 35%","Yes",""),"")</f>
        <v>#REF!</v>
      </c>
      <c r="M33"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33" s="152"/>
      <c r="O33"/>
      <c r="P33"/>
      <c r="Q33"/>
    </row>
    <row r="34" spans="1:17">
      <c r="A34" s="139" t="s">
        <v>301</v>
      </c>
      <c r="B34" s="140" t="s">
        <v>477</v>
      </c>
      <c r="C34" s="141" t="str">
        <f>IF(ISNUMBER(Project[[#This Row],[Mark after capping]]),IF(Project[[#This Row],[Mark after capping]]&lt;0,0,IF(Project[[#This Row],[Mark after capping]]&gt;100,100,Project[[#This Row],[Mark after capping]]/$M$3*100)),"")</f>
        <v/>
      </c>
      <c r="D34" s="142" t="e">
        <f>_xlfn.IFNA(INDEX(#REF!,MATCH(Project[[#This Row],[Student No.]:[Student No.]], #REF!,0)),"")</f>
        <v>#REF!</v>
      </c>
      <c r="E34" s="142" t="e">
        <f>_xlfn.IFNA(INDEX(#REF!,MATCH(Project[[#This Row],[Student No.]], #REF!,0)),"")</f>
        <v>#REF!</v>
      </c>
      <c r="F34" s="142" t="e">
        <f>_xlfn.IFNA(INDEX(#REF!,MATCH(Project[[#This Row],[Student No.]], #REF!,0)),"")</f>
        <v>#REF!</v>
      </c>
      <c r="G34" s="142" t="e">
        <f>_xlfn.IFNA(INDEX(#REF!,MATCH(Project[[#This Row],[Student No.]:[Student No.]], #REF!,0)),"")</f>
        <v>#REF!</v>
      </c>
      <c r="H34" s="142" t="e">
        <f>_xlfn.IFNA(INDEX(#REF!,MATCH(Project[[#This Row],[Student No.]:[Student No.]], #REF!,0)),"")</f>
        <v>#REF!</v>
      </c>
      <c r="I34" s="142" t="e">
        <f>_xlfn.IFNA(INDEX(#REF!,MATCH(Project[[#This Row],[Student No.]:[Student No.]], #REF!,0)),"")</f>
        <v>#REF!</v>
      </c>
      <c r="J34" s="159" t="e">
        <f>SUM(Project[[#This Row],[Discretionary Mark]:[Mark from ratings]])</f>
        <v>#REF!</v>
      </c>
      <c r="K34" s="159" t="e">
        <f>_xlfn.IFNA(IF(INDEX(#REF!,MATCH(Project[[#This Row],[Student No.]:[Student No.]], #REF!,0))&gt;0,"Yes",""),"")</f>
        <v>#REF!</v>
      </c>
      <c r="L34" s="142" t="e">
        <f>_xlfn.IFNA(IF(INDEX(#REF!,MATCH(Project[[#This Row],[Student No.]:[Student No.]], #REF!,0))="Code contribution less than 35%","Yes",""),"")</f>
        <v>#REF!</v>
      </c>
      <c r="M34"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34" s="152"/>
      <c r="O34"/>
      <c r="P34"/>
      <c r="Q34"/>
    </row>
    <row r="35" spans="1:17">
      <c r="A35" s="139" t="s">
        <v>302</v>
      </c>
      <c r="B35" s="140" t="s">
        <v>478</v>
      </c>
      <c r="C35" s="141" t="str">
        <f>IF(ISNUMBER(Project[[#This Row],[Mark after capping]]),IF(Project[[#This Row],[Mark after capping]]&lt;0,0,IF(Project[[#This Row],[Mark after capping]]&gt;100,100,Project[[#This Row],[Mark after capping]]/$M$3*100)),"")</f>
        <v/>
      </c>
      <c r="D35" s="142" t="e">
        <f>_xlfn.IFNA(INDEX(#REF!,MATCH(Project[[#This Row],[Student No.]:[Student No.]], #REF!,0)),"")</f>
        <v>#REF!</v>
      </c>
      <c r="E35" s="142" t="e">
        <f>_xlfn.IFNA(INDEX(#REF!,MATCH(Project[[#This Row],[Student No.]], #REF!,0)),"")</f>
        <v>#REF!</v>
      </c>
      <c r="F35" s="142" t="e">
        <f>_xlfn.IFNA(INDEX(#REF!,MATCH(Project[[#This Row],[Student No.]], #REF!,0)),"")</f>
        <v>#REF!</v>
      </c>
      <c r="G35" s="142" t="e">
        <f>_xlfn.IFNA(INDEX(#REF!,MATCH(Project[[#This Row],[Student No.]:[Student No.]], #REF!,0)),"")</f>
        <v>#REF!</v>
      </c>
      <c r="H35" s="142" t="e">
        <f>_xlfn.IFNA(INDEX(#REF!,MATCH(Project[[#This Row],[Student No.]:[Student No.]], #REF!,0)),"")</f>
        <v>#REF!</v>
      </c>
      <c r="I35" s="142" t="e">
        <f>_xlfn.IFNA(INDEX(#REF!,MATCH(Project[[#This Row],[Student No.]:[Student No.]], #REF!,0)),"")</f>
        <v>#REF!</v>
      </c>
      <c r="J35" s="159" t="e">
        <f>SUM(Project[[#This Row],[Discretionary Mark]:[Mark from ratings]])</f>
        <v>#REF!</v>
      </c>
      <c r="K35" s="159" t="e">
        <f>_xlfn.IFNA(IF(INDEX(#REF!,MATCH(Project[[#This Row],[Student No.]:[Student No.]], #REF!,0))&gt;0,"Yes",""),"")</f>
        <v>#REF!</v>
      </c>
      <c r="L35" s="142" t="e">
        <f>_xlfn.IFNA(IF(INDEX(#REF!,MATCH(Project[[#This Row],[Student No.]:[Student No.]], #REF!,0))="Code contribution less than 35%","Yes",""),"")</f>
        <v>#REF!</v>
      </c>
      <c r="M35"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35" s="152"/>
      <c r="O35"/>
      <c r="P35"/>
      <c r="Q35"/>
    </row>
    <row r="36" spans="1:17">
      <c r="A36" s="139" t="s">
        <v>303</v>
      </c>
      <c r="B36" s="140" t="s">
        <v>479</v>
      </c>
      <c r="C36" s="141" t="str">
        <f>IF(ISNUMBER(Project[[#This Row],[Mark after capping]]),IF(Project[[#This Row],[Mark after capping]]&lt;0,0,IF(Project[[#This Row],[Mark after capping]]&gt;100,100,Project[[#This Row],[Mark after capping]]/$M$3*100)),"")</f>
        <v/>
      </c>
      <c r="D36" s="142" t="e">
        <f>_xlfn.IFNA(INDEX(#REF!,MATCH(Project[[#This Row],[Student No.]:[Student No.]], #REF!,0)),"")</f>
        <v>#REF!</v>
      </c>
      <c r="E36" s="142" t="e">
        <f>_xlfn.IFNA(INDEX(#REF!,MATCH(Project[[#This Row],[Student No.]], #REF!,0)),"")</f>
        <v>#REF!</v>
      </c>
      <c r="F36" s="142" t="e">
        <f>_xlfn.IFNA(INDEX(#REF!,MATCH(Project[[#This Row],[Student No.]], #REF!,0)),"")</f>
        <v>#REF!</v>
      </c>
      <c r="G36" s="142" t="e">
        <f>_xlfn.IFNA(INDEX(#REF!,MATCH(Project[[#This Row],[Student No.]:[Student No.]], #REF!,0)),"")</f>
        <v>#REF!</v>
      </c>
      <c r="H36" s="142" t="e">
        <f>_xlfn.IFNA(INDEX(#REF!,MATCH(Project[[#This Row],[Student No.]:[Student No.]], #REF!,0)),"")</f>
        <v>#REF!</v>
      </c>
      <c r="I36" s="142" t="e">
        <f>_xlfn.IFNA(INDEX(#REF!,MATCH(Project[[#This Row],[Student No.]:[Student No.]], #REF!,0)),"")</f>
        <v>#REF!</v>
      </c>
      <c r="J36" s="159" t="e">
        <f>SUM(Project[[#This Row],[Discretionary Mark]:[Mark from ratings]])</f>
        <v>#REF!</v>
      </c>
      <c r="K36" s="159" t="e">
        <f>_xlfn.IFNA(IF(INDEX(#REF!,MATCH(Project[[#This Row],[Student No.]:[Student No.]], #REF!,0))&gt;0,"Yes",""),"")</f>
        <v>#REF!</v>
      </c>
      <c r="L36" s="142" t="e">
        <f>_xlfn.IFNA(IF(INDEX(#REF!,MATCH(Project[[#This Row],[Student No.]:[Student No.]], #REF!,0))="Code contribution less than 35%","Yes",""),"")</f>
        <v>#REF!</v>
      </c>
      <c r="M36"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36" s="152"/>
      <c r="O36"/>
      <c r="P36"/>
      <c r="Q36"/>
    </row>
    <row r="37" spans="1:17">
      <c r="A37" s="139" t="s">
        <v>304</v>
      </c>
      <c r="B37" s="140" t="s">
        <v>480</v>
      </c>
      <c r="C37" s="141" t="str">
        <f>IF(ISNUMBER(Project[[#This Row],[Mark after capping]]),IF(Project[[#This Row],[Mark after capping]]&lt;0,0,IF(Project[[#This Row],[Mark after capping]]&gt;100,100,Project[[#This Row],[Mark after capping]]/$M$3*100)),"")</f>
        <v/>
      </c>
      <c r="D37" s="142" t="e">
        <f>_xlfn.IFNA(INDEX(#REF!,MATCH(Project[[#This Row],[Student No.]:[Student No.]], #REF!,0)),"")</f>
        <v>#REF!</v>
      </c>
      <c r="E37" s="142" t="e">
        <f>_xlfn.IFNA(INDEX(#REF!,MATCH(Project[[#This Row],[Student No.]], #REF!,0)),"")</f>
        <v>#REF!</v>
      </c>
      <c r="F37" s="142" t="e">
        <f>_xlfn.IFNA(INDEX(#REF!,MATCH(Project[[#This Row],[Student No.]], #REF!,0)),"")</f>
        <v>#REF!</v>
      </c>
      <c r="G37" s="142" t="e">
        <f>_xlfn.IFNA(INDEX(#REF!,MATCH(Project[[#This Row],[Student No.]:[Student No.]], #REF!,0)),"")</f>
        <v>#REF!</v>
      </c>
      <c r="H37" s="142" t="e">
        <f>_xlfn.IFNA(INDEX(#REF!,MATCH(Project[[#This Row],[Student No.]:[Student No.]], #REF!,0)),"")</f>
        <v>#REF!</v>
      </c>
      <c r="I37" s="142" t="e">
        <f>_xlfn.IFNA(INDEX(#REF!,MATCH(Project[[#This Row],[Student No.]:[Student No.]], #REF!,0)),"")</f>
        <v>#REF!</v>
      </c>
      <c r="J37" s="159" t="e">
        <f>SUM(Project[[#This Row],[Discretionary Mark]:[Mark from ratings]])</f>
        <v>#REF!</v>
      </c>
      <c r="K37" s="159" t="e">
        <f>_xlfn.IFNA(IF(INDEX(#REF!,MATCH(Project[[#This Row],[Student No.]:[Student No.]], #REF!,0))&gt;0,"Yes",""),"")</f>
        <v>#REF!</v>
      </c>
      <c r="L37" s="142" t="e">
        <f>_xlfn.IFNA(IF(INDEX(#REF!,MATCH(Project[[#This Row],[Student No.]:[Student No.]], #REF!,0))="Code contribution less than 35%","Yes",""),"")</f>
        <v>#REF!</v>
      </c>
      <c r="M37"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37" s="152"/>
      <c r="O37"/>
      <c r="P37"/>
      <c r="Q37"/>
    </row>
    <row r="38" spans="1:17">
      <c r="A38" s="139" t="s">
        <v>305</v>
      </c>
      <c r="B38" s="140" t="s">
        <v>481</v>
      </c>
      <c r="C38" s="141" t="str">
        <f>IF(ISNUMBER(Project[[#This Row],[Mark after capping]]),IF(Project[[#This Row],[Mark after capping]]&lt;0,0,IF(Project[[#This Row],[Mark after capping]]&gt;100,100,Project[[#This Row],[Mark after capping]]/$M$3*100)),"")</f>
        <v/>
      </c>
      <c r="D38" s="142" t="e">
        <f>_xlfn.IFNA(INDEX(#REF!,MATCH(Project[[#This Row],[Student No.]:[Student No.]], #REF!,0)),"")</f>
        <v>#REF!</v>
      </c>
      <c r="E38" s="142" t="e">
        <f>_xlfn.IFNA(INDEX(#REF!,MATCH(Project[[#This Row],[Student No.]], #REF!,0)),"")</f>
        <v>#REF!</v>
      </c>
      <c r="F38" s="142" t="e">
        <f>_xlfn.IFNA(INDEX(#REF!,MATCH(Project[[#This Row],[Student No.]], #REF!,0)),"")</f>
        <v>#REF!</v>
      </c>
      <c r="G38" s="142" t="e">
        <f>_xlfn.IFNA(INDEX(#REF!,MATCH(Project[[#This Row],[Student No.]:[Student No.]], #REF!,0)),"")</f>
        <v>#REF!</v>
      </c>
      <c r="H38" s="142" t="e">
        <f>_xlfn.IFNA(INDEX(#REF!,MATCH(Project[[#This Row],[Student No.]:[Student No.]], #REF!,0)),"")</f>
        <v>#REF!</v>
      </c>
      <c r="I38" s="142" t="e">
        <f>_xlfn.IFNA(INDEX(#REF!,MATCH(Project[[#This Row],[Student No.]:[Student No.]], #REF!,0)),"")</f>
        <v>#REF!</v>
      </c>
      <c r="J38" s="159" t="e">
        <f>SUM(Project[[#This Row],[Discretionary Mark]:[Mark from ratings]])</f>
        <v>#REF!</v>
      </c>
      <c r="K38" s="159" t="e">
        <f>_xlfn.IFNA(IF(INDEX(#REF!,MATCH(Project[[#This Row],[Student No.]:[Student No.]], #REF!,0))&gt;0,"Yes",""),"")</f>
        <v>#REF!</v>
      </c>
      <c r="L38" s="142" t="e">
        <f>_xlfn.IFNA(IF(INDEX(#REF!,MATCH(Project[[#This Row],[Student No.]:[Student No.]], #REF!,0))="Code contribution less than 35%","Yes",""),"")</f>
        <v>#REF!</v>
      </c>
      <c r="M38"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38" s="152"/>
      <c r="O38"/>
      <c r="P38"/>
      <c r="Q38"/>
    </row>
    <row r="39" spans="1:17">
      <c r="A39" s="139" t="s">
        <v>306</v>
      </c>
      <c r="B39" s="140" t="s">
        <v>482</v>
      </c>
      <c r="C39" s="141" t="str">
        <f>IF(ISNUMBER(Project[[#This Row],[Mark after capping]]),IF(Project[[#This Row],[Mark after capping]]&lt;0,0,IF(Project[[#This Row],[Mark after capping]]&gt;100,100,Project[[#This Row],[Mark after capping]]/$M$3*100)),"")</f>
        <v/>
      </c>
      <c r="D39" s="142" t="e">
        <f>_xlfn.IFNA(INDEX(#REF!,MATCH(Project[[#This Row],[Student No.]:[Student No.]], #REF!,0)),"")</f>
        <v>#REF!</v>
      </c>
      <c r="E39" s="142" t="e">
        <f>_xlfn.IFNA(INDEX(#REF!,MATCH(Project[[#This Row],[Student No.]], #REF!,0)),"")</f>
        <v>#REF!</v>
      </c>
      <c r="F39" s="142" t="e">
        <f>_xlfn.IFNA(INDEX(#REF!,MATCH(Project[[#This Row],[Student No.]], #REF!,0)),"")</f>
        <v>#REF!</v>
      </c>
      <c r="G39" s="142" t="e">
        <f>_xlfn.IFNA(INDEX(#REF!,MATCH(Project[[#This Row],[Student No.]:[Student No.]], #REF!,0)),"")</f>
        <v>#REF!</v>
      </c>
      <c r="H39" s="142" t="e">
        <f>_xlfn.IFNA(INDEX(#REF!,MATCH(Project[[#This Row],[Student No.]:[Student No.]], #REF!,0)),"")</f>
        <v>#REF!</v>
      </c>
      <c r="I39" s="142" t="e">
        <f>_xlfn.IFNA(INDEX(#REF!,MATCH(Project[[#This Row],[Student No.]:[Student No.]], #REF!,0)),"")</f>
        <v>#REF!</v>
      </c>
      <c r="J39" s="159" t="e">
        <f>SUM(Project[[#This Row],[Discretionary Mark]:[Mark from ratings]])</f>
        <v>#REF!</v>
      </c>
      <c r="K39" s="159" t="e">
        <f>_xlfn.IFNA(IF(INDEX(#REF!,MATCH(Project[[#This Row],[Student No.]:[Student No.]], #REF!,0))&gt;0,"Yes",""),"")</f>
        <v>#REF!</v>
      </c>
      <c r="L39" s="142" t="e">
        <f>_xlfn.IFNA(IF(INDEX(#REF!,MATCH(Project[[#This Row],[Student No.]:[Student No.]], #REF!,0))="Code contribution less than 35%","Yes",""),"")</f>
        <v>#REF!</v>
      </c>
      <c r="M39"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39" s="152"/>
      <c r="O39"/>
      <c r="P39"/>
      <c r="Q39"/>
    </row>
    <row r="40" spans="1:17">
      <c r="A40" s="139" t="s">
        <v>307</v>
      </c>
      <c r="B40" s="140" t="s">
        <v>483</v>
      </c>
      <c r="C40" s="141" t="str">
        <f>IF(ISNUMBER(Project[[#This Row],[Mark after capping]]),IF(Project[[#This Row],[Mark after capping]]&lt;0,0,IF(Project[[#This Row],[Mark after capping]]&gt;100,100,Project[[#This Row],[Mark after capping]]/$M$3*100)),"")</f>
        <v/>
      </c>
      <c r="D40" s="142" t="e">
        <f>_xlfn.IFNA(INDEX(#REF!,MATCH(Project[[#This Row],[Student No.]:[Student No.]], #REF!,0)),"")</f>
        <v>#REF!</v>
      </c>
      <c r="E40" s="142" t="e">
        <f>_xlfn.IFNA(INDEX(#REF!,MATCH(Project[[#This Row],[Student No.]], #REF!,0)),"")</f>
        <v>#REF!</v>
      </c>
      <c r="F40" s="142" t="e">
        <f>_xlfn.IFNA(INDEX(#REF!,MATCH(Project[[#This Row],[Student No.]], #REF!,0)),"")</f>
        <v>#REF!</v>
      </c>
      <c r="G40" s="142" t="e">
        <f>_xlfn.IFNA(INDEX(#REF!,MATCH(Project[[#This Row],[Student No.]:[Student No.]], #REF!,0)),"")</f>
        <v>#REF!</v>
      </c>
      <c r="H40" s="142" t="e">
        <f>_xlfn.IFNA(INDEX(#REF!,MATCH(Project[[#This Row],[Student No.]:[Student No.]], #REF!,0)),"")</f>
        <v>#REF!</v>
      </c>
      <c r="I40" s="142" t="e">
        <f>_xlfn.IFNA(INDEX(#REF!,MATCH(Project[[#This Row],[Student No.]:[Student No.]], #REF!,0)),"")</f>
        <v>#REF!</v>
      </c>
      <c r="J40" s="159" t="e">
        <f>SUM(Project[[#This Row],[Discretionary Mark]:[Mark from ratings]])</f>
        <v>#REF!</v>
      </c>
      <c r="K40" s="159" t="e">
        <f>_xlfn.IFNA(IF(INDEX(#REF!,MATCH(Project[[#This Row],[Student No.]:[Student No.]], #REF!,0))&gt;0,"Yes",""),"")</f>
        <v>#REF!</v>
      </c>
      <c r="L40" s="142" t="e">
        <f>_xlfn.IFNA(IF(INDEX(#REF!,MATCH(Project[[#This Row],[Student No.]:[Student No.]], #REF!,0))="Code contribution less than 35%","Yes",""),"")</f>
        <v>#REF!</v>
      </c>
      <c r="M40"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40" s="152"/>
      <c r="O40"/>
      <c r="P40"/>
      <c r="Q40"/>
    </row>
    <row r="41" spans="1:17">
      <c r="A41" s="139" t="s">
        <v>308</v>
      </c>
      <c r="B41" s="140" t="s">
        <v>484</v>
      </c>
      <c r="C41" s="141" t="str">
        <f>IF(ISNUMBER(Project[[#This Row],[Mark after capping]]),IF(Project[[#This Row],[Mark after capping]]&lt;0,0,IF(Project[[#This Row],[Mark after capping]]&gt;100,100,Project[[#This Row],[Mark after capping]]/$M$3*100)),"")</f>
        <v/>
      </c>
      <c r="D41" s="142" t="e">
        <f>_xlfn.IFNA(INDEX(#REF!,MATCH(Project[[#This Row],[Student No.]:[Student No.]], #REF!,0)),"")</f>
        <v>#REF!</v>
      </c>
      <c r="E41" s="142" t="e">
        <f>_xlfn.IFNA(INDEX(#REF!,MATCH(Project[[#This Row],[Student No.]], #REF!,0)),"")</f>
        <v>#REF!</v>
      </c>
      <c r="F41" s="142" t="e">
        <f>_xlfn.IFNA(INDEX(#REF!,MATCH(Project[[#This Row],[Student No.]], #REF!,0)),"")</f>
        <v>#REF!</v>
      </c>
      <c r="G41" s="142" t="e">
        <f>_xlfn.IFNA(INDEX(#REF!,MATCH(Project[[#This Row],[Student No.]:[Student No.]], #REF!,0)),"")</f>
        <v>#REF!</v>
      </c>
      <c r="H41" s="142" t="e">
        <f>_xlfn.IFNA(INDEX(#REF!,MATCH(Project[[#This Row],[Student No.]:[Student No.]], #REF!,0)),"")</f>
        <v>#REF!</v>
      </c>
      <c r="I41" s="142" t="e">
        <f>_xlfn.IFNA(INDEX(#REF!,MATCH(Project[[#This Row],[Student No.]:[Student No.]], #REF!,0)),"")</f>
        <v>#REF!</v>
      </c>
      <c r="J41" s="159" t="e">
        <f>SUM(Project[[#This Row],[Discretionary Mark]:[Mark from ratings]])</f>
        <v>#REF!</v>
      </c>
      <c r="K41" s="159" t="e">
        <f>_xlfn.IFNA(IF(INDEX(#REF!,MATCH(Project[[#This Row],[Student No.]:[Student No.]], #REF!,0))&gt;0,"Yes",""),"")</f>
        <v>#REF!</v>
      </c>
      <c r="L41" s="142" t="e">
        <f>_xlfn.IFNA(IF(INDEX(#REF!,MATCH(Project[[#This Row],[Student No.]:[Student No.]], #REF!,0))="Code contribution less than 35%","Yes",""),"")</f>
        <v>#REF!</v>
      </c>
      <c r="M41"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41" s="152"/>
      <c r="O41"/>
      <c r="P41"/>
      <c r="Q41"/>
    </row>
    <row r="42" spans="1:17">
      <c r="A42" s="139" t="s">
        <v>309</v>
      </c>
      <c r="B42" s="140" t="s">
        <v>485</v>
      </c>
      <c r="C42" s="141" t="str">
        <f>IF(ISNUMBER(Project[[#This Row],[Mark after capping]]),IF(Project[[#This Row],[Mark after capping]]&lt;0,0,IF(Project[[#This Row],[Mark after capping]]&gt;100,100,Project[[#This Row],[Mark after capping]]/$M$3*100)),"")</f>
        <v/>
      </c>
      <c r="D42" s="142" t="e">
        <f>_xlfn.IFNA(INDEX(#REF!,MATCH(Project[[#This Row],[Student No.]:[Student No.]], #REF!,0)),"")</f>
        <v>#REF!</v>
      </c>
      <c r="E42" s="142" t="e">
        <f>_xlfn.IFNA(INDEX(#REF!,MATCH(Project[[#This Row],[Student No.]], #REF!,0)),"")</f>
        <v>#REF!</v>
      </c>
      <c r="F42" s="142" t="e">
        <f>_xlfn.IFNA(INDEX(#REF!,MATCH(Project[[#This Row],[Student No.]], #REF!,0)),"")</f>
        <v>#REF!</v>
      </c>
      <c r="G42" s="142" t="e">
        <f>_xlfn.IFNA(INDEX(#REF!,MATCH(Project[[#This Row],[Student No.]:[Student No.]], #REF!,0)),"")</f>
        <v>#REF!</v>
      </c>
      <c r="H42" s="142" t="e">
        <f>_xlfn.IFNA(INDEX(#REF!,MATCH(Project[[#This Row],[Student No.]:[Student No.]], #REF!,0)),"")</f>
        <v>#REF!</v>
      </c>
      <c r="I42" s="142" t="e">
        <f>_xlfn.IFNA(INDEX(#REF!,MATCH(Project[[#This Row],[Student No.]:[Student No.]], #REF!,0)),"")</f>
        <v>#REF!</v>
      </c>
      <c r="J42" s="159" t="e">
        <f>SUM(Project[[#This Row],[Discretionary Mark]:[Mark from ratings]])</f>
        <v>#REF!</v>
      </c>
      <c r="K42" s="159" t="e">
        <f>_xlfn.IFNA(IF(INDEX(#REF!,MATCH(Project[[#This Row],[Student No.]:[Student No.]], #REF!,0))&gt;0,"Yes",""),"")</f>
        <v>#REF!</v>
      </c>
      <c r="L42" s="142" t="e">
        <f>_xlfn.IFNA(IF(INDEX(#REF!,MATCH(Project[[#This Row],[Student No.]:[Student No.]], #REF!,0))="Code contribution less than 35%","Yes",""),"")</f>
        <v>#REF!</v>
      </c>
      <c r="M42"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42" s="152"/>
      <c r="O42"/>
      <c r="P42"/>
      <c r="Q42"/>
    </row>
    <row r="43" spans="1:17">
      <c r="A43" s="139" t="s">
        <v>310</v>
      </c>
      <c r="B43" s="140" t="s">
        <v>486</v>
      </c>
      <c r="C43" s="141" t="str">
        <f>IF(ISNUMBER(Project[[#This Row],[Mark after capping]]),IF(Project[[#This Row],[Mark after capping]]&lt;0,0,IF(Project[[#This Row],[Mark after capping]]&gt;100,100,Project[[#This Row],[Mark after capping]]/$M$3*100)),"")</f>
        <v/>
      </c>
      <c r="D43" s="142" t="e">
        <f>_xlfn.IFNA(INDEX(#REF!,MATCH(Project[[#This Row],[Student No.]:[Student No.]], #REF!,0)),"")</f>
        <v>#REF!</v>
      </c>
      <c r="E43" s="142" t="e">
        <f>_xlfn.IFNA(INDEX(#REF!,MATCH(Project[[#This Row],[Student No.]], #REF!,0)),"")</f>
        <v>#REF!</v>
      </c>
      <c r="F43" s="142" t="e">
        <f>_xlfn.IFNA(INDEX(#REF!,MATCH(Project[[#This Row],[Student No.]], #REF!,0)),"")</f>
        <v>#REF!</v>
      </c>
      <c r="G43" s="142" t="e">
        <f>_xlfn.IFNA(INDEX(#REF!,MATCH(Project[[#This Row],[Student No.]:[Student No.]], #REF!,0)),"")</f>
        <v>#REF!</v>
      </c>
      <c r="H43" s="142" t="e">
        <f>_xlfn.IFNA(INDEX(#REF!,MATCH(Project[[#This Row],[Student No.]:[Student No.]], #REF!,0)),"")</f>
        <v>#REF!</v>
      </c>
      <c r="I43" s="142" t="e">
        <f>_xlfn.IFNA(INDEX(#REF!,MATCH(Project[[#This Row],[Student No.]:[Student No.]], #REF!,0)),"")</f>
        <v>#REF!</v>
      </c>
      <c r="J43" s="159" t="e">
        <f>SUM(Project[[#This Row],[Discretionary Mark]:[Mark from ratings]])</f>
        <v>#REF!</v>
      </c>
      <c r="K43" s="159" t="e">
        <f>_xlfn.IFNA(IF(INDEX(#REF!,MATCH(Project[[#This Row],[Student No.]:[Student No.]], #REF!,0))&gt;0,"Yes",""),"")</f>
        <v>#REF!</v>
      </c>
      <c r="L43" s="142" t="e">
        <f>_xlfn.IFNA(IF(INDEX(#REF!,MATCH(Project[[#This Row],[Student No.]:[Student No.]], #REF!,0))="Code contribution less than 35%","Yes",""),"")</f>
        <v>#REF!</v>
      </c>
      <c r="M43"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43" s="152"/>
      <c r="O43"/>
      <c r="P43"/>
      <c r="Q43"/>
    </row>
    <row r="44" spans="1:17">
      <c r="A44" s="139" t="s">
        <v>311</v>
      </c>
      <c r="B44" s="140" t="s">
        <v>487</v>
      </c>
      <c r="C44" s="141" t="str">
        <f>IF(ISNUMBER(Project[[#This Row],[Mark after capping]]),IF(Project[[#This Row],[Mark after capping]]&lt;0,0,IF(Project[[#This Row],[Mark after capping]]&gt;100,100,Project[[#This Row],[Mark after capping]]/$M$3*100)),"")</f>
        <v/>
      </c>
      <c r="D44" s="142" t="e">
        <f>_xlfn.IFNA(INDEX(#REF!,MATCH(Project[[#This Row],[Student No.]:[Student No.]], #REF!,0)),"")</f>
        <v>#REF!</v>
      </c>
      <c r="E44" s="142" t="e">
        <f>_xlfn.IFNA(INDEX(#REF!,MATCH(Project[[#This Row],[Student No.]], #REF!,0)),"")</f>
        <v>#REF!</v>
      </c>
      <c r="F44" s="142" t="e">
        <f>_xlfn.IFNA(INDEX(#REF!,MATCH(Project[[#This Row],[Student No.]], #REF!,0)),"")</f>
        <v>#REF!</v>
      </c>
      <c r="G44" s="142" t="e">
        <f>_xlfn.IFNA(INDEX(#REF!,MATCH(Project[[#This Row],[Student No.]:[Student No.]], #REF!,0)),"")</f>
        <v>#REF!</v>
      </c>
      <c r="H44" s="142" t="e">
        <f>_xlfn.IFNA(INDEX(#REF!,MATCH(Project[[#This Row],[Student No.]:[Student No.]], #REF!,0)),"")</f>
        <v>#REF!</v>
      </c>
      <c r="I44" s="142" t="e">
        <f>_xlfn.IFNA(INDEX(#REF!,MATCH(Project[[#This Row],[Student No.]:[Student No.]], #REF!,0)),"")</f>
        <v>#REF!</v>
      </c>
      <c r="J44" s="159" t="e">
        <f>SUM(Project[[#This Row],[Discretionary Mark]:[Mark from ratings]])</f>
        <v>#REF!</v>
      </c>
      <c r="K44" s="159" t="e">
        <f>_xlfn.IFNA(IF(INDEX(#REF!,MATCH(Project[[#This Row],[Student No.]:[Student No.]], #REF!,0))&gt;0,"Yes",""),"")</f>
        <v>#REF!</v>
      </c>
      <c r="L44" s="142" t="e">
        <f>_xlfn.IFNA(IF(INDEX(#REF!,MATCH(Project[[#This Row],[Student No.]:[Student No.]], #REF!,0))="Code contribution less than 35%","Yes",""),"")</f>
        <v>#REF!</v>
      </c>
      <c r="M44"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44" s="152"/>
      <c r="O44"/>
      <c r="P44"/>
      <c r="Q44"/>
    </row>
    <row r="45" spans="1:17">
      <c r="A45" s="139" t="s">
        <v>312</v>
      </c>
      <c r="B45" s="140" t="s">
        <v>488</v>
      </c>
      <c r="C45" s="141" t="str">
        <f>IF(ISNUMBER(Project[[#This Row],[Mark after capping]]),IF(Project[[#This Row],[Mark after capping]]&lt;0,0,IF(Project[[#This Row],[Mark after capping]]&gt;100,100,Project[[#This Row],[Mark after capping]]/$M$3*100)),"")</f>
        <v/>
      </c>
      <c r="D45" s="142" t="e">
        <f>_xlfn.IFNA(INDEX(#REF!,MATCH(Project[[#This Row],[Student No.]:[Student No.]], #REF!,0)),"")</f>
        <v>#REF!</v>
      </c>
      <c r="E45" s="142" t="e">
        <f>_xlfn.IFNA(INDEX(#REF!,MATCH(Project[[#This Row],[Student No.]], #REF!,0)),"")</f>
        <v>#REF!</v>
      </c>
      <c r="F45" s="142" t="e">
        <f>_xlfn.IFNA(INDEX(#REF!,MATCH(Project[[#This Row],[Student No.]], #REF!,0)),"")</f>
        <v>#REF!</v>
      </c>
      <c r="G45" s="142" t="e">
        <f>_xlfn.IFNA(INDEX(#REF!,MATCH(Project[[#This Row],[Student No.]:[Student No.]], #REF!,0)),"")</f>
        <v>#REF!</v>
      </c>
      <c r="H45" s="142" t="e">
        <f>_xlfn.IFNA(INDEX(#REF!,MATCH(Project[[#This Row],[Student No.]:[Student No.]], #REF!,0)),"")</f>
        <v>#REF!</v>
      </c>
      <c r="I45" s="142" t="e">
        <f>_xlfn.IFNA(INDEX(#REF!,MATCH(Project[[#This Row],[Student No.]:[Student No.]], #REF!,0)),"")</f>
        <v>#REF!</v>
      </c>
      <c r="J45" s="159" t="e">
        <f>SUM(Project[[#This Row],[Discretionary Mark]:[Mark from ratings]])</f>
        <v>#REF!</v>
      </c>
      <c r="K45" s="159" t="e">
        <f>_xlfn.IFNA(IF(INDEX(#REF!,MATCH(Project[[#This Row],[Student No.]:[Student No.]], #REF!,0))&gt;0,"Yes",""),"")</f>
        <v>#REF!</v>
      </c>
      <c r="L45" s="142" t="e">
        <f>_xlfn.IFNA(IF(INDEX(#REF!,MATCH(Project[[#This Row],[Student No.]:[Student No.]], #REF!,0))="Code contribution less than 35%","Yes",""),"")</f>
        <v>#REF!</v>
      </c>
      <c r="M45"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45" s="152"/>
      <c r="O45"/>
      <c r="P45"/>
      <c r="Q45"/>
    </row>
    <row r="46" spans="1:17">
      <c r="A46" s="139" t="s">
        <v>313</v>
      </c>
      <c r="B46" s="140" t="s">
        <v>489</v>
      </c>
      <c r="C46" s="141" t="str">
        <f>IF(ISNUMBER(Project[[#This Row],[Mark after capping]]),IF(Project[[#This Row],[Mark after capping]]&lt;0,0,IF(Project[[#This Row],[Mark after capping]]&gt;100,100,Project[[#This Row],[Mark after capping]]/$M$3*100)),"")</f>
        <v/>
      </c>
      <c r="D46" s="142" t="e">
        <f>_xlfn.IFNA(INDEX(#REF!,MATCH(Project[[#This Row],[Student No.]:[Student No.]], #REF!,0)),"")</f>
        <v>#REF!</v>
      </c>
      <c r="E46" s="142" t="e">
        <f>_xlfn.IFNA(INDEX(#REF!,MATCH(Project[[#This Row],[Student No.]], #REF!,0)),"")</f>
        <v>#REF!</v>
      </c>
      <c r="F46" s="142" t="e">
        <f>_xlfn.IFNA(INDEX(#REF!,MATCH(Project[[#This Row],[Student No.]], #REF!,0)),"")</f>
        <v>#REF!</v>
      </c>
      <c r="G46" s="142" t="e">
        <f>_xlfn.IFNA(INDEX(#REF!,MATCH(Project[[#This Row],[Student No.]:[Student No.]], #REF!,0)),"")</f>
        <v>#REF!</v>
      </c>
      <c r="H46" s="142" t="e">
        <f>_xlfn.IFNA(INDEX(#REF!,MATCH(Project[[#This Row],[Student No.]:[Student No.]], #REF!,0)),"")</f>
        <v>#REF!</v>
      </c>
      <c r="I46" s="142" t="e">
        <f>_xlfn.IFNA(INDEX(#REF!,MATCH(Project[[#This Row],[Student No.]:[Student No.]], #REF!,0)),"")</f>
        <v>#REF!</v>
      </c>
      <c r="J46" s="159" t="e">
        <f>SUM(Project[[#This Row],[Discretionary Mark]:[Mark from ratings]])</f>
        <v>#REF!</v>
      </c>
      <c r="K46" s="159" t="e">
        <f>_xlfn.IFNA(IF(INDEX(#REF!,MATCH(Project[[#This Row],[Student No.]:[Student No.]], #REF!,0))&gt;0,"Yes",""),"")</f>
        <v>#REF!</v>
      </c>
      <c r="L46" s="142" t="e">
        <f>_xlfn.IFNA(IF(INDEX(#REF!,MATCH(Project[[#This Row],[Student No.]:[Student No.]], #REF!,0))="Code contribution less than 35%","Yes",""),"")</f>
        <v>#REF!</v>
      </c>
      <c r="M46"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46" s="152"/>
      <c r="O46"/>
      <c r="P46"/>
      <c r="Q46"/>
    </row>
    <row r="47" spans="1:17">
      <c r="A47" s="139" t="s">
        <v>314</v>
      </c>
      <c r="B47" s="140" t="s">
        <v>490</v>
      </c>
      <c r="C47" s="141" t="str">
        <f>IF(ISNUMBER(Project[[#This Row],[Mark after capping]]),IF(Project[[#This Row],[Mark after capping]]&lt;0,0,IF(Project[[#This Row],[Mark after capping]]&gt;100,100,Project[[#This Row],[Mark after capping]]/$M$3*100)),"")</f>
        <v/>
      </c>
      <c r="D47" s="142" t="e">
        <f>_xlfn.IFNA(INDEX(#REF!,MATCH(Project[[#This Row],[Student No.]:[Student No.]], #REF!,0)),"")</f>
        <v>#REF!</v>
      </c>
      <c r="E47" s="142" t="e">
        <f>_xlfn.IFNA(INDEX(#REF!,MATCH(Project[[#This Row],[Student No.]], #REF!,0)),"")</f>
        <v>#REF!</v>
      </c>
      <c r="F47" s="142" t="e">
        <f>_xlfn.IFNA(INDEX(#REF!,MATCH(Project[[#This Row],[Student No.]], #REF!,0)),"")</f>
        <v>#REF!</v>
      </c>
      <c r="G47" s="142" t="e">
        <f>_xlfn.IFNA(INDEX(#REF!,MATCH(Project[[#This Row],[Student No.]:[Student No.]], #REF!,0)),"")</f>
        <v>#REF!</v>
      </c>
      <c r="H47" s="142" t="e">
        <f>_xlfn.IFNA(INDEX(#REF!,MATCH(Project[[#This Row],[Student No.]:[Student No.]], #REF!,0)),"")</f>
        <v>#REF!</v>
      </c>
      <c r="I47" s="142" t="e">
        <f>_xlfn.IFNA(INDEX(#REF!,MATCH(Project[[#This Row],[Student No.]:[Student No.]], #REF!,0)),"")</f>
        <v>#REF!</v>
      </c>
      <c r="J47" s="159" t="e">
        <f>SUM(Project[[#This Row],[Discretionary Mark]:[Mark from ratings]])</f>
        <v>#REF!</v>
      </c>
      <c r="K47" s="159" t="e">
        <f>_xlfn.IFNA(IF(INDEX(#REF!,MATCH(Project[[#This Row],[Student No.]:[Student No.]], #REF!,0))&gt;0,"Yes",""),"")</f>
        <v>#REF!</v>
      </c>
      <c r="L47" s="142" t="e">
        <f>_xlfn.IFNA(IF(INDEX(#REF!,MATCH(Project[[#This Row],[Student No.]:[Student No.]], #REF!,0))="Code contribution less than 35%","Yes",""),"")</f>
        <v>#REF!</v>
      </c>
      <c r="M47"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47" s="152"/>
      <c r="O47"/>
      <c r="P47"/>
      <c r="Q47"/>
    </row>
    <row r="48" spans="1:17">
      <c r="A48" s="139" t="s">
        <v>315</v>
      </c>
      <c r="B48" s="144" t="s">
        <v>491</v>
      </c>
      <c r="C48" s="145" t="str">
        <f>IF(ISNUMBER(Project[[#This Row],[Mark after capping]]),IF(Project[[#This Row],[Mark after capping]]&lt;0,0,IF(Project[[#This Row],[Mark after capping]]&gt;100,100,Project[[#This Row],[Mark after capping]]/$M$3*100)),"")</f>
        <v/>
      </c>
      <c r="D48" s="146" t="e">
        <f>_xlfn.IFNA(INDEX(#REF!,MATCH(Project[[#This Row],[Student No.]:[Student No.]], #REF!,0)),"")</f>
        <v>#REF!</v>
      </c>
      <c r="E48" s="146" t="e">
        <f>_xlfn.IFNA(INDEX(#REF!,MATCH(Project[[#This Row],[Student No.]], #REF!,0)),"")</f>
        <v>#REF!</v>
      </c>
      <c r="F48" s="146" t="e">
        <f>_xlfn.IFNA(INDEX(#REF!,MATCH(Project[[#This Row],[Student No.]], #REF!,0)),"")</f>
        <v>#REF!</v>
      </c>
      <c r="G48" s="146" t="e">
        <f>_xlfn.IFNA(INDEX(#REF!,MATCH(Project[[#This Row],[Student No.]:[Student No.]], #REF!,0)),"")</f>
        <v>#REF!</v>
      </c>
      <c r="H48" s="146" t="e">
        <f>_xlfn.IFNA(INDEX(#REF!,MATCH(Project[[#This Row],[Student No.]:[Student No.]], #REF!,0)),"")</f>
        <v>#REF!</v>
      </c>
      <c r="I48" s="146" t="e">
        <f>_xlfn.IFNA(INDEX(#REF!,MATCH(Project[[#This Row],[Student No.]:[Student No.]], #REF!,0)),"")</f>
        <v>#REF!</v>
      </c>
      <c r="J48" s="159" t="e">
        <f>SUM(Project[[#This Row],[Discretionary Mark]:[Mark from ratings]])</f>
        <v>#REF!</v>
      </c>
      <c r="K48" s="159" t="e">
        <f>_xlfn.IFNA(IF(INDEX(#REF!,MATCH(Project[[#This Row],[Student No.]:[Student No.]], #REF!,0))&gt;0,"Yes",""),"")</f>
        <v>#REF!</v>
      </c>
      <c r="L48" s="146" t="e">
        <f>_xlfn.IFNA(IF(INDEX(#REF!,MATCH(Project[[#This Row],[Student No.]:[Student No.]], #REF!,0))="Code contribution less than 35%","Yes",""),"")</f>
        <v>#REF!</v>
      </c>
      <c r="M48"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48" s="152"/>
      <c r="O48"/>
      <c r="P48"/>
      <c r="Q48"/>
    </row>
    <row r="49" spans="1:17">
      <c r="A49" s="139" t="s">
        <v>316</v>
      </c>
      <c r="B49" s="140" t="s">
        <v>492</v>
      </c>
      <c r="C49" s="141" t="str">
        <f>IF(ISNUMBER(Project[[#This Row],[Mark after capping]]),IF(Project[[#This Row],[Mark after capping]]&lt;0,0,IF(Project[[#This Row],[Mark after capping]]&gt;100,100,Project[[#This Row],[Mark after capping]]/$M$3*100)),"")</f>
        <v/>
      </c>
      <c r="D49" s="142" t="e">
        <f>_xlfn.IFNA(INDEX(#REF!,MATCH(Project[[#This Row],[Student No.]:[Student No.]], #REF!,0)),"")</f>
        <v>#REF!</v>
      </c>
      <c r="E49" s="142" t="e">
        <f>_xlfn.IFNA(INDEX(#REF!,MATCH(Project[[#This Row],[Student No.]], #REF!,0)),"")</f>
        <v>#REF!</v>
      </c>
      <c r="F49" s="142" t="e">
        <f>_xlfn.IFNA(INDEX(#REF!,MATCH(Project[[#This Row],[Student No.]], #REF!,0)),"")</f>
        <v>#REF!</v>
      </c>
      <c r="G49" s="142" t="e">
        <f>_xlfn.IFNA(INDEX(#REF!,MATCH(Project[[#This Row],[Student No.]:[Student No.]], #REF!,0)),"")</f>
        <v>#REF!</v>
      </c>
      <c r="H49" s="142" t="e">
        <f>_xlfn.IFNA(INDEX(#REF!,MATCH(Project[[#This Row],[Student No.]:[Student No.]], #REF!,0)),"")</f>
        <v>#REF!</v>
      </c>
      <c r="I49" s="142" t="e">
        <f>_xlfn.IFNA(INDEX(#REF!,MATCH(Project[[#This Row],[Student No.]:[Student No.]], #REF!,0)),"")</f>
        <v>#REF!</v>
      </c>
      <c r="J49" s="159" t="e">
        <f>SUM(Project[[#This Row],[Discretionary Mark]:[Mark from ratings]])</f>
        <v>#REF!</v>
      </c>
      <c r="K49" s="159" t="e">
        <f>_xlfn.IFNA(IF(INDEX(#REF!,MATCH(Project[[#This Row],[Student No.]:[Student No.]], #REF!,0))&gt;0,"Yes",""),"")</f>
        <v>#REF!</v>
      </c>
      <c r="L49" s="142" t="e">
        <f>_xlfn.IFNA(IF(INDEX(#REF!,MATCH(Project[[#This Row],[Student No.]:[Student No.]], #REF!,0))="Code contribution less than 35%","Yes",""),"")</f>
        <v>#REF!</v>
      </c>
      <c r="M49"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49" s="152"/>
      <c r="O49"/>
      <c r="P49"/>
      <c r="Q49"/>
    </row>
    <row r="50" spans="1:17">
      <c r="A50" s="139" t="s">
        <v>317</v>
      </c>
      <c r="B50" s="140" t="s">
        <v>493</v>
      </c>
      <c r="C50" s="141" t="str">
        <f>IF(ISNUMBER(Project[[#This Row],[Mark after capping]]),IF(Project[[#This Row],[Mark after capping]]&lt;0,0,IF(Project[[#This Row],[Mark after capping]]&gt;100,100,Project[[#This Row],[Mark after capping]]/$M$3*100)),"")</f>
        <v/>
      </c>
      <c r="D50" s="142" t="e">
        <f>_xlfn.IFNA(INDEX(#REF!,MATCH(Project[[#This Row],[Student No.]:[Student No.]], #REF!,0)),"")</f>
        <v>#REF!</v>
      </c>
      <c r="E50" s="142" t="e">
        <f>_xlfn.IFNA(INDEX(#REF!,MATCH(Project[[#This Row],[Student No.]], #REF!,0)),"")</f>
        <v>#REF!</v>
      </c>
      <c r="F50" s="142" t="e">
        <f>_xlfn.IFNA(INDEX(#REF!,MATCH(Project[[#This Row],[Student No.]], #REF!,0)),"")</f>
        <v>#REF!</v>
      </c>
      <c r="G50" s="142" t="e">
        <f>_xlfn.IFNA(INDEX(#REF!,MATCH(Project[[#This Row],[Student No.]:[Student No.]], #REF!,0)),"")</f>
        <v>#REF!</v>
      </c>
      <c r="H50" s="142" t="e">
        <f>_xlfn.IFNA(INDEX(#REF!,MATCH(Project[[#This Row],[Student No.]:[Student No.]], #REF!,0)),"")</f>
        <v>#REF!</v>
      </c>
      <c r="I50" s="142" t="e">
        <f>_xlfn.IFNA(INDEX(#REF!,MATCH(Project[[#This Row],[Student No.]:[Student No.]], #REF!,0)),"")</f>
        <v>#REF!</v>
      </c>
      <c r="J50" s="159" t="e">
        <f>SUM(Project[[#This Row],[Discretionary Mark]:[Mark from ratings]])</f>
        <v>#REF!</v>
      </c>
      <c r="K50" s="159" t="e">
        <f>_xlfn.IFNA(IF(INDEX(#REF!,MATCH(Project[[#This Row],[Student No.]:[Student No.]], #REF!,0))&gt;0,"Yes",""),"")</f>
        <v>#REF!</v>
      </c>
      <c r="L50" s="142" t="e">
        <f>_xlfn.IFNA(IF(INDEX(#REF!,MATCH(Project[[#This Row],[Student No.]:[Student No.]], #REF!,0))="Code contribution less than 35%","Yes",""),"")</f>
        <v>#REF!</v>
      </c>
      <c r="M50"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50" s="152"/>
      <c r="O50"/>
      <c r="P50"/>
      <c r="Q50"/>
    </row>
    <row r="51" spans="1:17">
      <c r="A51" s="139" t="s">
        <v>318</v>
      </c>
      <c r="B51" s="140" t="s">
        <v>494</v>
      </c>
      <c r="C51" s="141" t="str">
        <f>IF(ISNUMBER(Project[[#This Row],[Mark after capping]]),IF(Project[[#This Row],[Mark after capping]]&lt;0,0,IF(Project[[#This Row],[Mark after capping]]&gt;100,100,Project[[#This Row],[Mark after capping]]/$M$3*100)),"")</f>
        <v/>
      </c>
      <c r="D51" s="142" t="e">
        <f>_xlfn.IFNA(INDEX(#REF!,MATCH(Project[[#This Row],[Student No.]:[Student No.]], #REF!,0)),"")</f>
        <v>#REF!</v>
      </c>
      <c r="E51" s="142" t="e">
        <f>_xlfn.IFNA(INDEX(#REF!,MATCH(Project[[#This Row],[Student No.]], #REF!,0)),"")</f>
        <v>#REF!</v>
      </c>
      <c r="F51" s="142" t="e">
        <f>_xlfn.IFNA(INDEX(#REF!,MATCH(Project[[#This Row],[Student No.]], #REF!,0)),"")</f>
        <v>#REF!</v>
      </c>
      <c r="G51" s="142" t="e">
        <f>_xlfn.IFNA(INDEX(#REF!,MATCH(Project[[#This Row],[Student No.]:[Student No.]], #REF!,0)),"")</f>
        <v>#REF!</v>
      </c>
      <c r="H51" s="142" t="e">
        <f>_xlfn.IFNA(INDEX(#REF!,MATCH(Project[[#This Row],[Student No.]:[Student No.]], #REF!,0)),"")</f>
        <v>#REF!</v>
      </c>
      <c r="I51" s="142" t="e">
        <f>_xlfn.IFNA(INDEX(#REF!,MATCH(Project[[#This Row],[Student No.]:[Student No.]], #REF!,0)),"")</f>
        <v>#REF!</v>
      </c>
      <c r="J51" s="159" t="e">
        <f>SUM(Project[[#This Row],[Discretionary Mark]:[Mark from ratings]])</f>
        <v>#REF!</v>
      </c>
      <c r="K51" s="159" t="e">
        <f>_xlfn.IFNA(IF(INDEX(#REF!,MATCH(Project[[#This Row],[Student No.]:[Student No.]], #REF!,0))&gt;0,"Yes",""),"")</f>
        <v>#REF!</v>
      </c>
      <c r="L51" s="142" t="e">
        <f>_xlfn.IFNA(IF(INDEX(#REF!,MATCH(Project[[#This Row],[Student No.]:[Student No.]], #REF!,0))="Code contribution less than 35%","Yes",""),"")</f>
        <v>#REF!</v>
      </c>
      <c r="M51"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51" s="152"/>
      <c r="O51"/>
      <c r="P51"/>
      <c r="Q51"/>
    </row>
    <row r="52" spans="1:17">
      <c r="A52" s="139" t="s">
        <v>319</v>
      </c>
      <c r="B52" s="140" t="s">
        <v>495</v>
      </c>
      <c r="C52" s="141" t="str">
        <f>IF(ISNUMBER(Project[[#This Row],[Mark after capping]]),IF(Project[[#This Row],[Mark after capping]]&lt;0,0,IF(Project[[#This Row],[Mark after capping]]&gt;100,100,Project[[#This Row],[Mark after capping]]/$M$3*100)),"")</f>
        <v/>
      </c>
      <c r="D52" s="142" t="e">
        <f>_xlfn.IFNA(INDEX(#REF!,MATCH(Project[[#This Row],[Student No.]:[Student No.]], #REF!,0)),"")</f>
        <v>#REF!</v>
      </c>
      <c r="E52" s="142" t="e">
        <f>_xlfn.IFNA(INDEX(#REF!,MATCH(Project[[#This Row],[Student No.]], #REF!,0)),"")</f>
        <v>#REF!</v>
      </c>
      <c r="F52" s="142" t="e">
        <f>_xlfn.IFNA(INDEX(#REF!,MATCH(Project[[#This Row],[Student No.]], #REF!,0)),"")</f>
        <v>#REF!</v>
      </c>
      <c r="G52" s="142" t="e">
        <f>_xlfn.IFNA(INDEX(#REF!,MATCH(Project[[#This Row],[Student No.]:[Student No.]], #REF!,0)),"")</f>
        <v>#REF!</v>
      </c>
      <c r="H52" s="142" t="e">
        <f>_xlfn.IFNA(INDEX(#REF!,MATCH(Project[[#This Row],[Student No.]:[Student No.]], #REF!,0)),"")</f>
        <v>#REF!</v>
      </c>
      <c r="I52" s="142" t="e">
        <f>_xlfn.IFNA(INDEX(#REF!,MATCH(Project[[#This Row],[Student No.]:[Student No.]], #REF!,0)),"")</f>
        <v>#REF!</v>
      </c>
      <c r="J52" s="159" t="e">
        <f>SUM(Project[[#This Row],[Discretionary Mark]:[Mark from ratings]])</f>
        <v>#REF!</v>
      </c>
      <c r="K52" s="159" t="e">
        <f>_xlfn.IFNA(IF(INDEX(#REF!,MATCH(Project[[#This Row],[Student No.]:[Student No.]], #REF!,0))&gt;0,"Yes",""),"")</f>
        <v>#REF!</v>
      </c>
      <c r="L52" s="142" t="e">
        <f>_xlfn.IFNA(IF(INDEX(#REF!,MATCH(Project[[#This Row],[Student No.]:[Student No.]], #REF!,0))="Code contribution less than 35%","Yes",""),"")</f>
        <v>#REF!</v>
      </c>
      <c r="M52"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52" s="152"/>
      <c r="O52"/>
      <c r="P52"/>
      <c r="Q52"/>
    </row>
    <row r="53" spans="1:17">
      <c r="A53" s="139" t="s">
        <v>320</v>
      </c>
      <c r="B53" s="140" t="s">
        <v>496</v>
      </c>
      <c r="C53" s="141" t="str">
        <f>IF(ISNUMBER(Project[[#This Row],[Mark after capping]]),IF(Project[[#This Row],[Mark after capping]]&lt;0,0,IF(Project[[#This Row],[Mark after capping]]&gt;100,100,Project[[#This Row],[Mark after capping]]/$M$3*100)),"")</f>
        <v/>
      </c>
      <c r="D53" s="142" t="e">
        <f>_xlfn.IFNA(INDEX(#REF!,MATCH(Project[[#This Row],[Student No.]:[Student No.]], #REF!,0)),"")</f>
        <v>#REF!</v>
      </c>
      <c r="E53" s="142" t="e">
        <f>_xlfn.IFNA(INDEX(#REF!,MATCH(Project[[#This Row],[Student No.]], #REF!,0)),"")</f>
        <v>#REF!</v>
      </c>
      <c r="F53" s="142" t="e">
        <f>_xlfn.IFNA(INDEX(#REF!,MATCH(Project[[#This Row],[Student No.]], #REF!,0)),"")</f>
        <v>#REF!</v>
      </c>
      <c r="G53" s="142" t="e">
        <f>_xlfn.IFNA(INDEX(#REF!,MATCH(Project[[#This Row],[Student No.]:[Student No.]], #REF!,0)),"")</f>
        <v>#REF!</v>
      </c>
      <c r="H53" s="142" t="e">
        <f>_xlfn.IFNA(INDEX(#REF!,MATCH(Project[[#This Row],[Student No.]:[Student No.]], #REF!,0)),"")</f>
        <v>#REF!</v>
      </c>
      <c r="I53" s="142" t="e">
        <f>_xlfn.IFNA(INDEX(#REF!,MATCH(Project[[#This Row],[Student No.]:[Student No.]], #REF!,0)),"")</f>
        <v>#REF!</v>
      </c>
      <c r="J53" s="159" t="e">
        <f>SUM(Project[[#This Row],[Discretionary Mark]:[Mark from ratings]])</f>
        <v>#REF!</v>
      </c>
      <c r="K53" s="159" t="e">
        <f>_xlfn.IFNA(IF(INDEX(#REF!,MATCH(Project[[#This Row],[Student No.]:[Student No.]], #REF!,0))&gt;0,"Yes",""),"")</f>
        <v>#REF!</v>
      </c>
      <c r="L53" s="142" t="e">
        <f>_xlfn.IFNA(IF(INDEX(#REF!,MATCH(Project[[#This Row],[Student No.]:[Student No.]], #REF!,0))="Code contribution less than 35%","Yes",""),"")</f>
        <v>#REF!</v>
      </c>
      <c r="M53"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53" s="152"/>
      <c r="O53"/>
      <c r="P53"/>
      <c r="Q53"/>
    </row>
    <row r="54" spans="1:17">
      <c r="A54" s="139" t="s">
        <v>321</v>
      </c>
      <c r="B54" s="140" t="s">
        <v>497</v>
      </c>
      <c r="C54" s="141" t="str">
        <f>IF(ISNUMBER(Project[[#This Row],[Mark after capping]]),IF(Project[[#This Row],[Mark after capping]]&lt;0,0,IF(Project[[#This Row],[Mark after capping]]&gt;100,100,Project[[#This Row],[Mark after capping]]/$M$3*100)),"")</f>
        <v/>
      </c>
      <c r="D54" s="142" t="e">
        <f>_xlfn.IFNA(INDEX(#REF!,MATCH(Project[[#This Row],[Student No.]:[Student No.]], #REF!,0)),"")</f>
        <v>#REF!</v>
      </c>
      <c r="E54" s="142" t="e">
        <f>_xlfn.IFNA(INDEX(#REF!,MATCH(Project[[#This Row],[Student No.]], #REF!,0)),"")</f>
        <v>#REF!</v>
      </c>
      <c r="F54" s="142" t="e">
        <f>_xlfn.IFNA(INDEX(#REF!,MATCH(Project[[#This Row],[Student No.]], #REF!,0)),"")</f>
        <v>#REF!</v>
      </c>
      <c r="G54" s="142" t="e">
        <f>_xlfn.IFNA(INDEX(#REF!,MATCH(Project[[#This Row],[Student No.]:[Student No.]], #REF!,0)),"")</f>
        <v>#REF!</v>
      </c>
      <c r="H54" s="142" t="e">
        <f>_xlfn.IFNA(INDEX(#REF!,MATCH(Project[[#This Row],[Student No.]:[Student No.]], #REF!,0)),"")</f>
        <v>#REF!</v>
      </c>
      <c r="I54" s="142" t="e">
        <f>_xlfn.IFNA(INDEX(#REF!,MATCH(Project[[#This Row],[Student No.]:[Student No.]], #REF!,0)),"")</f>
        <v>#REF!</v>
      </c>
      <c r="J54" s="159" t="e">
        <f>SUM(Project[[#This Row],[Discretionary Mark]:[Mark from ratings]])</f>
        <v>#REF!</v>
      </c>
      <c r="K54" s="159" t="e">
        <f>_xlfn.IFNA(IF(INDEX(#REF!,MATCH(Project[[#This Row],[Student No.]:[Student No.]], #REF!,0))&gt;0,"Yes",""),"")</f>
        <v>#REF!</v>
      </c>
      <c r="L54" s="142" t="e">
        <f>_xlfn.IFNA(IF(INDEX(#REF!,MATCH(Project[[#This Row],[Student No.]:[Student No.]], #REF!,0))="Code contribution less than 35%","Yes",""),"")</f>
        <v>#REF!</v>
      </c>
      <c r="M54"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54" s="152"/>
      <c r="O54"/>
      <c r="P54"/>
      <c r="Q54"/>
    </row>
    <row r="55" spans="1:17">
      <c r="A55" s="139" t="s">
        <v>322</v>
      </c>
      <c r="B55" s="140" t="s">
        <v>498</v>
      </c>
      <c r="C55" s="141" t="str">
        <f>IF(ISNUMBER(Project[[#This Row],[Mark after capping]]),IF(Project[[#This Row],[Mark after capping]]&lt;0,0,IF(Project[[#This Row],[Mark after capping]]&gt;100,100,Project[[#This Row],[Mark after capping]]/$M$3*100)),"")</f>
        <v/>
      </c>
      <c r="D55" s="142" t="e">
        <f>_xlfn.IFNA(INDEX(#REF!,MATCH(Project[[#This Row],[Student No.]:[Student No.]], #REF!,0)),"")</f>
        <v>#REF!</v>
      </c>
      <c r="E55" s="142" t="e">
        <f>_xlfn.IFNA(INDEX(#REF!,MATCH(Project[[#This Row],[Student No.]], #REF!,0)),"")</f>
        <v>#REF!</v>
      </c>
      <c r="F55" s="142" t="e">
        <f>_xlfn.IFNA(INDEX(#REF!,MATCH(Project[[#This Row],[Student No.]], #REF!,0)),"")</f>
        <v>#REF!</v>
      </c>
      <c r="G55" s="142" t="e">
        <f>_xlfn.IFNA(INDEX(#REF!,MATCH(Project[[#This Row],[Student No.]:[Student No.]], #REF!,0)),"")</f>
        <v>#REF!</v>
      </c>
      <c r="H55" s="142" t="e">
        <f>_xlfn.IFNA(INDEX(#REF!,MATCH(Project[[#This Row],[Student No.]:[Student No.]], #REF!,0)),"")</f>
        <v>#REF!</v>
      </c>
      <c r="I55" s="142" t="e">
        <f>_xlfn.IFNA(INDEX(#REF!,MATCH(Project[[#This Row],[Student No.]:[Student No.]], #REF!,0)),"")</f>
        <v>#REF!</v>
      </c>
      <c r="J55" s="159" t="e">
        <f>SUM(Project[[#This Row],[Discretionary Mark]:[Mark from ratings]])</f>
        <v>#REF!</v>
      </c>
      <c r="K55" s="159" t="e">
        <f>_xlfn.IFNA(IF(INDEX(#REF!,MATCH(Project[[#This Row],[Student No.]:[Student No.]], #REF!,0))&gt;0,"Yes",""),"")</f>
        <v>#REF!</v>
      </c>
      <c r="L55" s="142" t="e">
        <f>_xlfn.IFNA(IF(INDEX(#REF!,MATCH(Project[[#This Row],[Student No.]:[Student No.]], #REF!,0))="Code contribution less than 35%","Yes",""),"")</f>
        <v>#REF!</v>
      </c>
      <c r="M55"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55" s="152"/>
      <c r="O55"/>
      <c r="P55"/>
      <c r="Q55"/>
    </row>
    <row r="56" spans="1:17">
      <c r="A56" s="139" t="s">
        <v>323</v>
      </c>
      <c r="B56" s="140" t="s">
        <v>499</v>
      </c>
      <c r="C56" s="141" t="str">
        <f>IF(ISNUMBER(Project[[#This Row],[Mark after capping]]),IF(Project[[#This Row],[Mark after capping]]&lt;0,0,IF(Project[[#This Row],[Mark after capping]]&gt;100,100,Project[[#This Row],[Mark after capping]]/$M$3*100)),"")</f>
        <v/>
      </c>
      <c r="D56" s="142" t="e">
        <f>_xlfn.IFNA(INDEX(#REF!,MATCH(Project[[#This Row],[Student No.]:[Student No.]], #REF!,0)),"")</f>
        <v>#REF!</v>
      </c>
      <c r="E56" s="142" t="e">
        <f>_xlfn.IFNA(INDEX(#REF!,MATCH(Project[[#This Row],[Student No.]], #REF!,0)),"")</f>
        <v>#REF!</v>
      </c>
      <c r="F56" s="142" t="e">
        <f>_xlfn.IFNA(INDEX(#REF!,MATCH(Project[[#This Row],[Student No.]], #REF!,0)),"")</f>
        <v>#REF!</v>
      </c>
      <c r="G56" s="142" t="e">
        <f>_xlfn.IFNA(INDEX(#REF!,MATCH(Project[[#This Row],[Student No.]:[Student No.]], #REF!,0)),"")</f>
        <v>#REF!</v>
      </c>
      <c r="H56" s="142" t="e">
        <f>_xlfn.IFNA(INDEX(#REF!,MATCH(Project[[#This Row],[Student No.]:[Student No.]], #REF!,0)),"")</f>
        <v>#REF!</v>
      </c>
      <c r="I56" s="142" t="e">
        <f>_xlfn.IFNA(INDEX(#REF!,MATCH(Project[[#This Row],[Student No.]:[Student No.]], #REF!,0)),"")</f>
        <v>#REF!</v>
      </c>
      <c r="J56" s="159" t="e">
        <f>SUM(Project[[#This Row],[Discretionary Mark]:[Mark from ratings]])</f>
        <v>#REF!</v>
      </c>
      <c r="K56" s="159" t="e">
        <f>_xlfn.IFNA(IF(INDEX(#REF!,MATCH(Project[[#This Row],[Student No.]:[Student No.]], #REF!,0))&gt;0,"Yes",""),"")</f>
        <v>#REF!</v>
      </c>
      <c r="L56" s="142" t="e">
        <f>_xlfn.IFNA(IF(INDEX(#REF!,MATCH(Project[[#This Row],[Student No.]:[Student No.]], #REF!,0))="Code contribution less than 35%","Yes",""),"")</f>
        <v>#REF!</v>
      </c>
      <c r="M56"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56" s="152"/>
      <c r="O56"/>
      <c r="P56"/>
      <c r="Q56"/>
    </row>
    <row r="57" spans="1:17">
      <c r="A57" s="139" t="s">
        <v>324</v>
      </c>
      <c r="B57" s="140" t="s">
        <v>500</v>
      </c>
      <c r="C57" s="141" t="str">
        <f>IF(ISNUMBER(Project[[#This Row],[Mark after capping]]),IF(Project[[#This Row],[Mark after capping]]&lt;0,0,IF(Project[[#This Row],[Mark after capping]]&gt;100,100,Project[[#This Row],[Mark after capping]]/$M$3*100)),"")</f>
        <v/>
      </c>
      <c r="D57" s="142" t="e">
        <f>_xlfn.IFNA(INDEX(#REF!,MATCH(Project[[#This Row],[Student No.]:[Student No.]], #REF!,0)),"")</f>
        <v>#REF!</v>
      </c>
      <c r="E57" s="142" t="e">
        <f>_xlfn.IFNA(INDEX(#REF!,MATCH(Project[[#This Row],[Student No.]], #REF!,0)),"")</f>
        <v>#REF!</v>
      </c>
      <c r="F57" s="142" t="e">
        <f>_xlfn.IFNA(INDEX(#REF!,MATCH(Project[[#This Row],[Student No.]], #REF!,0)),"")</f>
        <v>#REF!</v>
      </c>
      <c r="G57" s="142" t="e">
        <f>_xlfn.IFNA(INDEX(#REF!,MATCH(Project[[#This Row],[Student No.]:[Student No.]], #REF!,0)),"")</f>
        <v>#REF!</v>
      </c>
      <c r="H57" s="142" t="e">
        <f>_xlfn.IFNA(INDEX(#REF!,MATCH(Project[[#This Row],[Student No.]:[Student No.]], #REF!,0)),"")</f>
        <v>#REF!</v>
      </c>
      <c r="I57" s="142" t="e">
        <f>_xlfn.IFNA(INDEX(#REF!,MATCH(Project[[#This Row],[Student No.]:[Student No.]], #REF!,0)),"")</f>
        <v>#REF!</v>
      </c>
      <c r="J57" s="159" t="e">
        <f>SUM(Project[[#This Row],[Discretionary Mark]:[Mark from ratings]])</f>
        <v>#REF!</v>
      </c>
      <c r="K57" s="159" t="e">
        <f>_xlfn.IFNA(IF(INDEX(#REF!,MATCH(Project[[#This Row],[Student No.]:[Student No.]], #REF!,0))&gt;0,"Yes",""),"")</f>
        <v>#REF!</v>
      </c>
      <c r="L57" s="142" t="e">
        <f>_xlfn.IFNA(IF(INDEX(#REF!,MATCH(Project[[#This Row],[Student No.]:[Student No.]], #REF!,0))="Code contribution less than 35%","Yes",""),"")</f>
        <v>#REF!</v>
      </c>
      <c r="M57"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57" s="152"/>
      <c r="O57"/>
      <c r="P57"/>
      <c r="Q57"/>
    </row>
    <row r="58" spans="1:17">
      <c r="A58" s="139" t="s">
        <v>325</v>
      </c>
      <c r="B58" s="140" t="s">
        <v>501</v>
      </c>
      <c r="C58" s="141" t="str">
        <f>IF(ISNUMBER(Project[[#This Row],[Mark after capping]]),IF(Project[[#This Row],[Mark after capping]]&lt;0,0,IF(Project[[#This Row],[Mark after capping]]&gt;100,100,Project[[#This Row],[Mark after capping]]/$M$3*100)),"")</f>
        <v/>
      </c>
      <c r="D58" s="142" t="e">
        <f>_xlfn.IFNA(INDEX(#REF!,MATCH(Project[[#This Row],[Student No.]:[Student No.]], #REF!,0)),"")</f>
        <v>#REF!</v>
      </c>
      <c r="E58" s="142" t="e">
        <f>_xlfn.IFNA(INDEX(#REF!,MATCH(Project[[#This Row],[Student No.]], #REF!,0)),"")</f>
        <v>#REF!</v>
      </c>
      <c r="F58" s="142" t="e">
        <f>_xlfn.IFNA(INDEX(#REF!,MATCH(Project[[#This Row],[Student No.]], #REF!,0)),"")</f>
        <v>#REF!</v>
      </c>
      <c r="G58" s="142" t="e">
        <f>_xlfn.IFNA(INDEX(#REF!,MATCH(Project[[#This Row],[Student No.]:[Student No.]], #REF!,0)),"")</f>
        <v>#REF!</v>
      </c>
      <c r="H58" s="142" t="e">
        <f>_xlfn.IFNA(INDEX(#REF!,MATCH(Project[[#This Row],[Student No.]:[Student No.]], #REF!,0)),"")</f>
        <v>#REF!</v>
      </c>
      <c r="I58" s="142" t="e">
        <f>_xlfn.IFNA(INDEX(#REF!,MATCH(Project[[#This Row],[Student No.]:[Student No.]], #REF!,0)),"")</f>
        <v>#REF!</v>
      </c>
      <c r="J58" s="159" t="e">
        <f>SUM(Project[[#This Row],[Discretionary Mark]:[Mark from ratings]])</f>
        <v>#REF!</v>
      </c>
      <c r="K58" s="159" t="e">
        <f>_xlfn.IFNA(IF(INDEX(#REF!,MATCH(Project[[#This Row],[Student No.]:[Student No.]], #REF!,0))&gt;0,"Yes",""),"")</f>
        <v>#REF!</v>
      </c>
      <c r="L58" s="142" t="e">
        <f>_xlfn.IFNA(IF(INDEX(#REF!,MATCH(Project[[#This Row],[Student No.]:[Student No.]], #REF!,0))="Code contribution less than 35%","Yes",""),"")</f>
        <v>#REF!</v>
      </c>
      <c r="M58"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58" s="152"/>
      <c r="O58"/>
      <c r="P58"/>
      <c r="Q58"/>
    </row>
    <row r="59" spans="1:17">
      <c r="A59" s="139" t="s">
        <v>326</v>
      </c>
      <c r="B59" s="140" t="s">
        <v>502</v>
      </c>
      <c r="C59" s="141" t="str">
        <f>IF(ISNUMBER(Project[[#This Row],[Mark after capping]]),IF(Project[[#This Row],[Mark after capping]]&lt;0,0,IF(Project[[#This Row],[Mark after capping]]&gt;100,100,Project[[#This Row],[Mark after capping]]/$M$3*100)),"")</f>
        <v/>
      </c>
      <c r="D59" s="142" t="e">
        <f>_xlfn.IFNA(INDEX(#REF!,MATCH(Project[[#This Row],[Student No.]:[Student No.]], #REF!,0)),"")</f>
        <v>#REF!</v>
      </c>
      <c r="E59" s="142" t="e">
        <f>_xlfn.IFNA(INDEX(#REF!,MATCH(Project[[#This Row],[Student No.]], #REF!,0)),"")</f>
        <v>#REF!</v>
      </c>
      <c r="F59" s="142" t="e">
        <f>_xlfn.IFNA(INDEX(#REF!,MATCH(Project[[#This Row],[Student No.]], #REF!,0)),"")</f>
        <v>#REF!</v>
      </c>
      <c r="G59" s="142" t="e">
        <f>_xlfn.IFNA(INDEX(#REF!,MATCH(Project[[#This Row],[Student No.]:[Student No.]], #REF!,0)),"")</f>
        <v>#REF!</v>
      </c>
      <c r="H59" s="142" t="e">
        <f>_xlfn.IFNA(INDEX(#REF!,MATCH(Project[[#This Row],[Student No.]:[Student No.]], #REF!,0)),"")</f>
        <v>#REF!</v>
      </c>
      <c r="I59" s="142" t="e">
        <f>_xlfn.IFNA(INDEX(#REF!,MATCH(Project[[#This Row],[Student No.]:[Student No.]], #REF!,0)),"")</f>
        <v>#REF!</v>
      </c>
      <c r="J59" s="159" t="e">
        <f>SUM(Project[[#This Row],[Discretionary Mark]:[Mark from ratings]])</f>
        <v>#REF!</v>
      </c>
      <c r="K59" s="159" t="e">
        <f>_xlfn.IFNA(IF(INDEX(#REF!,MATCH(Project[[#This Row],[Student No.]:[Student No.]], #REF!,0))&gt;0,"Yes",""),"")</f>
        <v>#REF!</v>
      </c>
      <c r="L59" s="142" t="e">
        <f>_xlfn.IFNA(IF(INDEX(#REF!,MATCH(Project[[#This Row],[Student No.]:[Student No.]], #REF!,0))="Code contribution less than 35%","Yes",""),"")</f>
        <v>#REF!</v>
      </c>
      <c r="M59"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59" s="152"/>
      <c r="O59"/>
      <c r="P59"/>
      <c r="Q59"/>
    </row>
    <row r="60" spans="1:17">
      <c r="A60" s="139" t="s">
        <v>327</v>
      </c>
      <c r="B60" s="140" t="s">
        <v>503</v>
      </c>
      <c r="C60" s="141" t="str">
        <f>IF(ISNUMBER(Project[[#This Row],[Mark after capping]]),IF(Project[[#This Row],[Mark after capping]]&lt;0,0,IF(Project[[#This Row],[Mark after capping]]&gt;100,100,Project[[#This Row],[Mark after capping]]/$M$3*100)),"")</f>
        <v/>
      </c>
      <c r="D60" s="142" t="e">
        <f>_xlfn.IFNA(INDEX(#REF!,MATCH(Project[[#This Row],[Student No.]:[Student No.]], #REF!,0)),"")</f>
        <v>#REF!</v>
      </c>
      <c r="E60" s="142" t="e">
        <f>_xlfn.IFNA(INDEX(#REF!,MATCH(Project[[#This Row],[Student No.]], #REF!,0)),"")</f>
        <v>#REF!</v>
      </c>
      <c r="F60" s="142" t="e">
        <f>_xlfn.IFNA(INDEX(#REF!,MATCH(Project[[#This Row],[Student No.]], #REF!,0)),"")</f>
        <v>#REF!</v>
      </c>
      <c r="G60" s="142" t="e">
        <f>_xlfn.IFNA(INDEX(#REF!,MATCH(Project[[#This Row],[Student No.]:[Student No.]], #REF!,0)),"")</f>
        <v>#REF!</v>
      </c>
      <c r="H60" s="142" t="e">
        <f>_xlfn.IFNA(INDEX(#REF!,MATCH(Project[[#This Row],[Student No.]:[Student No.]], #REF!,0)),"")</f>
        <v>#REF!</v>
      </c>
      <c r="I60" s="142" t="e">
        <f>_xlfn.IFNA(INDEX(#REF!,MATCH(Project[[#This Row],[Student No.]:[Student No.]], #REF!,0)),"")</f>
        <v>#REF!</v>
      </c>
      <c r="J60" s="159" t="e">
        <f>SUM(Project[[#This Row],[Discretionary Mark]:[Mark from ratings]])</f>
        <v>#REF!</v>
      </c>
      <c r="K60" s="159" t="e">
        <f>_xlfn.IFNA(IF(INDEX(#REF!,MATCH(Project[[#This Row],[Student No.]:[Student No.]], #REF!,0))&gt;0,"Yes",""),"")</f>
        <v>#REF!</v>
      </c>
      <c r="L60" s="142" t="e">
        <f>_xlfn.IFNA(IF(INDEX(#REF!,MATCH(Project[[#This Row],[Student No.]:[Student No.]], #REF!,0))="Code contribution less than 35%","Yes",""),"")</f>
        <v>#REF!</v>
      </c>
      <c r="M60"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60" s="152"/>
      <c r="O60"/>
      <c r="P60"/>
      <c r="Q60"/>
    </row>
    <row r="61" spans="1:17">
      <c r="A61" s="139" t="s">
        <v>328</v>
      </c>
      <c r="B61" s="140" t="s">
        <v>504</v>
      </c>
      <c r="C61" s="141" t="str">
        <f>IF(ISNUMBER(Project[[#This Row],[Mark after capping]]),IF(Project[[#This Row],[Mark after capping]]&lt;0,0,IF(Project[[#This Row],[Mark after capping]]&gt;100,100,Project[[#This Row],[Mark after capping]]/$M$3*100)),"")</f>
        <v/>
      </c>
      <c r="D61" s="142" t="e">
        <f>_xlfn.IFNA(INDEX(#REF!,MATCH(Project[[#This Row],[Student No.]:[Student No.]], #REF!,0)),"")</f>
        <v>#REF!</v>
      </c>
      <c r="E61" s="142" t="e">
        <f>_xlfn.IFNA(INDEX(#REF!,MATCH(Project[[#This Row],[Student No.]], #REF!,0)),"")</f>
        <v>#REF!</v>
      </c>
      <c r="F61" s="142" t="e">
        <f>_xlfn.IFNA(INDEX(#REF!,MATCH(Project[[#This Row],[Student No.]], #REF!,0)),"")</f>
        <v>#REF!</v>
      </c>
      <c r="G61" s="142" t="e">
        <f>_xlfn.IFNA(INDEX(#REF!,MATCH(Project[[#This Row],[Student No.]:[Student No.]], #REF!,0)),"")</f>
        <v>#REF!</v>
      </c>
      <c r="H61" s="142" t="e">
        <f>_xlfn.IFNA(INDEX(#REF!,MATCH(Project[[#This Row],[Student No.]:[Student No.]], #REF!,0)),"")</f>
        <v>#REF!</v>
      </c>
      <c r="I61" s="142" t="e">
        <f>_xlfn.IFNA(INDEX(#REF!,MATCH(Project[[#This Row],[Student No.]:[Student No.]], #REF!,0)),"")</f>
        <v>#REF!</v>
      </c>
      <c r="J61" s="159" t="e">
        <f>SUM(Project[[#This Row],[Discretionary Mark]:[Mark from ratings]])</f>
        <v>#REF!</v>
      </c>
      <c r="K61" s="159" t="e">
        <f>_xlfn.IFNA(IF(INDEX(#REF!,MATCH(Project[[#This Row],[Student No.]:[Student No.]], #REF!,0))&gt;0,"Yes",""),"")</f>
        <v>#REF!</v>
      </c>
      <c r="L61" s="142" t="e">
        <f>_xlfn.IFNA(IF(INDEX(#REF!,MATCH(Project[[#This Row],[Student No.]:[Student No.]], #REF!,0))="Code contribution less than 35%","Yes",""),"")</f>
        <v>#REF!</v>
      </c>
      <c r="M61"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61" s="152"/>
      <c r="O61"/>
      <c r="P61"/>
      <c r="Q61"/>
    </row>
    <row r="62" spans="1:17">
      <c r="A62" s="139" t="s">
        <v>330</v>
      </c>
      <c r="B62" s="140" t="s">
        <v>505</v>
      </c>
      <c r="C62" s="141" t="str">
        <f>IF(ISNUMBER(Project[[#This Row],[Mark after capping]]),IF(Project[[#This Row],[Mark after capping]]&lt;0,0,IF(Project[[#This Row],[Mark after capping]]&gt;100,100,Project[[#This Row],[Mark after capping]]/$M$3*100)),"")</f>
        <v/>
      </c>
      <c r="D62" s="142" t="e">
        <f>_xlfn.IFNA(INDEX(#REF!,MATCH(Project[[#This Row],[Student No.]:[Student No.]], #REF!,0)),"")</f>
        <v>#REF!</v>
      </c>
      <c r="E62" s="142" t="e">
        <f>_xlfn.IFNA(INDEX(#REF!,MATCH(Project[[#This Row],[Student No.]], #REF!,0)),"")</f>
        <v>#REF!</v>
      </c>
      <c r="F62" s="142" t="e">
        <f>_xlfn.IFNA(INDEX(#REF!,MATCH(Project[[#This Row],[Student No.]], #REF!,0)),"")</f>
        <v>#REF!</v>
      </c>
      <c r="G62" s="142" t="e">
        <f>_xlfn.IFNA(INDEX(#REF!,MATCH(Project[[#This Row],[Student No.]:[Student No.]], #REF!,0)),"")</f>
        <v>#REF!</v>
      </c>
      <c r="H62" s="142" t="e">
        <f>_xlfn.IFNA(INDEX(#REF!,MATCH(Project[[#This Row],[Student No.]:[Student No.]], #REF!,0)),"")</f>
        <v>#REF!</v>
      </c>
      <c r="I62" s="142" t="e">
        <f>_xlfn.IFNA(INDEX(#REF!,MATCH(Project[[#This Row],[Student No.]:[Student No.]], #REF!,0)),"")</f>
        <v>#REF!</v>
      </c>
      <c r="J62" s="159" t="e">
        <f>SUM(Project[[#This Row],[Discretionary Mark]:[Mark from ratings]])</f>
        <v>#REF!</v>
      </c>
      <c r="K62" s="159" t="e">
        <f>_xlfn.IFNA(IF(INDEX(#REF!,MATCH(Project[[#This Row],[Student No.]:[Student No.]], #REF!,0))&gt;0,"Yes",""),"")</f>
        <v>#REF!</v>
      </c>
      <c r="L62" s="142" t="e">
        <f>_xlfn.IFNA(IF(INDEX(#REF!,MATCH(Project[[#This Row],[Student No.]:[Student No.]], #REF!,0))="Code contribution less than 35%","Yes",""),"")</f>
        <v>#REF!</v>
      </c>
      <c r="M62"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62" s="152"/>
      <c r="O62"/>
      <c r="P62"/>
      <c r="Q62"/>
    </row>
    <row r="63" spans="1:17">
      <c r="A63" s="139" t="s">
        <v>331</v>
      </c>
      <c r="B63" s="140" t="s">
        <v>506</v>
      </c>
      <c r="C63" s="141" t="str">
        <f>IF(ISNUMBER(Project[[#This Row],[Mark after capping]]),IF(Project[[#This Row],[Mark after capping]]&lt;0,0,IF(Project[[#This Row],[Mark after capping]]&gt;100,100,Project[[#This Row],[Mark after capping]]/$M$3*100)),"")</f>
        <v/>
      </c>
      <c r="D63" s="142" t="e">
        <f>_xlfn.IFNA(INDEX(#REF!,MATCH(Project[[#This Row],[Student No.]:[Student No.]], #REF!,0)),"")</f>
        <v>#REF!</v>
      </c>
      <c r="E63" s="142" t="e">
        <f>_xlfn.IFNA(INDEX(#REF!,MATCH(Project[[#This Row],[Student No.]], #REF!,0)),"")</f>
        <v>#REF!</v>
      </c>
      <c r="F63" s="142" t="e">
        <f>_xlfn.IFNA(INDEX(#REF!,MATCH(Project[[#This Row],[Student No.]], #REF!,0)),"")</f>
        <v>#REF!</v>
      </c>
      <c r="G63" s="142" t="e">
        <f>_xlfn.IFNA(INDEX(#REF!,MATCH(Project[[#This Row],[Student No.]:[Student No.]], #REF!,0)),"")</f>
        <v>#REF!</v>
      </c>
      <c r="H63" s="142" t="e">
        <f>_xlfn.IFNA(INDEX(#REF!,MATCH(Project[[#This Row],[Student No.]:[Student No.]], #REF!,0)),"")</f>
        <v>#REF!</v>
      </c>
      <c r="I63" s="142" t="e">
        <f>_xlfn.IFNA(INDEX(#REF!,MATCH(Project[[#This Row],[Student No.]:[Student No.]], #REF!,0)),"")</f>
        <v>#REF!</v>
      </c>
      <c r="J63" s="159" t="e">
        <f>SUM(Project[[#This Row],[Discretionary Mark]:[Mark from ratings]])</f>
        <v>#REF!</v>
      </c>
      <c r="K63" s="159" t="e">
        <f>_xlfn.IFNA(IF(INDEX(#REF!,MATCH(Project[[#This Row],[Student No.]:[Student No.]], #REF!,0))&gt;0,"Yes",""),"")</f>
        <v>#REF!</v>
      </c>
      <c r="L63" s="142" t="e">
        <f>_xlfn.IFNA(IF(INDEX(#REF!,MATCH(Project[[#This Row],[Student No.]:[Student No.]], #REF!,0))="Code contribution less than 35%","Yes",""),"")</f>
        <v>#REF!</v>
      </c>
      <c r="M63"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63" s="152"/>
      <c r="O63"/>
      <c r="P63"/>
      <c r="Q63"/>
    </row>
    <row r="64" spans="1:17">
      <c r="A64" s="139" t="s">
        <v>332</v>
      </c>
      <c r="B64" s="140" t="s">
        <v>507</v>
      </c>
      <c r="C64" s="141" t="str">
        <f>IF(ISNUMBER(Project[[#This Row],[Mark after capping]]),IF(Project[[#This Row],[Mark after capping]]&lt;0,0,IF(Project[[#This Row],[Mark after capping]]&gt;100,100,Project[[#This Row],[Mark after capping]]/$M$3*100)),"")</f>
        <v/>
      </c>
      <c r="D64" s="142" t="e">
        <f>_xlfn.IFNA(INDEX(#REF!,MATCH(Project[[#This Row],[Student No.]:[Student No.]], #REF!,0)),"")</f>
        <v>#REF!</v>
      </c>
      <c r="E64" s="142" t="e">
        <f>_xlfn.IFNA(INDEX(#REF!,MATCH(Project[[#This Row],[Student No.]], #REF!,0)),"")</f>
        <v>#REF!</v>
      </c>
      <c r="F64" s="142" t="e">
        <f>_xlfn.IFNA(INDEX(#REF!,MATCH(Project[[#This Row],[Student No.]], #REF!,0)),"")</f>
        <v>#REF!</v>
      </c>
      <c r="G64" s="142" t="e">
        <f>_xlfn.IFNA(INDEX(#REF!,MATCH(Project[[#This Row],[Student No.]:[Student No.]], #REF!,0)),"")</f>
        <v>#REF!</v>
      </c>
      <c r="H64" s="142" t="e">
        <f>_xlfn.IFNA(INDEX(#REF!,MATCH(Project[[#This Row],[Student No.]:[Student No.]], #REF!,0)),"")</f>
        <v>#REF!</v>
      </c>
      <c r="I64" s="142" t="e">
        <f>_xlfn.IFNA(INDEX(#REF!,MATCH(Project[[#This Row],[Student No.]:[Student No.]], #REF!,0)),"")</f>
        <v>#REF!</v>
      </c>
      <c r="J64" s="159" t="e">
        <f>SUM(Project[[#This Row],[Discretionary Mark]:[Mark from ratings]])</f>
        <v>#REF!</v>
      </c>
      <c r="K64" s="159" t="e">
        <f>_xlfn.IFNA(IF(INDEX(#REF!,MATCH(Project[[#This Row],[Student No.]:[Student No.]], #REF!,0))&gt;0,"Yes",""),"")</f>
        <v>#REF!</v>
      </c>
      <c r="L64" s="142" t="e">
        <f>_xlfn.IFNA(IF(INDEX(#REF!,MATCH(Project[[#This Row],[Student No.]:[Student No.]], #REF!,0))="Code contribution less than 35%","Yes",""),"")</f>
        <v>#REF!</v>
      </c>
      <c r="M64"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64" s="152"/>
      <c r="O64"/>
      <c r="P64"/>
      <c r="Q64"/>
    </row>
    <row r="65" spans="1:17">
      <c r="A65" s="139" t="s">
        <v>333</v>
      </c>
      <c r="B65" s="140" t="s">
        <v>508</v>
      </c>
      <c r="C65" s="141" t="str">
        <f>IF(ISNUMBER(Project[[#This Row],[Mark after capping]]),IF(Project[[#This Row],[Mark after capping]]&lt;0,0,IF(Project[[#This Row],[Mark after capping]]&gt;100,100,Project[[#This Row],[Mark after capping]]/$M$3*100)),"")</f>
        <v/>
      </c>
      <c r="D65" s="142">
        <v>15</v>
      </c>
      <c r="E65" s="142" t="e">
        <f>_xlfn.IFNA(INDEX(#REF!,MATCH(Project[[#This Row],[Student No.]], #REF!,0)),"")</f>
        <v>#REF!</v>
      </c>
      <c r="F65" s="142" t="e">
        <f>_xlfn.IFNA(INDEX(#REF!,MATCH(Project[[#This Row],[Student No.]], #REF!,0)),"")</f>
        <v>#REF!</v>
      </c>
      <c r="G65" s="142" t="e">
        <f>_xlfn.IFNA(INDEX(#REF!,MATCH(Project[[#This Row],[Student No.]:[Student No.]], #REF!,0)),"")</f>
        <v>#REF!</v>
      </c>
      <c r="H65" s="142" t="e">
        <f>_xlfn.IFNA(INDEX(#REF!,MATCH(Project[[#This Row],[Student No.]:[Student No.]], #REF!,0)),"")</f>
        <v>#REF!</v>
      </c>
      <c r="I65" s="142" t="e">
        <f>_xlfn.IFNA(INDEX(#REF!,MATCH(Project[[#This Row],[Student No.]:[Student No.]], #REF!,0)),"")</f>
        <v>#REF!</v>
      </c>
      <c r="J65" s="159" t="e">
        <f>SUM(Project[[#This Row],[Discretionary Mark]:[Mark from ratings]])</f>
        <v>#REF!</v>
      </c>
      <c r="K65" s="159" t="e">
        <f>_xlfn.IFNA(IF(INDEX(#REF!,MATCH(Project[[#This Row],[Student No.]:[Student No.]], #REF!,0))&gt;0,"Yes",""),"")</f>
        <v>#REF!</v>
      </c>
      <c r="L65" s="142" t="e">
        <f>_xlfn.IFNA(IF(INDEX(#REF!,MATCH(Project[[#This Row],[Student No.]:[Student No.]], #REF!,0))="Code contribution less than 35%","Yes",""),"")</f>
        <v>#REF!</v>
      </c>
      <c r="M65"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65" s="152" t="s">
        <v>910</v>
      </c>
      <c r="O65"/>
      <c r="P65"/>
      <c r="Q65"/>
    </row>
    <row r="66" spans="1:17">
      <c r="A66" s="139" t="s">
        <v>334</v>
      </c>
      <c r="B66" s="140" t="s">
        <v>509</v>
      </c>
      <c r="C66" s="141" t="str">
        <f>IF(ISNUMBER(Project[[#This Row],[Mark after capping]]),IF(Project[[#This Row],[Mark after capping]]&lt;0,0,IF(Project[[#This Row],[Mark after capping]]&gt;100,100,Project[[#This Row],[Mark after capping]]/$M$3*100)),"")</f>
        <v/>
      </c>
      <c r="D66" s="142" t="e">
        <f>_xlfn.IFNA(INDEX(#REF!,MATCH(Project[[#This Row],[Student No.]:[Student No.]], #REF!,0)),"")</f>
        <v>#REF!</v>
      </c>
      <c r="E66" s="142" t="e">
        <f>_xlfn.IFNA(INDEX(#REF!,MATCH(Project[[#This Row],[Student No.]], #REF!,0)),"")</f>
        <v>#REF!</v>
      </c>
      <c r="F66" s="142" t="e">
        <f>_xlfn.IFNA(INDEX(#REF!,MATCH(Project[[#This Row],[Student No.]], #REF!,0)),"")</f>
        <v>#REF!</v>
      </c>
      <c r="G66" s="142" t="e">
        <f>_xlfn.IFNA(INDEX(#REF!,MATCH(Project[[#This Row],[Student No.]:[Student No.]], #REF!,0)),"")</f>
        <v>#REF!</v>
      </c>
      <c r="H66" s="142" t="e">
        <f>_xlfn.IFNA(INDEX(#REF!,MATCH(Project[[#This Row],[Student No.]:[Student No.]], #REF!,0)),"")</f>
        <v>#REF!</v>
      </c>
      <c r="I66" s="142" t="e">
        <f>_xlfn.IFNA(INDEX(#REF!,MATCH(Project[[#This Row],[Student No.]:[Student No.]], #REF!,0)),"")</f>
        <v>#REF!</v>
      </c>
      <c r="J66" s="159" t="e">
        <f>SUM(Project[[#This Row],[Discretionary Mark]:[Mark from ratings]])</f>
        <v>#REF!</v>
      </c>
      <c r="K66" s="159" t="e">
        <f>_xlfn.IFNA(IF(INDEX(#REF!,MATCH(Project[[#This Row],[Student No.]:[Student No.]], #REF!,0))&gt;0,"Yes",""),"")</f>
        <v>#REF!</v>
      </c>
      <c r="L66" s="142" t="e">
        <f>_xlfn.IFNA(IF(INDEX(#REF!,MATCH(Project[[#This Row],[Student No.]:[Student No.]], #REF!,0))="Code contribution less than 35%","Yes",""),"")</f>
        <v>#REF!</v>
      </c>
      <c r="M66"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66" s="152"/>
      <c r="O66"/>
      <c r="P66"/>
      <c r="Q66"/>
    </row>
    <row r="67" spans="1:17">
      <c r="A67" s="139" t="s">
        <v>335</v>
      </c>
      <c r="B67" s="140" t="s">
        <v>510</v>
      </c>
      <c r="C67" s="141" t="str">
        <f>IF(ISNUMBER(Project[[#This Row],[Mark after capping]]),IF(Project[[#This Row],[Mark after capping]]&lt;0,0,IF(Project[[#This Row],[Mark after capping]]&gt;100,100,Project[[#This Row],[Mark after capping]]/$M$3*100)),"")</f>
        <v/>
      </c>
      <c r="D67" s="142" t="e">
        <f>_xlfn.IFNA(INDEX(#REF!,MATCH(Project[[#This Row],[Student No.]:[Student No.]], #REF!,0)),"")</f>
        <v>#REF!</v>
      </c>
      <c r="E67" s="142" t="e">
        <f>_xlfn.IFNA(INDEX(#REF!,MATCH(Project[[#This Row],[Student No.]], #REF!,0)),"")</f>
        <v>#REF!</v>
      </c>
      <c r="F67" s="142" t="e">
        <f>_xlfn.IFNA(INDEX(#REF!,MATCH(Project[[#This Row],[Student No.]], #REF!,0)),"")</f>
        <v>#REF!</v>
      </c>
      <c r="G67" s="142" t="e">
        <f>_xlfn.IFNA(INDEX(#REF!,MATCH(Project[[#This Row],[Student No.]:[Student No.]], #REF!,0)),"")</f>
        <v>#REF!</v>
      </c>
      <c r="H67" s="142" t="e">
        <f>_xlfn.IFNA(INDEX(#REF!,MATCH(Project[[#This Row],[Student No.]:[Student No.]], #REF!,0)),"")</f>
        <v>#REF!</v>
      </c>
      <c r="I67" s="142" t="e">
        <f>_xlfn.IFNA(INDEX(#REF!,MATCH(Project[[#This Row],[Student No.]:[Student No.]], #REF!,0)),"")</f>
        <v>#REF!</v>
      </c>
      <c r="J67" s="159" t="e">
        <f>SUM(Project[[#This Row],[Discretionary Mark]:[Mark from ratings]])</f>
        <v>#REF!</v>
      </c>
      <c r="K67" s="159" t="e">
        <f>_xlfn.IFNA(IF(INDEX(#REF!,MATCH(Project[[#This Row],[Student No.]:[Student No.]], #REF!,0))&gt;0,"Yes",""),"")</f>
        <v>#REF!</v>
      </c>
      <c r="L67" s="142" t="e">
        <f>_xlfn.IFNA(IF(INDEX(#REF!,MATCH(Project[[#This Row],[Student No.]:[Student No.]], #REF!,0))="Code contribution less than 35%","Yes",""),"")</f>
        <v>#REF!</v>
      </c>
      <c r="M67"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67" s="152"/>
      <c r="O67"/>
      <c r="P67"/>
      <c r="Q67"/>
    </row>
    <row r="68" spans="1:17">
      <c r="A68" s="139" t="s">
        <v>336</v>
      </c>
      <c r="B68" s="140" t="s">
        <v>511</v>
      </c>
      <c r="C68" s="141" t="str">
        <f>IF(ISNUMBER(Project[[#This Row],[Mark after capping]]),IF(Project[[#This Row],[Mark after capping]]&lt;0,0,IF(Project[[#This Row],[Mark after capping]]&gt;100,100,Project[[#This Row],[Mark after capping]]/$M$3*100)),"")</f>
        <v/>
      </c>
      <c r="D68" s="142" t="e">
        <f>_xlfn.IFNA(INDEX(#REF!,MATCH(Project[[#This Row],[Student No.]:[Student No.]], #REF!,0)),"")</f>
        <v>#REF!</v>
      </c>
      <c r="E68" s="142" t="e">
        <f>_xlfn.IFNA(INDEX(#REF!,MATCH(Project[[#This Row],[Student No.]], #REF!,0)),"")</f>
        <v>#REF!</v>
      </c>
      <c r="F68" s="142" t="e">
        <f>_xlfn.IFNA(INDEX(#REF!,MATCH(Project[[#This Row],[Student No.]], #REF!,0)),"")</f>
        <v>#REF!</v>
      </c>
      <c r="G68" s="142" t="e">
        <f>_xlfn.IFNA(INDEX(#REF!,MATCH(Project[[#This Row],[Student No.]:[Student No.]], #REF!,0)),"")</f>
        <v>#REF!</v>
      </c>
      <c r="H68" s="142" t="e">
        <f>_xlfn.IFNA(INDEX(#REF!,MATCH(Project[[#This Row],[Student No.]:[Student No.]], #REF!,0)),"")</f>
        <v>#REF!</v>
      </c>
      <c r="I68" s="142" t="e">
        <f>_xlfn.IFNA(INDEX(#REF!,MATCH(Project[[#This Row],[Student No.]:[Student No.]], #REF!,0)),"")</f>
        <v>#REF!</v>
      </c>
      <c r="J68" s="159" t="e">
        <f>SUM(Project[[#This Row],[Discretionary Mark]:[Mark from ratings]])</f>
        <v>#REF!</v>
      </c>
      <c r="K68" s="159" t="e">
        <f>_xlfn.IFNA(IF(INDEX(#REF!,MATCH(Project[[#This Row],[Student No.]:[Student No.]], #REF!,0))&gt;0,"Yes",""),"")</f>
        <v>#REF!</v>
      </c>
      <c r="L68" s="142" t="e">
        <f>_xlfn.IFNA(IF(INDEX(#REF!,MATCH(Project[[#This Row],[Student No.]:[Student No.]], #REF!,0))="Code contribution less than 35%","Yes",""),"")</f>
        <v>#REF!</v>
      </c>
      <c r="M68"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68" s="152"/>
      <c r="O68"/>
      <c r="P68"/>
      <c r="Q68"/>
    </row>
    <row r="69" spans="1:17">
      <c r="A69" s="139" t="s">
        <v>337</v>
      </c>
      <c r="B69" s="140" t="s">
        <v>512</v>
      </c>
      <c r="C69" s="141" t="str">
        <f>IF(ISNUMBER(Project[[#This Row],[Mark after capping]]),IF(Project[[#This Row],[Mark after capping]]&lt;0,0,IF(Project[[#This Row],[Mark after capping]]&gt;100,100,Project[[#This Row],[Mark after capping]]/$M$3*100)),"")</f>
        <v/>
      </c>
      <c r="D69" s="142" t="e">
        <f>_xlfn.IFNA(INDEX(#REF!,MATCH(Project[[#This Row],[Student No.]:[Student No.]], #REF!,0)),"")</f>
        <v>#REF!</v>
      </c>
      <c r="E69" s="142" t="e">
        <f>_xlfn.IFNA(INDEX(#REF!,MATCH(Project[[#This Row],[Student No.]], #REF!,0)),"")</f>
        <v>#REF!</v>
      </c>
      <c r="F69" s="142" t="e">
        <f>_xlfn.IFNA(INDEX(#REF!,MATCH(Project[[#This Row],[Student No.]], #REF!,0)),"")</f>
        <v>#REF!</v>
      </c>
      <c r="G69" s="142" t="e">
        <f>_xlfn.IFNA(INDEX(#REF!,MATCH(Project[[#This Row],[Student No.]:[Student No.]], #REF!,0)),"")</f>
        <v>#REF!</v>
      </c>
      <c r="H69" s="142" t="e">
        <f>_xlfn.IFNA(INDEX(#REF!,MATCH(Project[[#This Row],[Student No.]:[Student No.]], #REF!,0)),"")</f>
        <v>#REF!</v>
      </c>
      <c r="I69" s="142" t="e">
        <f>_xlfn.IFNA(INDEX(#REF!,MATCH(Project[[#This Row],[Student No.]:[Student No.]], #REF!,0)),"")</f>
        <v>#REF!</v>
      </c>
      <c r="J69" s="159" t="e">
        <f>SUM(Project[[#This Row],[Discretionary Mark]:[Mark from ratings]])</f>
        <v>#REF!</v>
      </c>
      <c r="K69" s="159" t="e">
        <f>_xlfn.IFNA(IF(INDEX(#REF!,MATCH(Project[[#This Row],[Student No.]:[Student No.]], #REF!,0))&gt;0,"Yes",""),"")</f>
        <v>#REF!</v>
      </c>
      <c r="L69" s="142" t="e">
        <f>_xlfn.IFNA(IF(INDEX(#REF!,MATCH(Project[[#This Row],[Student No.]:[Student No.]], #REF!,0))="Code contribution less than 35%","Yes",""),"")</f>
        <v>#REF!</v>
      </c>
      <c r="M69"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69" s="152"/>
      <c r="O69"/>
      <c r="P69"/>
      <c r="Q69"/>
    </row>
    <row r="70" spans="1:17">
      <c r="A70" s="139" t="s">
        <v>338</v>
      </c>
      <c r="B70" s="140" t="s">
        <v>513</v>
      </c>
      <c r="C70" s="141" t="str">
        <f>IF(ISNUMBER(Project[[#This Row],[Mark after capping]]),IF(Project[[#This Row],[Mark after capping]]&lt;0,0,IF(Project[[#This Row],[Mark after capping]]&gt;100,100,Project[[#This Row],[Mark after capping]]/$M$3*100)),"")</f>
        <v/>
      </c>
      <c r="D70" s="142" t="e">
        <f>_xlfn.IFNA(INDEX(#REF!,MATCH(Project[[#This Row],[Student No.]:[Student No.]], #REF!,0)),"")</f>
        <v>#REF!</v>
      </c>
      <c r="E70" s="142" t="e">
        <f>_xlfn.IFNA(INDEX(#REF!,MATCH(Project[[#This Row],[Student No.]], #REF!,0)),"")</f>
        <v>#REF!</v>
      </c>
      <c r="F70" s="142" t="e">
        <f>_xlfn.IFNA(INDEX(#REF!,MATCH(Project[[#This Row],[Student No.]], #REF!,0)),"")</f>
        <v>#REF!</v>
      </c>
      <c r="G70" s="142" t="e">
        <f>_xlfn.IFNA(INDEX(#REF!,MATCH(Project[[#This Row],[Student No.]:[Student No.]], #REF!,0)),"")</f>
        <v>#REF!</v>
      </c>
      <c r="H70" s="142" t="e">
        <f>_xlfn.IFNA(INDEX(#REF!,MATCH(Project[[#This Row],[Student No.]:[Student No.]], #REF!,0)),"")</f>
        <v>#REF!</v>
      </c>
      <c r="I70" s="142" t="e">
        <f>_xlfn.IFNA(INDEX(#REF!,MATCH(Project[[#This Row],[Student No.]:[Student No.]], #REF!,0)),"")</f>
        <v>#REF!</v>
      </c>
      <c r="J70" s="159" t="e">
        <f>SUM(Project[[#This Row],[Discretionary Mark]:[Mark from ratings]])</f>
        <v>#REF!</v>
      </c>
      <c r="K70" s="159" t="e">
        <f>_xlfn.IFNA(IF(INDEX(#REF!,MATCH(Project[[#This Row],[Student No.]:[Student No.]], #REF!,0))&gt;0,"Yes",""),"")</f>
        <v>#REF!</v>
      </c>
      <c r="L70" s="142" t="e">
        <f>_xlfn.IFNA(IF(INDEX(#REF!,MATCH(Project[[#This Row],[Student No.]:[Student No.]], #REF!,0))="Code contribution less than 35%","Yes",""),"")</f>
        <v>#REF!</v>
      </c>
      <c r="M70"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70" s="152"/>
      <c r="O70"/>
      <c r="P70"/>
      <c r="Q70"/>
    </row>
    <row r="71" spans="1:17">
      <c r="A71" s="139" t="s">
        <v>339</v>
      </c>
      <c r="B71" s="140" t="s">
        <v>514</v>
      </c>
      <c r="C71" s="141" t="str">
        <f>IF(ISNUMBER(Project[[#This Row],[Mark after capping]]),IF(Project[[#This Row],[Mark after capping]]&lt;0,0,IF(Project[[#This Row],[Mark after capping]]&gt;100,100,Project[[#This Row],[Mark after capping]]/$M$3*100)),"")</f>
        <v/>
      </c>
      <c r="D71" s="142" t="e">
        <f>_xlfn.IFNA(INDEX(#REF!,MATCH(Project[[#This Row],[Student No.]:[Student No.]], #REF!,0)),"")</f>
        <v>#REF!</v>
      </c>
      <c r="E71" s="142" t="e">
        <f>_xlfn.IFNA(INDEX(#REF!,MATCH(Project[[#This Row],[Student No.]], #REF!,0)),"")</f>
        <v>#REF!</v>
      </c>
      <c r="F71" s="142" t="e">
        <f>_xlfn.IFNA(INDEX(#REF!,MATCH(Project[[#This Row],[Student No.]], #REF!,0)),"")</f>
        <v>#REF!</v>
      </c>
      <c r="G71" s="142" t="e">
        <f>_xlfn.IFNA(INDEX(#REF!,MATCH(Project[[#This Row],[Student No.]:[Student No.]], #REF!,0)),"")</f>
        <v>#REF!</v>
      </c>
      <c r="H71" s="142" t="e">
        <f>_xlfn.IFNA(INDEX(#REF!,MATCH(Project[[#This Row],[Student No.]:[Student No.]], #REF!,0)),"")</f>
        <v>#REF!</v>
      </c>
      <c r="I71" s="142" t="e">
        <f>_xlfn.IFNA(INDEX(#REF!,MATCH(Project[[#This Row],[Student No.]:[Student No.]], #REF!,0)),"")</f>
        <v>#REF!</v>
      </c>
      <c r="J71" s="159" t="e">
        <f>SUM(Project[[#This Row],[Discretionary Mark]:[Mark from ratings]])</f>
        <v>#REF!</v>
      </c>
      <c r="K71" s="159" t="e">
        <f>_xlfn.IFNA(IF(INDEX(#REF!,MATCH(Project[[#This Row],[Student No.]:[Student No.]], #REF!,0))&gt;0,"Yes",""),"")</f>
        <v>#REF!</v>
      </c>
      <c r="L71" s="142" t="e">
        <f>_xlfn.IFNA(IF(INDEX(#REF!,MATCH(Project[[#This Row],[Student No.]:[Student No.]], #REF!,0))="Code contribution less than 35%","Yes",""),"")</f>
        <v>#REF!</v>
      </c>
      <c r="M71"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71" s="152"/>
      <c r="O71"/>
      <c r="P71"/>
      <c r="Q71"/>
    </row>
    <row r="72" spans="1:17">
      <c r="A72" s="139" t="s">
        <v>340</v>
      </c>
      <c r="B72" s="140" t="s">
        <v>515</v>
      </c>
      <c r="C72" s="141" t="str">
        <f>IF(ISNUMBER(Project[[#This Row],[Mark after capping]]),IF(Project[[#This Row],[Mark after capping]]&lt;0,0,IF(Project[[#This Row],[Mark after capping]]&gt;100,100,Project[[#This Row],[Mark after capping]]/$M$3*100)),"")</f>
        <v/>
      </c>
      <c r="D72" s="142" t="e">
        <f>_xlfn.IFNA(INDEX(#REF!,MATCH(Project[[#This Row],[Student No.]:[Student No.]], #REF!,0)),"")</f>
        <v>#REF!</v>
      </c>
      <c r="E72" s="142" t="e">
        <f>_xlfn.IFNA(INDEX(#REF!,MATCH(Project[[#This Row],[Student No.]], #REF!,0)),"")</f>
        <v>#REF!</v>
      </c>
      <c r="F72" s="142" t="e">
        <f>_xlfn.IFNA(INDEX(#REF!,MATCH(Project[[#This Row],[Student No.]], #REF!,0)),"")</f>
        <v>#REF!</v>
      </c>
      <c r="G72" s="142" t="e">
        <f>_xlfn.IFNA(INDEX(#REF!,MATCH(Project[[#This Row],[Student No.]:[Student No.]], #REF!,0)),"")</f>
        <v>#REF!</v>
      </c>
      <c r="H72" s="142" t="e">
        <f>_xlfn.IFNA(INDEX(#REF!,MATCH(Project[[#This Row],[Student No.]:[Student No.]], #REF!,0)),"")</f>
        <v>#REF!</v>
      </c>
      <c r="I72" s="142" t="e">
        <f>_xlfn.IFNA(INDEX(#REF!,MATCH(Project[[#This Row],[Student No.]:[Student No.]], #REF!,0)),"")</f>
        <v>#REF!</v>
      </c>
      <c r="J72" s="159" t="e">
        <f>SUM(Project[[#This Row],[Discretionary Mark]:[Mark from ratings]])</f>
        <v>#REF!</v>
      </c>
      <c r="K72" s="159" t="e">
        <f>_xlfn.IFNA(IF(INDEX(#REF!,MATCH(Project[[#This Row],[Student No.]:[Student No.]], #REF!,0))&gt;0,"Yes",""),"")</f>
        <v>#REF!</v>
      </c>
      <c r="L72" s="142" t="e">
        <f>_xlfn.IFNA(IF(INDEX(#REF!,MATCH(Project[[#This Row],[Student No.]:[Student No.]], #REF!,0))="Code contribution less than 35%","Yes",""),"")</f>
        <v>#REF!</v>
      </c>
      <c r="M72"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72" s="152"/>
      <c r="O72"/>
      <c r="P72"/>
      <c r="Q72"/>
    </row>
    <row r="73" spans="1:17">
      <c r="A73" s="139" t="s">
        <v>341</v>
      </c>
      <c r="B73" s="140" t="s">
        <v>516</v>
      </c>
      <c r="C73" s="141" t="str">
        <f>IF(ISNUMBER(Project[[#This Row],[Mark after capping]]),IF(Project[[#This Row],[Mark after capping]]&lt;0,0,IF(Project[[#This Row],[Mark after capping]]&gt;100,100,Project[[#This Row],[Mark after capping]]/$M$3*100)),"")</f>
        <v/>
      </c>
      <c r="D73" s="142" t="e">
        <f>_xlfn.IFNA(INDEX(#REF!,MATCH(Project[[#This Row],[Student No.]:[Student No.]], #REF!,0)),"")</f>
        <v>#REF!</v>
      </c>
      <c r="E73" s="142" t="e">
        <f>_xlfn.IFNA(INDEX(#REF!,MATCH(Project[[#This Row],[Student No.]], #REF!,0)),"")</f>
        <v>#REF!</v>
      </c>
      <c r="F73" s="142" t="e">
        <f>_xlfn.IFNA(INDEX(#REF!,MATCH(Project[[#This Row],[Student No.]], #REF!,0)),"")</f>
        <v>#REF!</v>
      </c>
      <c r="G73" s="142" t="e">
        <f>_xlfn.IFNA(INDEX(#REF!,MATCH(Project[[#This Row],[Student No.]:[Student No.]], #REF!,0)),"")</f>
        <v>#REF!</v>
      </c>
      <c r="H73" s="142" t="e">
        <f>_xlfn.IFNA(INDEX(#REF!,MATCH(Project[[#This Row],[Student No.]:[Student No.]], #REF!,0)),"")</f>
        <v>#REF!</v>
      </c>
      <c r="I73" s="142" t="e">
        <f>_xlfn.IFNA(INDEX(#REF!,MATCH(Project[[#This Row],[Student No.]:[Student No.]], #REF!,0)),"")</f>
        <v>#REF!</v>
      </c>
      <c r="J73" s="159" t="e">
        <f>SUM(Project[[#This Row],[Discretionary Mark]:[Mark from ratings]])</f>
        <v>#REF!</v>
      </c>
      <c r="K73" s="159" t="e">
        <f>_xlfn.IFNA(IF(INDEX(#REF!,MATCH(Project[[#This Row],[Student No.]:[Student No.]], #REF!,0))&gt;0,"Yes",""),"")</f>
        <v>#REF!</v>
      </c>
      <c r="L73" s="142" t="e">
        <f>_xlfn.IFNA(IF(INDEX(#REF!,MATCH(Project[[#This Row],[Student No.]:[Student No.]], #REF!,0))="Code contribution less than 35%","Yes",""),"")</f>
        <v>#REF!</v>
      </c>
      <c r="M73"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73" s="152"/>
      <c r="O73"/>
      <c r="P73"/>
      <c r="Q73"/>
    </row>
    <row r="74" spans="1:17">
      <c r="A74" s="139" t="s">
        <v>342</v>
      </c>
      <c r="B74" s="140" t="s">
        <v>517</v>
      </c>
      <c r="C74" s="141" t="str">
        <f>IF(ISNUMBER(Project[[#This Row],[Mark after capping]]),IF(Project[[#This Row],[Mark after capping]]&lt;0,0,IF(Project[[#This Row],[Mark after capping]]&gt;100,100,Project[[#This Row],[Mark after capping]]/$M$3*100)),"")</f>
        <v/>
      </c>
      <c r="D74" s="142" t="e">
        <f>_xlfn.IFNA(INDEX(#REF!,MATCH(Project[[#This Row],[Student No.]:[Student No.]], #REF!,0)),"")</f>
        <v>#REF!</v>
      </c>
      <c r="E74" s="142" t="e">
        <f>_xlfn.IFNA(INDEX(#REF!,MATCH(Project[[#This Row],[Student No.]], #REF!,0)),"")</f>
        <v>#REF!</v>
      </c>
      <c r="F74" s="142" t="e">
        <f>_xlfn.IFNA(INDEX(#REF!,MATCH(Project[[#This Row],[Student No.]], #REF!,0)),"")</f>
        <v>#REF!</v>
      </c>
      <c r="G74" s="142" t="e">
        <f>_xlfn.IFNA(INDEX(#REF!,MATCH(Project[[#This Row],[Student No.]:[Student No.]], #REF!,0)),"")</f>
        <v>#REF!</v>
      </c>
      <c r="H74" s="142" t="e">
        <f>_xlfn.IFNA(INDEX(#REF!,MATCH(Project[[#This Row],[Student No.]:[Student No.]], #REF!,0)),"")</f>
        <v>#REF!</v>
      </c>
      <c r="I74" s="142" t="e">
        <f>_xlfn.IFNA(INDEX(#REF!,MATCH(Project[[#This Row],[Student No.]:[Student No.]], #REF!,0)),"")</f>
        <v>#REF!</v>
      </c>
      <c r="J74" s="159" t="e">
        <f>SUM(Project[[#This Row],[Discretionary Mark]:[Mark from ratings]])</f>
        <v>#REF!</v>
      </c>
      <c r="K74" s="159" t="e">
        <f>_xlfn.IFNA(IF(INDEX(#REF!,MATCH(Project[[#This Row],[Student No.]:[Student No.]], #REF!,0))&gt;0,"Yes",""),"")</f>
        <v>#REF!</v>
      </c>
      <c r="L74" s="142" t="e">
        <f>_xlfn.IFNA(IF(INDEX(#REF!,MATCH(Project[[#This Row],[Student No.]:[Student No.]], #REF!,0))="Code contribution less than 35%","Yes",""),"")</f>
        <v>#REF!</v>
      </c>
      <c r="M74"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74" s="152"/>
      <c r="O74"/>
      <c r="P74"/>
      <c r="Q74"/>
    </row>
    <row r="75" spans="1:17">
      <c r="A75" s="139" t="s">
        <v>343</v>
      </c>
      <c r="B75" s="140" t="s">
        <v>518</v>
      </c>
      <c r="C75" s="141" t="str">
        <f>IF(ISNUMBER(Project[[#This Row],[Mark after capping]]),IF(Project[[#This Row],[Mark after capping]]&lt;0,0,IF(Project[[#This Row],[Mark after capping]]&gt;100,100,Project[[#This Row],[Mark after capping]]/$M$3*100)),"")</f>
        <v/>
      </c>
      <c r="D75" s="142" t="e">
        <f>_xlfn.IFNA(INDEX(#REF!,MATCH(Project[[#This Row],[Student No.]:[Student No.]], #REF!,0)),"")</f>
        <v>#REF!</v>
      </c>
      <c r="E75" s="142" t="e">
        <f>_xlfn.IFNA(INDEX(#REF!,MATCH(Project[[#This Row],[Student No.]], #REF!,0)),"")</f>
        <v>#REF!</v>
      </c>
      <c r="F75" s="142" t="e">
        <f>_xlfn.IFNA(INDEX(#REF!,MATCH(Project[[#This Row],[Student No.]], #REF!,0)),"")</f>
        <v>#REF!</v>
      </c>
      <c r="G75" s="142" t="e">
        <f>_xlfn.IFNA(INDEX(#REF!,MATCH(Project[[#This Row],[Student No.]:[Student No.]], #REF!,0)),"")</f>
        <v>#REF!</v>
      </c>
      <c r="H75" s="142" t="e">
        <f>_xlfn.IFNA(INDEX(#REF!,MATCH(Project[[#This Row],[Student No.]:[Student No.]], #REF!,0)),"")</f>
        <v>#REF!</v>
      </c>
      <c r="I75" s="142" t="e">
        <f>_xlfn.IFNA(INDEX(#REF!,MATCH(Project[[#This Row],[Student No.]:[Student No.]], #REF!,0)),"")</f>
        <v>#REF!</v>
      </c>
      <c r="J75" s="159" t="e">
        <f>SUM(Project[[#This Row],[Discretionary Mark]:[Mark from ratings]])</f>
        <v>#REF!</v>
      </c>
      <c r="K75" s="159" t="e">
        <f>_xlfn.IFNA(IF(INDEX(#REF!,MATCH(Project[[#This Row],[Student No.]:[Student No.]], #REF!,0))&gt;0,"Yes",""),"")</f>
        <v>#REF!</v>
      </c>
      <c r="L75" s="142" t="e">
        <f>_xlfn.IFNA(IF(INDEX(#REF!,MATCH(Project[[#This Row],[Student No.]:[Student No.]], #REF!,0))="Code contribution less than 35%","Yes",""),"")</f>
        <v>#REF!</v>
      </c>
      <c r="M75"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75" s="152"/>
      <c r="O75"/>
      <c r="P75"/>
      <c r="Q75"/>
    </row>
    <row r="76" spans="1:17">
      <c r="A76" s="139" t="s">
        <v>344</v>
      </c>
      <c r="B76" s="140" t="s">
        <v>519</v>
      </c>
      <c r="C76" s="141" t="str">
        <f>IF(ISNUMBER(Project[[#This Row],[Mark after capping]]),IF(Project[[#This Row],[Mark after capping]]&lt;0,0,IF(Project[[#This Row],[Mark after capping]]&gt;100,100,Project[[#This Row],[Mark after capping]]/$M$3*100)),"")</f>
        <v/>
      </c>
      <c r="D76" s="142" t="e">
        <f>_xlfn.IFNA(INDEX(#REF!,MATCH(Project[[#This Row],[Student No.]:[Student No.]], #REF!,0)),"")</f>
        <v>#REF!</v>
      </c>
      <c r="E76" s="142" t="e">
        <f>_xlfn.IFNA(INDEX(#REF!,MATCH(Project[[#This Row],[Student No.]], #REF!,0)),"")</f>
        <v>#REF!</v>
      </c>
      <c r="F76" s="142" t="e">
        <f>_xlfn.IFNA(INDEX(#REF!,MATCH(Project[[#This Row],[Student No.]], #REF!,0)),"")</f>
        <v>#REF!</v>
      </c>
      <c r="G76" s="142" t="e">
        <f>_xlfn.IFNA(INDEX(#REF!,MATCH(Project[[#This Row],[Student No.]:[Student No.]], #REF!,0)),"")</f>
        <v>#REF!</v>
      </c>
      <c r="H76" s="142" t="e">
        <f>_xlfn.IFNA(INDEX(#REF!,MATCH(Project[[#This Row],[Student No.]:[Student No.]], #REF!,0)),"")</f>
        <v>#REF!</v>
      </c>
      <c r="I76" s="142" t="e">
        <f>_xlfn.IFNA(INDEX(#REF!,MATCH(Project[[#This Row],[Student No.]:[Student No.]], #REF!,0)),"")</f>
        <v>#REF!</v>
      </c>
      <c r="J76" s="159" t="e">
        <f>SUM(Project[[#This Row],[Discretionary Mark]:[Mark from ratings]])</f>
        <v>#REF!</v>
      </c>
      <c r="K76" s="159" t="e">
        <f>_xlfn.IFNA(IF(INDEX(#REF!,MATCH(Project[[#This Row],[Student No.]:[Student No.]], #REF!,0))&gt;0,"Yes",""),"")</f>
        <v>#REF!</v>
      </c>
      <c r="L76" s="142" t="e">
        <f>_xlfn.IFNA(IF(INDEX(#REF!,MATCH(Project[[#This Row],[Student No.]:[Student No.]], #REF!,0))="Code contribution less than 35%","Yes",""),"")</f>
        <v>#REF!</v>
      </c>
      <c r="M76"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76" s="152"/>
      <c r="O76"/>
      <c r="P76"/>
      <c r="Q76"/>
    </row>
    <row r="77" spans="1:17">
      <c r="A77" s="139" t="s">
        <v>345</v>
      </c>
      <c r="B77" s="140" t="s">
        <v>520</v>
      </c>
      <c r="C77" s="141" t="str">
        <f>IF(ISNUMBER(Project[[#This Row],[Mark after capping]]),IF(Project[[#This Row],[Mark after capping]]&lt;0,0,IF(Project[[#This Row],[Mark after capping]]&gt;100,100,Project[[#This Row],[Mark after capping]]/$M$3*100)),"")</f>
        <v/>
      </c>
      <c r="D77" s="142" t="e">
        <f>_xlfn.IFNA(INDEX(#REF!,MATCH(Project[[#This Row],[Student No.]:[Student No.]], #REF!,0)),"")</f>
        <v>#REF!</v>
      </c>
      <c r="E77" s="142" t="e">
        <f>_xlfn.IFNA(INDEX(#REF!,MATCH(Project[[#This Row],[Student No.]], #REF!,0)),"")</f>
        <v>#REF!</v>
      </c>
      <c r="F77" s="142" t="e">
        <f>_xlfn.IFNA(INDEX(#REF!,MATCH(Project[[#This Row],[Student No.]], #REF!,0)),"")</f>
        <v>#REF!</v>
      </c>
      <c r="G77" s="142" t="e">
        <f>_xlfn.IFNA(INDEX(#REF!,MATCH(Project[[#This Row],[Student No.]:[Student No.]], #REF!,0)),"")</f>
        <v>#REF!</v>
      </c>
      <c r="H77" s="142" t="e">
        <f>_xlfn.IFNA(INDEX(#REF!,MATCH(Project[[#This Row],[Student No.]:[Student No.]], #REF!,0)),"")</f>
        <v>#REF!</v>
      </c>
      <c r="I77" s="142" t="e">
        <f>_xlfn.IFNA(INDEX(#REF!,MATCH(Project[[#This Row],[Student No.]:[Student No.]], #REF!,0)),"")</f>
        <v>#REF!</v>
      </c>
      <c r="J77" s="159" t="e">
        <f>SUM(Project[[#This Row],[Discretionary Mark]:[Mark from ratings]])</f>
        <v>#REF!</v>
      </c>
      <c r="K77" s="159" t="e">
        <f>_xlfn.IFNA(IF(INDEX(#REF!,MATCH(Project[[#This Row],[Student No.]:[Student No.]], #REF!,0))&gt;0,"Yes",""),"")</f>
        <v>#REF!</v>
      </c>
      <c r="L77" s="142" t="e">
        <f>_xlfn.IFNA(IF(INDEX(#REF!,MATCH(Project[[#This Row],[Student No.]:[Student No.]], #REF!,0))="Code contribution less than 35%","Yes",""),"")</f>
        <v>#REF!</v>
      </c>
      <c r="M77"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77" s="152"/>
      <c r="O77"/>
      <c r="P77"/>
      <c r="Q77"/>
    </row>
    <row r="78" spans="1:17">
      <c r="A78" s="139" t="s">
        <v>346</v>
      </c>
      <c r="B78" s="140" t="s">
        <v>521</v>
      </c>
      <c r="C78" s="141" t="str">
        <f>IF(ISNUMBER(Project[[#This Row],[Mark after capping]]),IF(Project[[#This Row],[Mark after capping]]&lt;0,0,IF(Project[[#This Row],[Mark after capping]]&gt;100,100,Project[[#This Row],[Mark after capping]]/$M$3*100)),"")</f>
        <v/>
      </c>
      <c r="D78" s="142" t="e">
        <f>_xlfn.IFNA(INDEX(#REF!,MATCH(Project[[#This Row],[Student No.]:[Student No.]], #REF!,0)),"")</f>
        <v>#REF!</v>
      </c>
      <c r="E78" s="142" t="e">
        <f>_xlfn.IFNA(INDEX(#REF!,MATCH(Project[[#This Row],[Student No.]], #REF!,0)),"")</f>
        <v>#REF!</v>
      </c>
      <c r="F78" s="142" t="e">
        <f>_xlfn.IFNA(INDEX(#REF!,MATCH(Project[[#This Row],[Student No.]], #REF!,0)),"")</f>
        <v>#REF!</v>
      </c>
      <c r="G78" s="142" t="e">
        <f>_xlfn.IFNA(INDEX(#REF!,MATCH(Project[[#This Row],[Student No.]:[Student No.]], #REF!,0)),"")</f>
        <v>#REF!</v>
      </c>
      <c r="H78" s="142" t="e">
        <f>_xlfn.IFNA(INDEX(#REF!,MATCH(Project[[#This Row],[Student No.]:[Student No.]], #REF!,0)),"")</f>
        <v>#REF!</v>
      </c>
      <c r="I78" s="142" t="e">
        <f>_xlfn.IFNA(INDEX(#REF!,MATCH(Project[[#This Row],[Student No.]:[Student No.]], #REF!,0)),"")</f>
        <v>#REF!</v>
      </c>
      <c r="J78" s="159" t="e">
        <f>SUM(Project[[#This Row],[Discretionary Mark]:[Mark from ratings]])</f>
        <v>#REF!</v>
      </c>
      <c r="K78" s="159" t="e">
        <f>_xlfn.IFNA(IF(INDEX(#REF!,MATCH(Project[[#This Row],[Student No.]:[Student No.]], #REF!,0))&gt;0,"Yes",""),"")</f>
        <v>#REF!</v>
      </c>
      <c r="L78" s="142" t="e">
        <f>_xlfn.IFNA(IF(INDEX(#REF!,MATCH(Project[[#This Row],[Student No.]:[Student No.]], #REF!,0))="Code contribution less than 35%","Yes",""),"")</f>
        <v>#REF!</v>
      </c>
      <c r="M78"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78" s="152"/>
      <c r="O78"/>
      <c r="P78"/>
      <c r="Q78"/>
    </row>
    <row r="79" spans="1:17">
      <c r="A79" s="139" t="s">
        <v>347</v>
      </c>
      <c r="B79" s="140" t="s">
        <v>522</v>
      </c>
      <c r="C79" s="141" t="str">
        <f>IF(ISNUMBER(Project[[#This Row],[Mark after capping]]),IF(Project[[#This Row],[Mark after capping]]&lt;0,0,IF(Project[[#This Row],[Mark after capping]]&gt;100,100,Project[[#This Row],[Mark after capping]]/$M$3*100)),"")</f>
        <v/>
      </c>
      <c r="D79" s="142" t="e">
        <f>_xlfn.IFNA(INDEX(#REF!,MATCH(Project[[#This Row],[Student No.]:[Student No.]], #REF!,0)),"")</f>
        <v>#REF!</v>
      </c>
      <c r="E79" s="142" t="e">
        <f>_xlfn.IFNA(INDEX(#REF!,MATCH(Project[[#This Row],[Student No.]], #REF!,0)),"")</f>
        <v>#REF!</v>
      </c>
      <c r="F79" s="142" t="e">
        <f>_xlfn.IFNA(INDEX(#REF!,MATCH(Project[[#This Row],[Student No.]], #REF!,0)),"")</f>
        <v>#REF!</v>
      </c>
      <c r="G79" s="142" t="e">
        <f>_xlfn.IFNA(INDEX(#REF!,MATCH(Project[[#This Row],[Student No.]:[Student No.]], #REF!,0)),"")</f>
        <v>#REF!</v>
      </c>
      <c r="H79" s="142" t="e">
        <f>_xlfn.IFNA(INDEX(#REF!,MATCH(Project[[#This Row],[Student No.]:[Student No.]], #REF!,0)),"")</f>
        <v>#REF!</v>
      </c>
      <c r="I79" s="142" t="e">
        <f>_xlfn.IFNA(INDEX(#REF!,MATCH(Project[[#This Row],[Student No.]:[Student No.]], #REF!,0)),"")</f>
        <v>#REF!</v>
      </c>
      <c r="J79" s="159" t="e">
        <f>SUM(Project[[#This Row],[Discretionary Mark]:[Mark from ratings]])</f>
        <v>#REF!</v>
      </c>
      <c r="K79" s="159" t="e">
        <f>_xlfn.IFNA(IF(INDEX(#REF!,MATCH(Project[[#This Row],[Student No.]:[Student No.]], #REF!,0))&gt;0,"Yes",""),"")</f>
        <v>#REF!</v>
      </c>
      <c r="L79" s="142" t="e">
        <f>_xlfn.IFNA(IF(INDEX(#REF!,MATCH(Project[[#This Row],[Student No.]:[Student No.]], #REF!,0))="Code contribution less than 35%","Yes",""),"")</f>
        <v>#REF!</v>
      </c>
      <c r="M79"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79" s="152"/>
      <c r="O79"/>
      <c r="P79"/>
      <c r="Q79"/>
    </row>
    <row r="80" spans="1:17">
      <c r="A80" s="139" t="s">
        <v>348</v>
      </c>
      <c r="B80" s="140" t="s">
        <v>523</v>
      </c>
      <c r="C80" s="141" t="str">
        <f>IF(ISNUMBER(Project[[#This Row],[Mark after capping]]),IF(Project[[#This Row],[Mark after capping]]&lt;0,0,IF(Project[[#This Row],[Mark after capping]]&gt;100,100,Project[[#This Row],[Mark after capping]]/$M$3*100)),"")</f>
        <v/>
      </c>
      <c r="D80" s="142" t="e">
        <f>_xlfn.IFNA(INDEX(#REF!,MATCH(Project[[#This Row],[Student No.]:[Student No.]], #REF!,0)),"")</f>
        <v>#REF!</v>
      </c>
      <c r="E80" s="142" t="e">
        <f>_xlfn.IFNA(INDEX(#REF!,MATCH(Project[[#This Row],[Student No.]], #REF!,0)),"")</f>
        <v>#REF!</v>
      </c>
      <c r="F80" s="142" t="e">
        <f>_xlfn.IFNA(INDEX(#REF!,MATCH(Project[[#This Row],[Student No.]], #REF!,0)),"")</f>
        <v>#REF!</v>
      </c>
      <c r="G80" s="142" t="e">
        <f>_xlfn.IFNA(INDEX(#REF!,MATCH(Project[[#This Row],[Student No.]:[Student No.]], #REF!,0)),"")</f>
        <v>#REF!</v>
      </c>
      <c r="H80" s="142" t="e">
        <f>_xlfn.IFNA(INDEX(#REF!,MATCH(Project[[#This Row],[Student No.]:[Student No.]], #REF!,0)),"")</f>
        <v>#REF!</v>
      </c>
      <c r="I80" s="142" t="e">
        <f>_xlfn.IFNA(INDEX(#REF!,MATCH(Project[[#This Row],[Student No.]:[Student No.]], #REF!,0)),"")</f>
        <v>#REF!</v>
      </c>
      <c r="J80" s="159" t="e">
        <f>SUM(Project[[#This Row],[Discretionary Mark]:[Mark from ratings]])</f>
        <v>#REF!</v>
      </c>
      <c r="K80" s="159" t="e">
        <f>_xlfn.IFNA(IF(INDEX(#REF!,MATCH(Project[[#This Row],[Student No.]:[Student No.]], #REF!,0))&gt;0,"Yes",""),"")</f>
        <v>#REF!</v>
      </c>
      <c r="L80" s="142" t="e">
        <f>_xlfn.IFNA(IF(INDEX(#REF!,MATCH(Project[[#This Row],[Student No.]:[Student No.]], #REF!,0))="Code contribution less than 35%","Yes",""),"")</f>
        <v>#REF!</v>
      </c>
      <c r="M80"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80" s="152"/>
      <c r="O80"/>
      <c r="P80"/>
      <c r="Q80"/>
    </row>
    <row r="81" spans="1:17">
      <c r="A81" s="139" t="s">
        <v>349</v>
      </c>
      <c r="B81" s="140" t="s">
        <v>524</v>
      </c>
      <c r="C81" s="141" t="str">
        <f>IF(ISNUMBER(Project[[#This Row],[Mark after capping]]),IF(Project[[#This Row],[Mark after capping]]&lt;0,0,IF(Project[[#This Row],[Mark after capping]]&gt;100,100,Project[[#This Row],[Mark after capping]]/$M$3*100)),"")</f>
        <v/>
      </c>
      <c r="D81" s="142" t="e">
        <f>_xlfn.IFNA(INDEX(#REF!,MATCH(Project[[#This Row],[Student No.]:[Student No.]], #REF!,0)),"")</f>
        <v>#REF!</v>
      </c>
      <c r="E81" s="142" t="e">
        <f>_xlfn.IFNA(INDEX(#REF!,MATCH(Project[[#This Row],[Student No.]], #REF!,0)),"")</f>
        <v>#REF!</v>
      </c>
      <c r="F81" s="142" t="e">
        <f>_xlfn.IFNA(INDEX(#REF!,MATCH(Project[[#This Row],[Student No.]], #REF!,0)),"")</f>
        <v>#REF!</v>
      </c>
      <c r="G81" s="142" t="e">
        <f>_xlfn.IFNA(INDEX(#REF!,MATCH(Project[[#This Row],[Student No.]:[Student No.]], #REF!,0)),"")</f>
        <v>#REF!</v>
      </c>
      <c r="H81" s="142" t="e">
        <f>_xlfn.IFNA(INDEX(#REF!,MATCH(Project[[#This Row],[Student No.]:[Student No.]], #REF!,0)),"")</f>
        <v>#REF!</v>
      </c>
      <c r="I81" s="142" t="e">
        <f>_xlfn.IFNA(INDEX(#REF!,MATCH(Project[[#This Row],[Student No.]:[Student No.]], #REF!,0)),"")</f>
        <v>#REF!</v>
      </c>
      <c r="J81" s="159" t="e">
        <f>SUM(Project[[#This Row],[Discretionary Mark]:[Mark from ratings]])</f>
        <v>#REF!</v>
      </c>
      <c r="K81" s="159" t="e">
        <f>_xlfn.IFNA(IF(INDEX(#REF!,MATCH(Project[[#This Row],[Student No.]:[Student No.]], #REF!,0))&gt;0,"Yes",""),"")</f>
        <v>#REF!</v>
      </c>
      <c r="L81" s="142" t="e">
        <f>_xlfn.IFNA(IF(INDEX(#REF!,MATCH(Project[[#This Row],[Student No.]:[Student No.]], #REF!,0))="Code contribution less than 35%","Yes",""),"")</f>
        <v>#REF!</v>
      </c>
      <c r="M81"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81" s="152"/>
      <c r="O81"/>
      <c r="P81"/>
      <c r="Q81"/>
    </row>
    <row r="82" spans="1:17">
      <c r="A82" s="139" t="s">
        <v>351</v>
      </c>
      <c r="B82" s="140" t="s">
        <v>525</v>
      </c>
      <c r="C82" s="141" t="str">
        <f>IF(ISNUMBER(Project[[#This Row],[Mark after capping]]),IF(Project[[#This Row],[Mark after capping]]&lt;0,0,IF(Project[[#This Row],[Mark after capping]]&gt;100,100,Project[[#This Row],[Mark after capping]]/$M$3*100)),"")</f>
        <v/>
      </c>
      <c r="D82" s="142" t="e">
        <f>_xlfn.IFNA(INDEX(#REF!,MATCH(Project[[#This Row],[Student No.]:[Student No.]], #REF!,0)),"")</f>
        <v>#REF!</v>
      </c>
      <c r="E82" s="142" t="e">
        <f>_xlfn.IFNA(INDEX(#REF!,MATCH(Project[[#This Row],[Student No.]], #REF!,0)),"")</f>
        <v>#REF!</v>
      </c>
      <c r="F82" s="142" t="e">
        <f>_xlfn.IFNA(INDEX(#REF!,MATCH(Project[[#This Row],[Student No.]], #REF!,0)),"")</f>
        <v>#REF!</v>
      </c>
      <c r="G82" s="142" t="e">
        <f>_xlfn.IFNA(INDEX(#REF!,MATCH(Project[[#This Row],[Student No.]:[Student No.]], #REF!,0)),"")</f>
        <v>#REF!</v>
      </c>
      <c r="H82" s="142" t="e">
        <f>_xlfn.IFNA(INDEX(#REF!,MATCH(Project[[#This Row],[Student No.]:[Student No.]], #REF!,0)),"")</f>
        <v>#REF!</v>
      </c>
      <c r="I82" s="142" t="e">
        <f>_xlfn.IFNA(INDEX(#REF!,MATCH(Project[[#This Row],[Student No.]:[Student No.]], #REF!,0)),"")</f>
        <v>#REF!</v>
      </c>
      <c r="J82" s="159" t="e">
        <f>SUM(Project[[#This Row],[Discretionary Mark]:[Mark from ratings]])</f>
        <v>#REF!</v>
      </c>
      <c r="K82" s="159" t="e">
        <f>_xlfn.IFNA(IF(INDEX(#REF!,MATCH(Project[[#This Row],[Student No.]:[Student No.]], #REF!,0))&gt;0,"Yes",""),"")</f>
        <v>#REF!</v>
      </c>
      <c r="L82" s="142" t="e">
        <f>_xlfn.IFNA(IF(INDEX(#REF!,MATCH(Project[[#This Row],[Student No.]:[Student No.]], #REF!,0))="Code contribution less than 35%","Yes",""),"")</f>
        <v>#REF!</v>
      </c>
      <c r="M82"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82" s="152"/>
      <c r="O82"/>
      <c r="P82"/>
      <c r="Q82"/>
    </row>
    <row r="83" spans="1:17">
      <c r="A83" s="139" t="s">
        <v>352</v>
      </c>
      <c r="B83" s="140" t="s">
        <v>526</v>
      </c>
      <c r="C83" s="141" t="str">
        <f>IF(ISNUMBER(Project[[#This Row],[Mark after capping]]),IF(Project[[#This Row],[Mark after capping]]&lt;0,0,IF(Project[[#This Row],[Mark after capping]]&gt;100,100,Project[[#This Row],[Mark after capping]]/$M$3*100)),"")</f>
        <v/>
      </c>
      <c r="D83" s="142" t="e">
        <f>_xlfn.IFNA(INDEX(#REF!,MATCH(Project[[#This Row],[Student No.]:[Student No.]], #REF!,0)),"")</f>
        <v>#REF!</v>
      </c>
      <c r="E83" s="142" t="e">
        <f>_xlfn.IFNA(INDEX(#REF!,MATCH(Project[[#This Row],[Student No.]], #REF!,0)),"")</f>
        <v>#REF!</v>
      </c>
      <c r="F83" s="142" t="e">
        <f>_xlfn.IFNA(INDEX(#REF!,MATCH(Project[[#This Row],[Student No.]], #REF!,0)),"")</f>
        <v>#REF!</v>
      </c>
      <c r="G83" s="142" t="e">
        <f>_xlfn.IFNA(INDEX(#REF!,MATCH(Project[[#This Row],[Student No.]:[Student No.]], #REF!,0)),"")</f>
        <v>#REF!</v>
      </c>
      <c r="H83" s="142" t="e">
        <f>_xlfn.IFNA(INDEX(#REF!,MATCH(Project[[#This Row],[Student No.]:[Student No.]], #REF!,0)),"")</f>
        <v>#REF!</v>
      </c>
      <c r="I83" s="142" t="e">
        <f>_xlfn.IFNA(INDEX(#REF!,MATCH(Project[[#This Row],[Student No.]:[Student No.]], #REF!,0)),"")</f>
        <v>#REF!</v>
      </c>
      <c r="J83" s="159" t="e">
        <f>SUM(Project[[#This Row],[Discretionary Mark]:[Mark from ratings]])</f>
        <v>#REF!</v>
      </c>
      <c r="K83" s="159" t="e">
        <f>_xlfn.IFNA(IF(INDEX(#REF!,MATCH(Project[[#This Row],[Student No.]:[Student No.]], #REF!,0))&gt;0,"Yes",""),"")</f>
        <v>#REF!</v>
      </c>
      <c r="L83" s="142" t="e">
        <f>_xlfn.IFNA(IF(INDEX(#REF!,MATCH(Project[[#This Row],[Student No.]:[Student No.]], #REF!,0))="Code contribution less than 35%","Yes",""),"")</f>
        <v>#REF!</v>
      </c>
      <c r="M83"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83" s="152"/>
      <c r="O83"/>
      <c r="P83"/>
      <c r="Q83"/>
    </row>
    <row r="84" spans="1:17">
      <c r="A84" s="139" t="s">
        <v>353</v>
      </c>
      <c r="B84" s="140" t="s">
        <v>527</v>
      </c>
      <c r="C84" s="141" t="str">
        <f>IF(ISNUMBER(Project[[#This Row],[Mark after capping]]),IF(Project[[#This Row],[Mark after capping]]&lt;0,0,IF(Project[[#This Row],[Mark after capping]]&gt;100,100,Project[[#This Row],[Mark after capping]]/$M$3*100)),"")</f>
        <v/>
      </c>
      <c r="D84" s="142" t="e">
        <f>_xlfn.IFNA(INDEX(#REF!,MATCH(Project[[#This Row],[Student No.]:[Student No.]], #REF!,0)),"")</f>
        <v>#REF!</v>
      </c>
      <c r="E84" s="142" t="e">
        <f>_xlfn.IFNA(INDEX(#REF!,MATCH(Project[[#This Row],[Student No.]], #REF!,0)),"")</f>
        <v>#REF!</v>
      </c>
      <c r="F84" s="142" t="e">
        <f>_xlfn.IFNA(INDEX(#REF!,MATCH(Project[[#This Row],[Student No.]], #REF!,0)),"")</f>
        <v>#REF!</v>
      </c>
      <c r="G84" s="142" t="e">
        <f>_xlfn.IFNA(INDEX(#REF!,MATCH(Project[[#This Row],[Student No.]:[Student No.]], #REF!,0)),"")</f>
        <v>#REF!</v>
      </c>
      <c r="H84" s="142" t="e">
        <f>_xlfn.IFNA(INDEX(#REF!,MATCH(Project[[#This Row],[Student No.]:[Student No.]], #REF!,0)),"")</f>
        <v>#REF!</v>
      </c>
      <c r="I84" s="142" t="e">
        <f>_xlfn.IFNA(INDEX(#REF!,MATCH(Project[[#This Row],[Student No.]:[Student No.]], #REF!,0)),"")</f>
        <v>#REF!</v>
      </c>
      <c r="J84" s="159" t="e">
        <f>SUM(Project[[#This Row],[Discretionary Mark]:[Mark from ratings]])</f>
        <v>#REF!</v>
      </c>
      <c r="K84" s="159" t="e">
        <f>_xlfn.IFNA(IF(INDEX(#REF!,MATCH(Project[[#This Row],[Student No.]:[Student No.]], #REF!,0))&gt;0,"Yes",""),"")</f>
        <v>#REF!</v>
      </c>
      <c r="L84" s="142" t="e">
        <f>_xlfn.IFNA(IF(INDEX(#REF!,MATCH(Project[[#This Row],[Student No.]:[Student No.]], #REF!,0))="Code contribution less than 35%","Yes",""),"")</f>
        <v>#REF!</v>
      </c>
      <c r="M84"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84" s="152"/>
      <c r="O84"/>
      <c r="P84"/>
      <c r="Q84"/>
    </row>
    <row r="85" spans="1:17">
      <c r="A85" s="139" t="s">
        <v>354</v>
      </c>
      <c r="B85" s="140" t="s">
        <v>528</v>
      </c>
      <c r="C85" s="141" t="str">
        <f>IF(ISNUMBER(Project[[#This Row],[Mark after capping]]),IF(Project[[#This Row],[Mark after capping]]&lt;0,0,IF(Project[[#This Row],[Mark after capping]]&gt;100,100,Project[[#This Row],[Mark after capping]]/$M$3*100)),"")</f>
        <v/>
      </c>
      <c r="D85" s="142" t="e">
        <f>_xlfn.IFNA(INDEX(#REF!,MATCH(Project[[#This Row],[Student No.]:[Student No.]], #REF!,0)),"")</f>
        <v>#REF!</v>
      </c>
      <c r="E85" s="142" t="e">
        <f>_xlfn.IFNA(INDEX(#REF!,MATCH(Project[[#This Row],[Student No.]], #REF!,0)),"")</f>
        <v>#REF!</v>
      </c>
      <c r="F85" s="142" t="e">
        <f>_xlfn.IFNA(INDEX(#REF!,MATCH(Project[[#This Row],[Student No.]], #REF!,0)),"")</f>
        <v>#REF!</v>
      </c>
      <c r="G85" s="142" t="e">
        <f>_xlfn.IFNA(INDEX(#REF!,MATCH(Project[[#This Row],[Student No.]:[Student No.]], #REF!,0)),"")</f>
        <v>#REF!</v>
      </c>
      <c r="H85" s="142" t="e">
        <f>_xlfn.IFNA(INDEX(#REF!,MATCH(Project[[#This Row],[Student No.]:[Student No.]], #REF!,0)),"")</f>
        <v>#REF!</v>
      </c>
      <c r="I85" s="142" t="e">
        <f>_xlfn.IFNA(INDEX(#REF!,MATCH(Project[[#This Row],[Student No.]:[Student No.]], #REF!,0)),"")</f>
        <v>#REF!</v>
      </c>
      <c r="J85" s="159" t="e">
        <f>SUM(Project[[#This Row],[Discretionary Mark]:[Mark from ratings]])</f>
        <v>#REF!</v>
      </c>
      <c r="K85" s="159" t="e">
        <f>_xlfn.IFNA(IF(INDEX(#REF!,MATCH(Project[[#This Row],[Student No.]:[Student No.]], #REF!,0))&gt;0,"Yes",""),"")</f>
        <v>#REF!</v>
      </c>
      <c r="L85" s="142" t="e">
        <f>_xlfn.IFNA(IF(INDEX(#REF!,MATCH(Project[[#This Row],[Student No.]:[Student No.]], #REF!,0))="Code contribution less than 35%","Yes",""),"")</f>
        <v>#REF!</v>
      </c>
      <c r="M85"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85" s="152"/>
      <c r="O85"/>
      <c r="P85"/>
      <c r="Q85"/>
    </row>
    <row r="86" spans="1:17">
      <c r="A86" s="139" t="s">
        <v>355</v>
      </c>
      <c r="B86" s="140" t="s">
        <v>529</v>
      </c>
      <c r="C86" s="141" t="str">
        <f>IF(ISNUMBER(Project[[#This Row],[Mark after capping]]),IF(Project[[#This Row],[Mark after capping]]&lt;0,0,IF(Project[[#This Row],[Mark after capping]]&gt;100,100,Project[[#This Row],[Mark after capping]]/$M$3*100)),"")</f>
        <v/>
      </c>
      <c r="D86" s="142" t="e">
        <f>_xlfn.IFNA(INDEX(#REF!,MATCH(Project[[#This Row],[Student No.]:[Student No.]], #REF!,0)),"")</f>
        <v>#REF!</v>
      </c>
      <c r="E86" s="142" t="e">
        <f>_xlfn.IFNA(INDEX(#REF!,MATCH(Project[[#This Row],[Student No.]], #REF!,0)),"")</f>
        <v>#REF!</v>
      </c>
      <c r="F86" s="142" t="e">
        <f>_xlfn.IFNA(INDEX(#REF!,MATCH(Project[[#This Row],[Student No.]], #REF!,0)),"")</f>
        <v>#REF!</v>
      </c>
      <c r="G86" s="142" t="e">
        <f>_xlfn.IFNA(INDEX(#REF!,MATCH(Project[[#This Row],[Student No.]:[Student No.]], #REF!,0)),"")</f>
        <v>#REF!</v>
      </c>
      <c r="H86" s="142" t="e">
        <f>_xlfn.IFNA(INDEX(#REF!,MATCH(Project[[#This Row],[Student No.]:[Student No.]], #REF!,0)),"")</f>
        <v>#REF!</v>
      </c>
      <c r="I86" s="142" t="e">
        <f>_xlfn.IFNA(INDEX(#REF!,MATCH(Project[[#This Row],[Student No.]:[Student No.]], #REF!,0)),"")</f>
        <v>#REF!</v>
      </c>
      <c r="J86" s="159" t="e">
        <f>SUM(Project[[#This Row],[Discretionary Mark]:[Mark from ratings]])</f>
        <v>#REF!</v>
      </c>
      <c r="K86" s="159" t="e">
        <f>_xlfn.IFNA(IF(INDEX(#REF!,MATCH(Project[[#This Row],[Student No.]:[Student No.]], #REF!,0))&gt;0,"Yes",""),"")</f>
        <v>#REF!</v>
      </c>
      <c r="L86" s="142" t="e">
        <f>_xlfn.IFNA(IF(INDEX(#REF!,MATCH(Project[[#This Row],[Student No.]:[Student No.]], #REF!,0))="Code contribution less than 35%","Yes",""),"")</f>
        <v>#REF!</v>
      </c>
      <c r="M86"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86" s="152"/>
      <c r="O86"/>
      <c r="P86"/>
      <c r="Q86"/>
    </row>
    <row r="87" spans="1:17">
      <c r="A87" s="139" t="s">
        <v>356</v>
      </c>
      <c r="B87" s="140" t="s">
        <v>530</v>
      </c>
      <c r="C87" s="141" t="str">
        <f>IF(ISNUMBER(Project[[#This Row],[Mark after capping]]),IF(Project[[#This Row],[Mark after capping]]&lt;0,0,IF(Project[[#This Row],[Mark after capping]]&gt;100,100,Project[[#This Row],[Mark after capping]]/$M$3*100)),"")</f>
        <v/>
      </c>
      <c r="D87" s="142" t="e">
        <f>_xlfn.IFNA(INDEX(#REF!,MATCH(Project[[#This Row],[Student No.]:[Student No.]], #REF!,0)),"")</f>
        <v>#REF!</v>
      </c>
      <c r="E87" s="142" t="e">
        <f>_xlfn.IFNA(INDEX(#REF!,MATCH(Project[[#This Row],[Student No.]], #REF!,0)),"")</f>
        <v>#REF!</v>
      </c>
      <c r="F87" s="142" t="e">
        <f>_xlfn.IFNA(INDEX(#REF!,MATCH(Project[[#This Row],[Student No.]], #REF!,0)),"")</f>
        <v>#REF!</v>
      </c>
      <c r="G87" s="142" t="e">
        <f>_xlfn.IFNA(INDEX(#REF!,MATCH(Project[[#This Row],[Student No.]:[Student No.]], #REF!,0)),"")</f>
        <v>#REF!</v>
      </c>
      <c r="H87" s="142" t="e">
        <f>_xlfn.IFNA(INDEX(#REF!,MATCH(Project[[#This Row],[Student No.]:[Student No.]], #REF!,0)),"")</f>
        <v>#REF!</v>
      </c>
      <c r="I87" s="142" t="e">
        <f>_xlfn.IFNA(INDEX(#REF!,MATCH(Project[[#This Row],[Student No.]:[Student No.]], #REF!,0)),"")</f>
        <v>#REF!</v>
      </c>
      <c r="J87" s="159" t="e">
        <f>SUM(Project[[#This Row],[Discretionary Mark]:[Mark from ratings]])</f>
        <v>#REF!</v>
      </c>
      <c r="K87" s="159" t="e">
        <f>_xlfn.IFNA(IF(INDEX(#REF!,MATCH(Project[[#This Row],[Student No.]:[Student No.]], #REF!,0))&gt;0,"Yes",""),"")</f>
        <v>#REF!</v>
      </c>
      <c r="L87" s="142" t="e">
        <f>_xlfn.IFNA(IF(INDEX(#REF!,MATCH(Project[[#This Row],[Student No.]:[Student No.]], #REF!,0))="Code contribution less than 35%","Yes",""),"")</f>
        <v>#REF!</v>
      </c>
      <c r="M87"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87" s="152"/>
      <c r="O87"/>
      <c r="P87"/>
      <c r="Q87"/>
    </row>
    <row r="88" spans="1:17">
      <c r="A88" s="139" t="s">
        <v>357</v>
      </c>
      <c r="B88" s="140" t="s">
        <v>531</v>
      </c>
      <c r="C88" s="141" t="str">
        <f>IF(ISNUMBER(Project[[#This Row],[Mark after capping]]),IF(Project[[#This Row],[Mark after capping]]&lt;0,0,IF(Project[[#This Row],[Mark after capping]]&gt;100,100,Project[[#This Row],[Mark after capping]]/$M$3*100)),"")</f>
        <v/>
      </c>
      <c r="D88" s="142" t="e">
        <f>_xlfn.IFNA(INDEX(#REF!,MATCH(Project[[#This Row],[Student No.]:[Student No.]], #REF!,0)),"")</f>
        <v>#REF!</v>
      </c>
      <c r="E88" s="142" t="e">
        <f>_xlfn.IFNA(INDEX(#REF!,MATCH(Project[[#This Row],[Student No.]], #REF!,0)),"")</f>
        <v>#REF!</v>
      </c>
      <c r="F88" s="142" t="e">
        <f>_xlfn.IFNA(INDEX(#REF!,MATCH(Project[[#This Row],[Student No.]], #REF!,0)),"")</f>
        <v>#REF!</v>
      </c>
      <c r="G88" s="142" t="e">
        <f>_xlfn.IFNA(INDEX(#REF!,MATCH(Project[[#This Row],[Student No.]:[Student No.]], #REF!,0)),"")</f>
        <v>#REF!</v>
      </c>
      <c r="H88" s="142" t="e">
        <f>_xlfn.IFNA(INDEX(#REF!,MATCH(Project[[#This Row],[Student No.]:[Student No.]], #REF!,0)),"")</f>
        <v>#REF!</v>
      </c>
      <c r="I88" s="142" t="e">
        <f>_xlfn.IFNA(INDEX(#REF!,MATCH(Project[[#This Row],[Student No.]:[Student No.]], #REF!,0)),"")</f>
        <v>#REF!</v>
      </c>
      <c r="J88" s="159" t="e">
        <f>SUM(Project[[#This Row],[Discretionary Mark]:[Mark from ratings]])</f>
        <v>#REF!</v>
      </c>
      <c r="K88" s="159" t="e">
        <f>_xlfn.IFNA(IF(INDEX(#REF!,MATCH(Project[[#This Row],[Student No.]:[Student No.]], #REF!,0))&gt;0,"Yes",""),"")</f>
        <v>#REF!</v>
      </c>
      <c r="L88" s="142" t="e">
        <f>_xlfn.IFNA(IF(INDEX(#REF!,MATCH(Project[[#This Row],[Student No.]:[Student No.]], #REF!,0))="Code contribution less than 35%","Yes",""),"")</f>
        <v>#REF!</v>
      </c>
      <c r="M88"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88" s="152"/>
      <c r="O88"/>
      <c r="P88"/>
      <c r="Q88"/>
    </row>
    <row r="89" spans="1:17">
      <c r="A89" s="139" t="s">
        <v>358</v>
      </c>
      <c r="B89" s="140" t="s">
        <v>532</v>
      </c>
      <c r="C89" s="141" t="str">
        <f>IF(ISNUMBER(Project[[#This Row],[Mark after capping]]),IF(Project[[#This Row],[Mark after capping]]&lt;0,0,IF(Project[[#This Row],[Mark after capping]]&gt;100,100,Project[[#This Row],[Mark after capping]]/$M$3*100)),"")</f>
        <v/>
      </c>
      <c r="D89" s="142" t="e">
        <f>_xlfn.IFNA(INDEX(#REF!,MATCH(Project[[#This Row],[Student No.]:[Student No.]], #REF!,0)),"")</f>
        <v>#REF!</v>
      </c>
      <c r="E89" s="142" t="e">
        <f>_xlfn.IFNA(INDEX(#REF!,MATCH(Project[[#This Row],[Student No.]], #REF!,0)),"")</f>
        <v>#REF!</v>
      </c>
      <c r="F89" s="142" t="e">
        <f>_xlfn.IFNA(INDEX(#REF!,MATCH(Project[[#This Row],[Student No.]], #REF!,0)),"")</f>
        <v>#REF!</v>
      </c>
      <c r="G89" s="142" t="e">
        <f>_xlfn.IFNA(INDEX(#REF!,MATCH(Project[[#This Row],[Student No.]:[Student No.]], #REF!,0)),"")</f>
        <v>#REF!</v>
      </c>
      <c r="H89" s="142" t="e">
        <f>_xlfn.IFNA(INDEX(#REF!,MATCH(Project[[#This Row],[Student No.]:[Student No.]], #REF!,0)),"")</f>
        <v>#REF!</v>
      </c>
      <c r="I89" s="142" t="e">
        <f>_xlfn.IFNA(INDEX(#REF!,MATCH(Project[[#This Row],[Student No.]:[Student No.]], #REF!,0)),"")</f>
        <v>#REF!</v>
      </c>
      <c r="J89" s="159" t="e">
        <f>SUM(Project[[#This Row],[Discretionary Mark]:[Mark from ratings]])</f>
        <v>#REF!</v>
      </c>
      <c r="K89" s="159" t="e">
        <f>_xlfn.IFNA(IF(INDEX(#REF!,MATCH(Project[[#This Row],[Student No.]:[Student No.]], #REF!,0))&gt;0,"Yes",""),"")</f>
        <v>#REF!</v>
      </c>
      <c r="L89" s="142" t="e">
        <f>_xlfn.IFNA(IF(INDEX(#REF!,MATCH(Project[[#This Row],[Student No.]:[Student No.]], #REF!,0))="Code contribution less than 35%","Yes",""),"")</f>
        <v>#REF!</v>
      </c>
      <c r="M89"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89" s="152"/>
      <c r="O89"/>
      <c r="P89"/>
      <c r="Q89"/>
    </row>
    <row r="90" spans="1:17">
      <c r="A90" s="139" t="s">
        <v>359</v>
      </c>
      <c r="B90" s="140" t="s">
        <v>533</v>
      </c>
      <c r="C90" s="141" t="str">
        <f>IF(ISNUMBER(Project[[#This Row],[Mark after capping]]),IF(Project[[#This Row],[Mark after capping]]&lt;0,0,IF(Project[[#This Row],[Mark after capping]]&gt;100,100,Project[[#This Row],[Mark after capping]]/$M$3*100)),"")</f>
        <v/>
      </c>
      <c r="D90" s="142" t="e">
        <f>_xlfn.IFNA(INDEX(#REF!,MATCH(Project[[#This Row],[Student No.]:[Student No.]], #REF!,0)),"")</f>
        <v>#REF!</v>
      </c>
      <c r="E90" s="142" t="e">
        <f>_xlfn.IFNA(INDEX(#REF!,MATCH(Project[[#This Row],[Student No.]], #REF!,0)),"")</f>
        <v>#REF!</v>
      </c>
      <c r="F90" s="142" t="e">
        <f>_xlfn.IFNA(INDEX(#REF!,MATCH(Project[[#This Row],[Student No.]], #REF!,0)),"")</f>
        <v>#REF!</v>
      </c>
      <c r="G90" s="142" t="e">
        <f>_xlfn.IFNA(INDEX(#REF!,MATCH(Project[[#This Row],[Student No.]:[Student No.]], #REF!,0)),"")</f>
        <v>#REF!</v>
      </c>
      <c r="H90" s="142" t="e">
        <f>_xlfn.IFNA(INDEX(#REF!,MATCH(Project[[#This Row],[Student No.]:[Student No.]], #REF!,0)),"")</f>
        <v>#REF!</v>
      </c>
      <c r="I90" s="142" t="e">
        <f>_xlfn.IFNA(INDEX(#REF!,MATCH(Project[[#This Row],[Student No.]:[Student No.]], #REF!,0)),"")</f>
        <v>#REF!</v>
      </c>
      <c r="J90" s="159" t="e">
        <f>SUM(Project[[#This Row],[Discretionary Mark]:[Mark from ratings]])</f>
        <v>#REF!</v>
      </c>
      <c r="K90" s="159" t="e">
        <f>_xlfn.IFNA(IF(INDEX(#REF!,MATCH(Project[[#This Row],[Student No.]:[Student No.]], #REF!,0))&gt;0,"Yes",""),"")</f>
        <v>#REF!</v>
      </c>
      <c r="L90" s="142" t="e">
        <f>_xlfn.IFNA(IF(INDEX(#REF!,MATCH(Project[[#This Row],[Student No.]:[Student No.]], #REF!,0))="Code contribution less than 35%","Yes",""),"")</f>
        <v>#REF!</v>
      </c>
      <c r="M90"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90" s="152"/>
      <c r="O90"/>
      <c r="P90"/>
      <c r="Q90"/>
    </row>
    <row r="91" spans="1:17">
      <c r="A91" s="139" t="s">
        <v>360</v>
      </c>
      <c r="B91" s="140" t="s">
        <v>534</v>
      </c>
      <c r="C91" s="141" t="str">
        <f>IF(ISNUMBER(Project[[#This Row],[Mark after capping]]),IF(Project[[#This Row],[Mark after capping]]&lt;0,0,IF(Project[[#This Row],[Mark after capping]]&gt;100,100,Project[[#This Row],[Mark after capping]]/$M$3*100)),"")</f>
        <v/>
      </c>
      <c r="D91" s="142" t="e">
        <f>_xlfn.IFNA(INDEX(#REF!,MATCH(Project[[#This Row],[Student No.]:[Student No.]], #REF!,0)),"")</f>
        <v>#REF!</v>
      </c>
      <c r="E91" s="142" t="e">
        <f>_xlfn.IFNA(INDEX(#REF!,MATCH(Project[[#This Row],[Student No.]], #REF!,0)),"")</f>
        <v>#REF!</v>
      </c>
      <c r="F91" s="142" t="e">
        <f>_xlfn.IFNA(INDEX(#REF!,MATCH(Project[[#This Row],[Student No.]], #REF!,0)),"")</f>
        <v>#REF!</v>
      </c>
      <c r="G91" s="142" t="e">
        <f>_xlfn.IFNA(INDEX(#REF!,MATCH(Project[[#This Row],[Student No.]:[Student No.]], #REF!,0)),"")</f>
        <v>#REF!</v>
      </c>
      <c r="H91" s="142" t="e">
        <f>_xlfn.IFNA(INDEX(#REF!,MATCH(Project[[#This Row],[Student No.]:[Student No.]], #REF!,0)),"")</f>
        <v>#REF!</v>
      </c>
      <c r="I91" s="142" t="e">
        <f>_xlfn.IFNA(INDEX(#REF!,MATCH(Project[[#This Row],[Student No.]:[Student No.]], #REF!,0)),"")</f>
        <v>#REF!</v>
      </c>
      <c r="J91" s="159" t="e">
        <f>SUM(Project[[#This Row],[Discretionary Mark]:[Mark from ratings]])</f>
        <v>#REF!</v>
      </c>
      <c r="K91" s="159" t="e">
        <f>_xlfn.IFNA(IF(INDEX(#REF!,MATCH(Project[[#This Row],[Student No.]:[Student No.]], #REF!,0))&gt;0,"Yes",""),"")</f>
        <v>#REF!</v>
      </c>
      <c r="L91" s="142" t="e">
        <f>_xlfn.IFNA(IF(INDEX(#REF!,MATCH(Project[[#This Row],[Student No.]:[Student No.]], #REF!,0))="Code contribution less than 35%","Yes",""),"")</f>
        <v>#REF!</v>
      </c>
      <c r="M91"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91" s="152"/>
      <c r="O91"/>
      <c r="P91"/>
      <c r="Q91"/>
    </row>
    <row r="92" spans="1:17">
      <c r="A92" s="139" t="s">
        <v>361</v>
      </c>
      <c r="B92" s="140" t="s">
        <v>535</v>
      </c>
      <c r="C92" s="141" t="str">
        <f>IF(ISNUMBER(Project[[#This Row],[Mark after capping]]),IF(Project[[#This Row],[Mark after capping]]&lt;0,0,IF(Project[[#This Row],[Mark after capping]]&gt;100,100,Project[[#This Row],[Mark after capping]]/$M$3*100)),"")</f>
        <v/>
      </c>
      <c r="D92" s="142" t="e">
        <f>_xlfn.IFNA(INDEX(#REF!,MATCH(Project[[#This Row],[Student No.]:[Student No.]], #REF!,0)),"")</f>
        <v>#REF!</v>
      </c>
      <c r="E92" s="142" t="e">
        <f>_xlfn.IFNA(INDEX(#REF!,MATCH(Project[[#This Row],[Student No.]], #REF!,0)),"")</f>
        <v>#REF!</v>
      </c>
      <c r="F92" s="142" t="e">
        <f>_xlfn.IFNA(INDEX(#REF!,MATCH(Project[[#This Row],[Student No.]], #REF!,0)),"")</f>
        <v>#REF!</v>
      </c>
      <c r="G92" s="142" t="e">
        <f>_xlfn.IFNA(INDEX(#REF!,MATCH(Project[[#This Row],[Student No.]:[Student No.]], #REF!,0)),"")</f>
        <v>#REF!</v>
      </c>
      <c r="H92" s="142" t="e">
        <f>_xlfn.IFNA(INDEX(#REF!,MATCH(Project[[#This Row],[Student No.]:[Student No.]], #REF!,0)),"")</f>
        <v>#REF!</v>
      </c>
      <c r="I92" s="142" t="e">
        <f>_xlfn.IFNA(INDEX(#REF!,MATCH(Project[[#This Row],[Student No.]:[Student No.]], #REF!,0)),"")</f>
        <v>#REF!</v>
      </c>
      <c r="J92" s="159" t="e">
        <f>SUM(Project[[#This Row],[Discretionary Mark]:[Mark from ratings]])</f>
        <v>#REF!</v>
      </c>
      <c r="K92" s="159" t="e">
        <f>_xlfn.IFNA(IF(INDEX(#REF!,MATCH(Project[[#This Row],[Student No.]:[Student No.]], #REF!,0))&gt;0,"Yes",""),"")</f>
        <v>#REF!</v>
      </c>
      <c r="L92" s="142" t="e">
        <f>_xlfn.IFNA(IF(INDEX(#REF!,MATCH(Project[[#This Row],[Student No.]:[Student No.]], #REF!,0))="Code contribution less than 35%","Yes",""),"")</f>
        <v>#REF!</v>
      </c>
      <c r="M92"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92" s="152"/>
      <c r="O92"/>
      <c r="P92"/>
      <c r="Q92"/>
    </row>
    <row r="93" spans="1:17">
      <c r="A93" s="139" t="s">
        <v>362</v>
      </c>
      <c r="B93" s="140" t="s">
        <v>536</v>
      </c>
      <c r="C93" s="141" t="str">
        <f>IF(ISNUMBER(Project[[#This Row],[Mark after capping]]),IF(Project[[#This Row],[Mark after capping]]&lt;0,0,IF(Project[[#This Row],[Mark after capping]]&gt;100,100,Project[[#This Row],[Mark after capping]]/$M$3*100)),"")</f>
        <v/>
      </c>
      <c r="D93" s="142" t="e">
        <f>_xlfn.IFNA(INDEX(#REF!,MATCH(Project[[#This Row],[Student No.]:[Student No.]], #REF!,0)),"")</f>
        <v>#REF!</v>
      </c>
      <c r="E93" s="142" t="e">
        <f>_xlfn.IFNA(INDEX(#REF!,MATCH(Project[[#This Row],[Student No.]], #REF!,0)),"")</f>
        <v>#REF!</v>
      </c>
      <c r="F93" s="142" t="e">
        <f>_xlfn.IFNA(INDEX(#REF!,MATCH(Project[[#This Row],[Student No.]], #REF!,0)),"")</f>
        <v>#REF!</v>
      </c>
      <c r="G93" s="142" t="e">
        <f>_xlfn.IFNA(INDEX(#REF!,MATCH(Project[[#This Row],[Student No.]:[Student No.]], #REF!,0)),"")</f>
        <v>#REF!</v>
      </c>
      <c r="H93" s="142" t="e">
        <f>_xlfn.IFNA(INDEX(#REF!,MATCH(Project[[#This Row],[Student No.]:[Student No.]], #REF!,0)),"")</f>
        <v>#REF!</v>
      </c>
      <c r="I93" s="142" t="e">
        <f>_xlfn.IFNA(INDEX(#REF!,MATCH(Project[[#This Row],[Student No.]:[Student No.]], #REF!,0)),"")</f>
        <v>#REF!</v>
      </c>
      <c r="J93" s="159" t="e">
        <f>SUM(Project[[#This Row],[Discretionary Mark]:[Mark from ratings]])</f>
        <v>#REF!</v>
      </c>
      <c r="K93" s="159" t="e">
        <f>_xlfn.IFNA(IF(INDEX(#REF!,MATCH(Project[[#This Row],[Student No.]:[Student No.]], #REF!,0))&gt;0,"Yes",""),"")</f>
        <v>#REF!</v>
      </c>
      <c r="L93" s="142" t="e">
        <f>_xlfn.IFNA(IF(INDEX(#REF!,MATCH(Project[[#This Row],[Student No.]:[Student No.]], #REF!,0))="Code contribution less than 35%","Yes",""),"")</f>
        <v>#REF!</v>
      </c>
      <c r="M93"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93" s="152"/>
      <c r="O93"/>
      <c r="P93"/>
      <c r="Q93"/>
    </row>
    <row r="94" spans="1:17">
      <c r="A94" s="139" t="s">
        <v>363</v>
      </c>
      <c r="B94" s="140" t="s">
        <v>537</v>
      </c>
      <c r="C94" s="141" t="str">
        <f>IF(ISNUMBER(Project[[#This Row],[Mark after capping]]),IF(Project[[#This Row],[Mark after capping]]&lt;0,0,IF(Project[[#This Row],[Mark after capping]]&gt;100,100,Project[[#This Row],[Mark after capping]]/$M$3*100)),"")</f>
        <v/>
      </c>
      <c r="D94" s="142" t="e">
        <f>_xlfn.IFNA(INDEX(#REF!,MATCH(Project[[#This Row],[Student No.]:[Student No.]], #REF!,0)),"")</f>
        <v>#REF!</v>
      </c>
      <c r="E94" s="142" t="e">
        <f>_xlfn.IFNA(INDEX(#REF!,MATCH(Project[[#This Row],[Student No.]], #REF!,0)),"")</f>
        <v>#REF!</v>
      </c>
      <c r="F94" s="142" t="e">
        <f>_xlfn.IFNA(INDEX(#REF!,MATCH(Project[[#This Row],[Student No.]], #REF!,0)),"")</f>
        <v>#REF!</v>
      </c>
      <c r="G94" s="142" t="e">
        <f>_xlfn.IFNA(INDEX(#REF!,MATCH(Project[[#This Row],[Student No.]:[Student No.]], #REF!,0)),"")</f>
        <v>#REF!</v>
      </c>
      <c r="H94" s="142" t="e">
        <f>_xlfn.IFNA(INDEX(#REF!,MATCH(Project[[#This Row],[Student No.]:[Student No.]], #REF!,0)),"")</f>
        <v>#REF!</v>
      </c>
      <c r="I94" s="142" t="e">
        <f>_xlfn.IFNA(INDEX(#REF!,MATCH(Project[[#This Row],[Student No.]:[Student No.]], #REF!,0)),"")</f>
        <v>#REF!</v>
      </c>
      <c r="J94" s="159" t="e">
        <f>SUM(Project[[#This Row],[Discretionary Mark]:[Mark from ratings]])</f>
        <v>#REF!</v>
      </c>
      <c r="K94" s="159" t="e">
        <f>_xlfn.IFNA(IF(INDEX(#REF!,MATCH(Project[[#This Row],[Student No.]:[Student No.]], #REF!,0))&gt;0,"Yes",""),"")</f>
        <v>#REF!</v>
      </c>
      <c r="L94" s="142" t="e">
        <f>_xlfn.IFNA(IF(INDEX(#REF!,MATCH(Project[[#This Row],[Student No.]:[Student No.]], #REF!,0))="Code contribution less than 35%","Yes",""),"")</f>
        <v>#REF!</v>
      </c>
      <c r="M94"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94" s="152"/>
      <c r="O94"/>
      <c r="P94"/>
      <c r="Q94"/>
    </row>
    <row r="95" spans="1:17">
      <c r="A95" s="139" t="s">
        <v>364</v>
      </c>
      <c r="B95" s="144" t="s">
        <v>538</v>
      </c>
      <c r="C95" s="145" t="str">
        <f>IF(ISNUMBER(Project[[#This Row],[Mark after capping]]),IF(Project[[#This Row],[Mark after capping]]&lt;0,0,IF(Project[[#This Row],[Mark after capping]]&gt;100,100,Project[[#This Row],[Mark after capping]]/$M$3*100)),"")</f>
        <v/>
      </c>
      <c r="D95" s="146" t="e">
        <f>_xlfn.IFNA(INDEX(#REF!,MATCH(Project[[#This Row],[Student No.]:[Student No.]], #REF!,0)),"")</f>
        <v>#REF!</v>
      </c>
      <c r="E95" s="146" t="e">
        <f>_xlfn.IFNA(INDEX(#REF!,MATCH(Project[[#This Row],[Student No.]], #REF!,0)),"")</f>
        <v>#REF!</v>
      </c>
      <c r="F95" s="146" t="e">
        <f>_xlfn.IFNA(INDEX(#REF!,MATCH(Project[[#This Row],[Student No.]], #REF!,0)),"")</f>
        <v>#REF!</v>
      </c>
      <c r="G95" s="146" t="e">
        <f>_xlfn.IFNA(INDEX(#REF!,MATCH(Project[[#This Row],[Student No.]:[Student No.]], #REF!,0)),"")</f>
        <v>#REF!</v>
      </c>
      <c r="H95" s="146" t="e">
        <f>_xlfn.IFNA(INDEX(#REF!,MATCH(Project[[#This Row],[Student No.]:[Student No.]], #REF!,0)),"")</f>
        <v>#REF!</v>
      </c>
      <c r="I95" s="146" t="e">
        <f>_xlfn.IFNA(INDEX(#REF!,MATCH(Project[[#This Row],[Student No.]:[Student No.]], #REF!,0)),"")</f>
        <v>#REF!</v>
      </c>
      <c r="J95" s="159" t="e">
        <f>SUM(Project[[#This Row],[Discretionary Mark]:[Mark from ratings]])</f>
        <v>#REF!</v>
      </c>
      <c r="K95" s="159" t="e">
        <f>_xlfn.IFNA(IF(INDEX(#REF!,MATCH(Project[[#This Row],[Student No.]:[Student No.]], #REF!,0))&gt;0,"Yes",""),"")</f>
        <v>#REF!</v>
      </c>
      <c r="L95" s="146" t="e">
        <f>_xlfn.IFNA(IF(INDEX(#REF!,MATCH(Project[[#This Row],[Student No.]:[Student No.]], #REF!,0))="Code contribution less than 35%","Yes",""),"")</f>
        <v>#REF!</v>
      </c>
      <c r="M95"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95" s="152"/>
      <c r="O95"/>
      <c r="P95"/>
      <c r="Q95"/>
    </row>
    <row r="96" spans="1:17">
      <c r="A96" s="139" t="s">
        <v>365</v>
      </c>
      <c r="B96" s="140" t="s">
        <v>539</v>
      </c>
      <c r="C96" s="141" t="str">
        <f>IF(ISNUMBER(Project[[#This Row],[Mark after capping]]),IF(Project[[#This Row],[Mark after capping]]&lt;0,0,IF(Project[[#This Row],[Mark after capping]]&gt;100,100,Project[[#This Row],[Mark after capping]]/$M$3*100)),"")</f>
        <v/>
      </c>
      <c r="D96" s="142" t="e">
        <f>_xlfn.IFNA(INDEX(#REF!,MATCH(Project[[#This Row],[Student No.]:[Student No.]], #REF!,0)),"")</f>
        <v>#REF!</v>
      </c>
      <c r="E96" s="142" t="e">
        <f>_xlfn.IFNA(INDEX(#REF!,MATCH(Project[[#This Row],[Student No.]], #REF!,0)),"")</f>
        <v>#REF!</v>
      </c>
      <c r="F96" s="142" t="e">
        <f>_xlfn.IFNA(INDEX(#REF!,MATCH(Project[[#This Row],[Student No.]], #REF!,0)),"")</f>
        <v>#REF!</v>
      </c>
      <c r="G96" s="142" t="e">
        <f>_xlfn.IFNA(INDEX(#REF!,MATCH(Project[[#This Row],[Student No.]:[Student No.]], #REF!,0)),"")</f>
        <v>#REF!</v>
      </c>
      <c r="H96" s="142" t="e">
        <f>_xlfn.IFNA(INDEX(#REF!,MATCH(Project[[#This Row],[Student No.]:[Student No.]], #REF!,0)),"")</f>
        <v>#REF!</v>
      </c>
      <c r="I96" s="142" t="e">
        <f>_xlfn.IFNA(INDEX(#REF!,MATCH(Project[[#This Row],[Student No.]:[Student No.]], #REF!,0)),"")</f>
        <v>#REF!</v>
      </c>
      <c r="J96" s="159" t="e">
        <f>SUM(Project[[#This Row],[Discretionary Mark]:[Mark from ratings]])</f>
        <v>#REF!</v>
      </c>
      <c r="K96" s="159" t="e">
        <f>_xlfn.IFNA(IF(INDEX(#REF!,MATCH(Project[[#This Row],[Student No.]:[Student No.]], #REF!,0))&gt;0,"Yes",""),"")</f>
        <v>#REF!</v>
      </c>
      <c r="L96" s="142" t="e">
        <f>_xlfn.IFNA(IF(INDEX(#REF!,MATCH(Project[[#This Row],[Student No.]:[Student No.]], #REF!,0))="Code contribution less than 35%","Yes",""),"")</f>
        <v>#REF!</v>
      </c>
      <c r="M96"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96" s="152"/>
      <c r="O96"/>
      <c r="P96"/>
      <c r="Q96"/>
    </row>
    <row r="97" spans="1:17">
      <c r="A97" s="139" t="s">
        <v>366</v>
      </c>
      <c r="B97" s="140" t="s">
        <v>540</v>
      </c>
      <c r="C97" s="141" t="str">
        <f>IF(ISNUMBER(Project[[#This Row],[Mark after capping]]),IF(Project[[#This Row],[Mark after capping]]&lt;0,0,IF(Project[[#This Row],[Mark after capping]]&gt;100,100,Project[[#This Row],[Mark after capping]]/$M$3*100)),"")</f>
        <v/>
      </c>
      <c r="D97" s="142" t="e">
        <f>_xlfn.IFNA(INDEX(#REF!,MATCH(Project[[#This Row],[Student No.]:[Student No.]], #REF!,0)),"")</f>
        <v>#REF!</v>
      </c>
      <c r="E97" s="142" t="e">
        <f>_xlfn.IFNA(INDEX(#REF!,MATCH(Project[[#This Row],[Student No.]], #REF!,0)),"")</f>
        <v>#REF!</v>
      </c>
      <c r="F97" s="142" t="e">
        <f>_xlfn.IFNA(INDEX(#REF!,MATCH(Project[[#This Row],[Student No.]], #REF!,0)),"")</f>
        <v>#REF!</v>
      </c>
      <c r="G97" s="142" t="e">
        <f>_xlfn.IFNA(INDEX(#REF!,MATCH(Project[[#This Row],[Student No.]:[Student No.]], #REF!,0)),"")</f>
        <v>#REF!</v>
      </c>
      <c r="H97" s="142" t="e">
        <f>_xlfn.IFNA(INDEX(#REF!,MATCH(Project[[#This Row],[Student No.]:[Student No.]], #REF!,0)),"")</f>
        <v>#REF!</v>
      </c>
      <c r="I97" s="142" t="e">
        <f>_xlfn.IFNA(INDEX(#REF!,MATCH(Project[[#This Row],[Student No.]:[Student No.]], #REF!,0)),"")</f>
        <v>#REF!</v>
      </c>
      <c r="J97" s="159" t="e">
        <f>SUM(Project[[#This Row],[Discretionary Mark]:[Mark from ratings]])</f>
        <v>#REF!</v>
      </c>
      <c r="K97" s="159" t="e">
        <f>_xlfn.IFNA(IF(INDEX(#REF!,MATCH(Project[[#This Row],[Student No.]:[Student No.]], #REF!,0))&gt;0,"Yes",""),"")</f>
        <v>#REF!</v>
      </c>
      <c r="L97" s="142" t="e">
        <f>_xlfn.IFNA(IF(INDEX(#REF!,MATCH(Project[[#This Row],[Student No.]:[Student No.]], #REF!,0))="Code contribution less than 35%","Yes",""),"")</f>
        <v>#REF!</v>
      </c>
      <c r="M97"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97" s="152"/>
      <c r="O97"/>
      <c r="P97"/>
      <c r="Q97"/>
    </row>
    <row r="98" spans="1:17">
      <c r="A98" s="139" t="s">
        <v>367</v>
      </c>
      <c r="B98" s="140" t="s">
        <v>541</v>
      </c>
      <c r="C98" s="141" t="str">
        <f>IF(ISNUMBER(Project[[#This Row],[Mark after capping]]),IF(Project[[#This Row],[Mark after capping]]&lt;0,0,IF(Project[[#This Row],[Mark after capping]]&gt;100,100,Project[[#This Row],[Mark after capping]]/$M$3*100)),"")</f>
        <v/>
      </c>
      <c r="D98" s="142" t="e">
        <f>_xlfn.IFNA(INDEX(#REF!,MATCH(Project[[#This Row],[Student No.]:[Student No.]], #REF!,0)),"")</f>
        <v>#REF!</v>
      </c>
      <c r="E98" s="142" t="e">
        <f>_xlfn.IFNA(INDEX(#REF!,MATCH(Project[[#This Row],[Student No.]], #REF!,0)),"")</f>
        <v>#REF!</v>
      </c>
      <c r="F98" s="142" t="e">
        <f>_xlfn.IFNA(INDEX(#REF!,MATCH(Project[[#This Row],[Student No.]], #REF!,0)),"")</f>
        <v>#REF!</v>
      </c>
      <c r="G98" s="142" t="e">
        <f>_xlfn.IFNA(INDEX(#REF!,MATCH(Project[[#This Row],[Student No.]:[Student No.]], #REF!,0)),"")</f>
        <v>#REF!</v>
      </c>
      <c r="H98" s="142" t="e">
        <f>_xlfn.IFNA(INDEX(#REF!,MATCH(Project[[#This Row],[Student No.]:[Student No.]], #REF!,0)),"")</f>
        <v>#REF!</v>
      </c>
      <c r="I98" s="142" t="e">
        <f>_xlfn.IFNA(INDEX(#REF!,MATCH(Project[[#This Row],[Student No.]:[Student No.]], #REF!,0)),"")</f>
        <v>#REF!</v>
      </c>
      <c r="J98" s="159" t="e">
        <f>SUM(Project[[#This Row],[Discretionary Mark]:[Mark from ratings]])</f>
        <v>#REF!</v>
      </c>
      <c r="K98" s="159" t="e">
        <f>_xlfn.IFNA(IF(INDEX(#REF!,MATCH(Project[[#This Row],[Student No.]:[Student No.]], #REF!,0))&gt;0,"Yes",""),"")</f>
        <v>#REF!</v>
      </c>
      <c r="L98" s="142" t="e">
        <f>_xlfn.IFNA(IF(INDEX(#REF!,MATCH(Project[[#This Row],[Student No.]:[Student No.]], #REF!,0))="Code contribution less than 35%","Yes",""),"")</f>
        <v>#REF!</v>
      </c>
      <c r="M98"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98" s="152"/>
      <c r="O98"/>
      <c r="P98"/>
      <c r="Q98"/>
    </row>
    <row r="99" spans="1:17">
      <c r="A99" s="139" t="s">
        <v>368</v>
      </c>
      <c r="B99" s="140" t="s">
        <v>542</v>
      </c>
      <c r="C99" s="141" t="str">
        <f>IF(ISNUMBER(Project[[#This Row],[Mark after capping]]),IF(Project[[#This Row],[Mark after capping]]&lt;0,0,IF(Project[[#This Row],[Mark after capping]]&gt;100,100,Project[[#This Row],[Mark after capping]]/$M$3*100)),"")</f>
        <v/>
      </c>
      <c r="D99" s="142" t="e">
        <f>_xlfn.IFNA(INDEX(#REF!,MATCH(Project[[#This Row],[Student No.]:[Student No.]], #REF!,0)),"")</f>
        <v>#REF!</v>
      </c>
      <c r="E99" s="142" t="e">
        <f>_xlfn.IFNA(INDEX(#REF!,MATCH(Project[[#This Row],[Student No.]], #REF!,0)),"")</f>
        <v>#REF!</v>
      </c>
      <c r="F99" s="142" t="e">
        <f>_xlfn.IFNA(INDEX(#REF!,MATCH(Project[[#This Row],[Student No.]], #REF!,0)),"")</f>
        <v>#REF!</v>
      </c>
      <c r="G99" s="142" t="e">
        <f>_xlfn.IFNA(INDEX(#REF!,MATCH(Project[[#This Row],[Student No.]:[Student No.]], #REF!,0)),"")</f>
        <v>#REF!</v>
      </c>
      <c r="H99" s="142" t="e">
        <f>_xlfn.IFNA(INDEX(#REF!,MATCH(Project[[#This Row],[Student No.]:[Student No.]], #REF!,0)),"")</f>
        <v>#REF!</v>
      </c>
      <c r="I99" s="142" t="e">
        <f>_xlfn.IFNA(INDEX(#REF!,MATCH(Project[[#This Row],[Student No.]:[Student No.]], #REF!,0)),"")</f>
        <v>#REF!</v>
      </c>
      <c r="J99" s="159" t="e">
        <f>SUM(Project[[#This Row],[Discretionary Mark]:[Mark from ratings]])</f>
        <v>#REF!</v>
      </c>
      <c r="K99" s="159" t="e">
        <f>_xlfn.IFNA(IF(INDEX(#REF!,MATCH(Project[[#This Row],[Student No.]:[Student No.]], #REF!,0))&gt;0,"Yes",""),"")</f>
        <v>#REF!</v>
      </c>
      <c r="L99" s="142" t="e">
        <f>_xlfn.IFNA(IF(INDEX(#REF!,MATCH(Project[[#This Row],[Student No.]:[Student No.]], #REF!,0))="Code contribution less than 35%","Yes",""),"")</f>
        <v>#REF!</v>
      </c>
      <c r="M99"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99" s="152"/>
      <c r="O99"/>
      <c r="P99"/>
      <c r="Q99"/>
    </row>
    <row r="100" spans="1:17">
      <c r="A100" s="139" t="s">
        <v>369</v>
      </c>
      <c r="B100" s="140" t="s">
        <v>543</v>
      </c>
      <c r="C100" s="141" t="str">
        <f>IF(ISNUMBER(Project[[#This Row],[Mark after capping]]),IF(Project[[#This Row],[Mark after capping]]&lt;0,0,IF(Project[[#This Row],[Mark after capping]]&gt;100,100,Project[[#This Row],[Mark after capping]]/$M$3*100)),"")</f>
        <v/>
      </c>
      <c r="D100" s="142" t="e">
        <f>_xlfn.IFNA(INDEX(#REF!,MATCH(Project[[#This Row],[Student No.]:[Student No.]], #REF!,0)),"")</f>
        <v>#REF!</v>
      </c>
      <c r="E100" s="142" t="e">
        <f>_xlfn.IFNA(INDEX(#REF!,MATCH(Project[[#This Row],[Student No.]], #REF!,0)),"")</f>
        <v>#REF!</v>
      </c>
      <c r="F100" s="142" t="e">
        <f>_xlfn.IFNA(INDEX(#REF!,MATCH(Project[[#This Row],[Student No.]], #REF!,0)),"")</f>
        <v>#REF!</v>
      </c>
      <c r="G100" s="142" t="e">
        <f>_xlfn.IFNA(INDEX(#REF!,MATCH(Project[[#This Row],[Student No.]:[Student No.]], #REF!,0)),"")</f>
        <v>#REF!</v>
      </c>
      <c r="H100" s="142" t="e">
        <f>_xlfn.IFNA(INDEX(#REF!,MATCH(Project[[#This Row],[Student No.]:[Student No.]], #REF!,0)),"")</f>
        <v>#REF!</v>
      </c>
      <c r="I100" s="142" t="e">
        <f>_xlfn.IFNA(INDEX(#REF!,MATCH(Project[[#This Row],[Student No.]:[Student No.]], #REF!,0)),"")</f>
        <v>#REF!</v>
      </c>
      <c r="J100" s="159" t="e">
        <f>SUM(Project[[#This Row],[Discretionary Mark]:[Mark from ratings]])</f>
        <v>#REF!</v>
      </c>
      <c r="K100" s="159" t="e">
        <f>_xlfn.IFNA(IF(INDEX(#REF!,MATCH(Project[[#This Row],[Student No.]:[Student No.]], #REF!,0))&gt;0,"Yes",""),"")</f>
        <v>#REF!</v>
      </c>
      <c r="L100" s="142" t="e">
        <f>_xlfn.IFNA(IF(INDEX(#REF!,MATCH(Project[[#This Row],[Student No.]:[Student No.]], #REF!,0))="Code contribution less than 35%","Yes",""),"")</f>
        <v>#REF!</v>
      </c>
      <c r="M100"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00" s="152"/>
      <c r="O100"/>
      <c r="P100"/>
      <c r="Q100"/>
    </row>
    <row r="101" spans="1:17">
      <c r="A101" s="139" t="s">
        <v>370</v>
      </c>
      <c r="B101" s="140" t="s">
        <v>544</v>
      </c>
      <c r="C101" s="141" t="str">
        <f>IF(ISNUMBER(Project[[#This Row],[Mark after capping]]),IF(Project[[#This Row],[Mark after capping]]&lt;0,0,IF(Project[[#This Row],[Mark after capping]]&gt;100,100,Project[[#This Row],[Mark after capping]]/$M$3*100)),"")</f>
        <v/>
      </c>
      <c r="D101" s="142" t="e">
        <f>_xlfn.IFNA(INDEX(#REF!,MATCH(Project[[#This Row],[Student No.]:[Student No.]], #REF!,0)),"")</f>
        <v>#REF!</v>
      </c>
      <c r="E101" s="142" t="e">
        <f>_xlfn.IFNA(INDEX(#REF!,MATCH(Project[[#This Row],[Student No.]], #REF!,0)),"")</f>
        <v>#REF!</v>
      </c>
      <c r="F101" s="142" t="e">
        <f>_xlfn.IFNA(INDEX(#REF!,MATCH(Project[[#This Row],[Student No.]], #REF!,0)),"")</f>
        <v>#REF!</v>
      </c>
      <c r="G101" s="142" t="e">
        <f>_xlfn.IFNA(INDEX(#REF!,MATCH(Project[[#This Row],[Student No.]:[Student No.]], #REF!,0)),"")</f>
        <v>#REF!</v>
      </c>
      <c r="H101" s="142" t="e">
        <f>_xlfn.IFNA(INDEX(#REF!,MATCH(Project[[#This Row],[Student No.]:[Student No.]], #REF!,0)),"")</f>
        <v>#REF!</v>
      </c>
      <c r="I101" s="142" t="e">
        <f>_xlfn.IFNA(INDEX(#REF!,MATCH(Project[[#This Row],[Student No.]:[Student No.]], #REF!,0)),"")</f>
        <v>#REF!</v>
      </c>
      <c r="J101" s="159" t="e">
        <f>SUM(Project[[#This Row],[Discretionary Mark]:[Mark from ratings]])</f>
        <v>#REF!</v>
      </c>
      <c r="K101" s="159" t="e">
        <f>_xlfn.IFNA(IF(INDEX(#REF!,MATCH(Project[[#This Row],[Student No.]:[Student No.]], #REF!,0))&gt;0,"Yes",""),"")</f>
        <v>#REF!</v>
      </c>
      <c r="L101" s="142" t="e">
        <f>_xlfn.IFNA(IF(INDEX(#REF!,MATCH(Project[[#This Row],[Student No.]:[Student No.]], #REF!,0))="Code contribution less than 35%","Yes",""),"")</f>
        <v>#REF!</v>
      </c>
      <c r="M101"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01" s="152"/>
      <c r="O101"/>
      <c r="P101"/>
      <c r="Q101"/>
    </row>
    <row r="102" spans="1:17">
      <c r="A102" s="139" t="s">
        <v>371</v>
      </c>
      <c r="B102" s="140" t="s">
        <v>545</v>
      </c>
      <c r="C102" s="141" t="str">
        <f>IF(ISNUMBER(Project[[#This Row],[Mark after capping]]),IF(Project[[#This Row],[Mark after capping]]&lt;0,0,IF(Project[[#This Row],[Mark after capping]]&gt;100,100,Project[[#This Row],[Mark after capping]]/$M$3*100)),"")</f>
        <v/>
      </c>
      <c r="D102" s="142" t="e">
        <f>_xlfn.IFNA(INDEX(#REF!,MATCH(Project[[#This Row],[Student No.]:[Student No.]], #REF!,0)),"")</f>
        <v>#REF!</v>
      </c>
      <c r="E102" s="142" t="e">
        <f>_xlfn.IFNA(INDEX(#REF!,MATCH(Project[[#This Row],[Student No.]], #REF!,0)),"")</f>
        <v>#REF!</v>
      </c>
      <c r="F102" s="142" t="e">
        <f>_xlfn.IFNA(INDEX(#REF!,MATCH(Project[[#This Row],[Student No.]], #REF!,0)),"")</f>
        <v>#REF!</v>
      </c>
      <c r="G102" s="142" t="e">
        <f>_xlfn.IFNA(INDEX(#REF!,MATCH(Project[[#This Row],[Student No.]:[Student No.]], #REF!,0)),"")</f>
        <v>#REF!</v>
      </c>
      <c r="H102" s="142" t="e">
        <f>_xlfn.IFNA(INDEX(#REF!,MATCH(Project[[#This Row],[Student No.]:[Student No.]], #REF!,0)),"")</f>
        <v>#REF!</v>
      </c>
      <c r="I102" s="142" t="e">
        <f>_xlfn.IFNA(INDEX(#REF!,MATCH(Project[[#This Row],[Student No.]:[Student No.]], #REF!,0)),"")</f>
        <v>#REF!</v>
      </c>
      <c r="J102" s="159" t="e">
        <f>SUM(Project[[#This Row],[Discretionary Mark]:[Mark from ratings]])</f>
        <v>#REF!</v>
      </c>
      <c r="K102" s="159" t="e">
        <f>_xlfn.IFNA(IF(INDEX(#REF!,MATCH(Project[[#This Row],[Student No.]:[Student No.]], #REF!,0))&gt;0,"Yes",""),"")</f>
        <v>#REF!</v>
      </c>
      <c r="L102" s="142" t="e">
        <f>_xlfn.IFNA(IF(INDEX(#REF!,MATCH(Project[[#This Row],[Student No.]:[Student No.]], #REF!,0))="Code contribution less than 35%","Yes",""),"")</f>
        <v>#REF!</v>
      </c>
      <c r="M102"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02" s="152"/>
      <c r="O102"/>
      <c r="P102"/>
      <c r="Q102"/>
    </row>
    <row r="103" spans="1:17">
      <c r="A103" s="139" t="s">
        <v>372</v>
      </c>
      <c r="B103" s="140" t="s">
        <v>546</v>
      </c>
      <c r="C103" s="141" t="str">
        <f>IF(ISNUMBER(Project[[#This Row],[Mark after capping]]),IF(Project[[#This Row],[Mark after capping]]&lt;0,0,IF(Project[[#This Row],[Mark after capping]]&gt;100,100,Project[[#This Row],[Mark after capping]]/$M$3*100)),"")</f>
        <v/>
      </c>
      <c r="D103" s="142" t="e">
        <f>_xlfn.IFNA(INDEX(#REF!,MATCH(Project[[#This Row],[Student No.]:[Student No.]], #REF!,0)),"")</f>
        <v>#REF!</v>
      </c>
      <c r="E103" s="142" t="e">
        <f>_xlfn.IFNA(INDEX(#REF!,MATCH(Project[[#This Row],[Student No.]], #REF!,0)),"")</f>
        <v>#REF!</v>
      </c>
      <c r="F103" s="142" t="e">
        <f>_xlfn.IFNA(INDEX(#REF!,MATCH(Project[[#This Row],[Student No.]], #REF!,0)),"")</f>
        <v>#REF!</v>
      </c>
      <c r="G103" s="142" t="e">
        <f>_xlfn.IFNA(INDEX(#REF!,MATCH(Project[[#This Row],[Student No.]:[Student No.]], #REF!,0)),"")</f>
        <v>#REF!</v>
      </c>
      <c r="H103" s="142" t="e">
        <f>_xlfn.IFNA(INDEX(#REF!,MATCH(Project[[#This Row],[Student No.]:[Student No.]], #REF!,0)),"")</f>
        <v>#REF!</v>
      </c>
      <c r="I103" s="142" t="e">
        <f>_xlfn.IFNA(INDEX(#REF!,MATCH(Project[[#This Row],[Student No.]:[Student No.]], #REF!,0)),"")</f>
        <v>#REF!</v>
      </c>
      <c r="J103" s="159" t="e">
        <f>SUM(Project[[#This Row],[Discretionary Mark]:[Mark from ratings]])</f>
        <v>#REF!</v>
      </c>
      <c r="K103" s="159" t="e">
        <f>_xlfn.IFNA(IF(INDEX(#REF!,MATCH(Project[[#This Row],[Student No.]:[Student No.]], #REF!,0))&gt;0,"Yes",""),"")</f>
        <v>#REF!</v>
      </c>
      <c r="L103" s="142" t="e">
        <f>_xlfn.IFNA(IF(INDEX(#REF!,MATCH(Project[[#This Row],[Student No.]:[Student No.]], #REF!,0))="Code contribution less than 35%","Yes",""),"")</f>
        <v>#REF!</v>
      </c>
      <c r="M103"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03" s="152"/>
      <c r="O103"/>
      <c r="P103"/>
      <c r="Q103"/>
    </row>
    <row r="104" spans="1:17">
      <c r="A104" s="139" t="s">
        <v>373</v>
      </c>
      <c r="B104" s="140" t="s">
        <v>547</v>
      </c>
      <c r="C104" s="141" t="str">
        <f>IF(ISNUMBER(Project[[#This Row],[Mark after capping]]),IF(Project[[#This Row],[Mark after capping]]&lt;0,0,IF(Project[[#This Row],[Mark after capping]]&gt;100,100,Project[[#This Row],[Mark after capping]]/$M$3*100)),"")</f>
        <v/>
      </c>
      <c r="D104" s="142" t="e">
        <f>_xlfn.IFNA(INDEX(#REF!,MATCH(Project[[#This Row],[Student No.]:[Student No.]], #REF!,0)),"")</f>
        <v>#REF!</v>
      </c>
      <c r="E104" s="142" t="e">
        <f>_xlfn.IFNA(INDEX(#REF!,MATCH(Project[[#This Row],[Student No.]], #REF!,0)),"")</f>
        <v>#REF!</v>
      </c>
      <c r="F104" s="142" t="e">
        <f>_xlfn.IFNA(INDEX(#REF!,MATCH(Project[[#This Row],[Student No.]], #REF!,0)),"")</f>
        <v>#REF!</v>
      </c>
      <c r="G104" s="142" t="e">
        <f>_xlfn.IFNA(INDEX(#REF!,MATCH(Project[[#This Row],[Student No.]:[Student No.]], #REF!,0)),"")</f>
        <v>#REF!</v>
      </c>
      <c r="H104" s="142" t="e">
        <f>_xlfn.IFNA(INDEX(#REF!,MATCH(Project[[#This Row],[Student No.]:[Student No.]], #REF!,0)),"")</f>
        <v>#REF!</v>
      </c>
      <c r="I104" s="142" t="e">
        <f>_xlfn.IFNA(INDEX(#REF!,MATCH(Project[[#This Row],[Student No.]:[Student No.]], #REF!,0)),"")</f>
        <v>#REF!</v>
      </c>
      <c r="J104" s="159" t="e">
        <f>SUM(Project[[#This Row],[Discretionary Mark]:[Mark from ratings]])</f>
        <v>#REF!</v>
      </c>
      <c r="K104" s="159" t="e">
        <f>_xlfn.IFNA(IF(INDEX(#REF!,MATCH(Project[[#This Row],[Student No.]:[Student No.]], #REF!,0))&gt;0,"Yes",""),"")</f>
        <v>#REF!</v>
      </c>
      <c r="L104" s="142" t="e">
        <f>_xlfn.IFNA(IF(INDEX(#REF!,MATCH(Project[[#This Row],[Student No.]:[Student No.]], #REF!,0))="Code contribution less than 35%","Yes",""),"")</f>
        <v>#REF!</v>
      </c>
      <c r="M104"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04" s="152"/>
      <c r="O104"/>
      <c r="P104"/>
      <c r="Q104"/>
    </row>
    <row r="105" spans="1:17">
      <c r="A105" s="139" t="s">
        <v>374</v>
      </c>
      <c r="B105" s="140" t="s">
        <v>548</v>
      </c>
      <c r="C105" s="141" t="str">
        <f>IF(ISNUMBER(Project[[#This Row],[Mark after capping]]),IF(Project[[#This Row],[Mark after capping]]&lt;0,0,IF(Project[[#This Row],[Mark after capping]]&gt;100,100,Project[[#This Row],[Mark after capping]]/$M$3*100)),"")</f>
        <v/>
      </c>
      <c r="D105" s="142" t="e">
        <f>_xlfn.IFNA(INDEX(#REF!,MATCH(Project[[#This Row],[Student No.]:[Student No.]], #REF!,0)),"")</f>
        <v>#REF!</v>
      </c>
      <c r="E105" s="142" t="e">
        <f>_xlfn.IFNA(INDEX(#REF!,MATCH(Project[[#This Row],[Student No.]], #REF!,0)),"")</f>
        <v>#REF!</v>
      </c>
      <c r="F105" s="142" t="e">
        <f>_xlfn.IFNA(INDEX(#REF!,MATCH(Project[[#This Row],[Student No.]], #REF!,0)),"")</f>
        <v>#REF!</v>
      </c>
      <c r="G105" s="142" t="e">
        <f>_xlfn.IFNA(INDEX(#REF!,MATCH(Project[[#This Row],[Student No.]:[Student No.]], #REF!,0)),"")</f>
        <v>#REF!</v>
      </c>
      <c r="H105" s="142" t="e">
        <f>_xlfn.IFNA(INDEX(#REF!,MATCH(Project[[#This Row],[Student No.]:[Student No.]], #REF!,0)),"")</f>
        <v>#REF!</v>
      </c>
      <c r="I105" s="142" t="e">
        <f>_xlfn.IFNA(INDEX(#REF!,MATCH(Project[[#This Row],[Student No.]:[Student No.]], #REF!,0)),"")</f>
        <v>#REF!</v>
      </c>
      <c r="J105" s="159" t="e">
        <f>SUM(Project[[#This Row],[Discretionary Mark]:[Mark from ratings]])</f>
        <v>#REF!</v>
      </c>
      <c r="K105" s="159" t="e">
        <f>_xlfn.IFNA(IF(INDEX(#REF!,MATCH(Project[[#This Row],[Student No.]:[Student No.]], #REF!,0))&gt;0,"Yes",""),"")</f>
        <v>#REF!</v>
      </c>
      <c r="L105" s="142" t="e">
        <f>_xlfn.IFNA(IF(INDEX(#REF!,MATCH(Project[[#This Row],[Student No.]:[Student No.]], #REF!,0))="Code contribution less than 35%","Yes",""),"")</f>
        <v>#REF!</v>
      </c>
      <c r="M105"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05" s="152"/>
      <c r="O105"/>
      <c r="P105"/>
      <c r="Q105"/>
    </row>
    <row r="106" spans="1:17">
      <c r="A106" s="139" t="s">
        <v>375</v>
      </c>
      <c r="B106" s="140" t="s">
        <v>549</v>
      </c>
      <c r="C106" s="141" t="str">
        <f>IF(ISNUMBER(Project[[#This Row],[Mark after capping]]),IF(Project[[#This Row],[Mark after capping]]&lt;0,0,IF(Project[[#This Row],[Mark after capping]]&gt;100,100,Project[[#This Row],[Mark after capping]]/$M$3*100)),"")</f>
        <v/>
      </c>
      <c r="D106" s="142" t="e">
        <f>_xlfn.IFNA(INDEX(#REF!,MATCH(Project[[#This Row],[Student No.]:[Student No.]], #REF!,0)),"")</f>
        <v>#REF!</v>
      </c>
      <c r="E106" s="142" t="e">
        <f>_xlfn.IFNA(INDEX(#REF!,MATCH(Project[[#This Row],[Student No.]], #REF!,0)),"")</f>
        <v>#REF!</v>
      </c>
      <c r="F106" s="142" t="e">
        <f>_xlfn.IFNA(INDEX(#REF!,MATCH(Project[[#This Row],[Student No.]], #REF!,0)),"")</f>
        <v>#REF!</v>
      </c>
      <c r="G106" s="142" t="e">
        <f>_xlfn.IFNA(INDEX(#REF!,MATCH(Project[[#This Row],[Student No.]:[Student No.]], #REF!,0)),"")</f>
        <v>#REF!</v>
      </c>
      <c r="H106" s="142" t="e">
        <f>_xlfn.IFNA(INDEX(#REF!,MATCH(Project[[#This Row],[Student No.]:[Student No.]], #REF!,0)),"")</f>
        <v>#REF!</v>
      </c>
      <c r="I106" s="142" t="e">
        <f>_xlfn.IFNA(INDEX(#REF!,MATCH(Project[[#This Row],[Student No.]:[Student No.]], #REF!,0)),"")</f>
        <v>#REF!</v>
      </c>
      <c r="J106" s="159" t="e">
        <f>SUM(Project[[#This Row],[Discretionary Mark]:[Mark from ratings]])</f>
        <v>#REF!</v>
      </c>
      <c r="K106" s="159" t="e">
        <f>_xlfn.IFNA(IF(INDEX(#REF!,MATCH(Project[[#This Row],[Student No.]:[Student No.]], #REF!,0))&gt;0,"Yes",""),"")</f>
        <v>#REF!</v>
      </c>
      <c r="L106" s="142" t="e">
        <f>_xlfn.IFNA(IF(INDEX(#REF!,MATCH(Project[[#This Row],[Student No.]:[Student No.]], #REF!,0))="Code contribution less than 35%","Yes",""),"")</f>
        <v>#REF!</v>
      </c>
      <c r="M106"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06" s="152"/>
      <c r="O106"/>
      <c r="P106"/>
      <c r="Q106"/>
    </row>
    <row r="107" spans="1:17">
      <c r="A107" s="139" t="s">
        <v>376</v>
      </c>
      <c r="B107" s="140" t="s">
        <v>550</v>
      </c>
      <c r="C107" s="141" t="str">
        <f>IF(ISNUMBER(Project[[#This Row],[Mark after capping]]),IF(Project[[#This Row],[Mark after capping]]&lt;0,0,IF(Project[[#This Row],[Mark after capping]]&gt;100,100,Project[[#This Row],[Mark after capping]]/$M$3*100)),"")</f>
        <v/>
      </c>
      <c r="D107" s="142" t="e">
        <f>_xlfn.IFNA(INDEX(#REF!,MATCH(Project[[#This Row],[Student No.]:[Student No.]], #REF!,0)),"")</f>
        <v>#REF!</v>
      </c>
      <c r="E107" s="142" t="e">
        <f>_xlfn.IFNA(INDEX(#REF!,MATCH(Project[[#This Row],[Student No.]], #REF!,0)),"")</f>
        <v>#REF!</v>
      </c>
      <c r="F107" s="142" t="e">
        <f>_xlfn.IFNA(INDEX(#REF!,MATCH(Project[[#This Row],[Student No.]], #REF!,0)),"")</f>
        <v>#REF!</v>
      </c>
      <c r="G107" s="142" t="e">
        <f>_xlfn.IFNA(INDEX(#REF!,MATCH(Project[[#This Row],[Student No.]:[Student No.]], #REF!,0)),"")</f>
        <v>#REF!</v>
      </c>
      <c r="H107" s="142" t="e">
        <f>_xlfn.IFNA(INDEX(#REF!,MATCH(Project[[#This Row],[Student No.]:[Student No.]], #REF!,0)),"")</f>
        <v>#REF!</v>
      </c>
      <c r="I107" s="142" t="e">
        <f>_xlfn.IFNA(INDEX(#REF!,MATCH(Project[[#This Row],[Student No.]:[Student No.]], #REF!,0)),"")</f>
        <v>#REF!</v>
      </c>
      <c r="J107" s="159" t="e">
        <f>SUM(Project[[#This Row],[Discretionary Mark]:[Mark from ratings]])</f>
        <v>#REF!</v>
      </c>
      <c r="K107" s="159" t="e">
        <f>_xlfn.IFNA(IF(INDEX(#REF!,MATCH(Project[[#This Row],[Student No.]:[Student No.]], #REF!,0))&gt;0,"Yes",""),"")</f>
        <v>#REF!</v>
      </c>
      <c r="L107" s="142" t="e">
        <f>_xlfn.IFNA(IF(INDEX(#REF!,MATCH(Project[[#This Row],[Student No.]:[Student No.]], #REF!,0))="Code contribution less than 35%","Yes",""),"")</f>
        <v>#REF!</v>
      </c>
      <c r="M107"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07" s="152"/>
      <c r="O107"/>
      <c r="P107"/>
      <c r="Q107"/>
    </row>
    <row r="108" spans="1:17">
      <c r="A108" s="139" t="s">
        <v>377</v>
      </c>
      <c r="B108" s="144" t="s">
        <v>551</v>
      </c>
      <c r="C108" s="145" t="str">
        <f>IF(ISNUMBER(Project[[#This Row],[Mark after capping]]),IF(Project[[#This Row],[Mark after capping]]&lt;0,0,IF(Project[[#This Row],[Mark after capping]]&gt;100,100,Project[[#This Row],[Mark after capping]]/$M$3*100)),"")</f>
        <v/>
      </c>
      <c r="D108" s="146" t="e">
        <f>_xlfn.IFNA(INDEX(#REF!,MATCH(Project[[#This Row],[Student No.]:[Student No.]], #REF!,0)),"")</f>
        <v>#REF!</v>
      </c>
      <c r="E108" s="146" t="e">
        <f>_xlfn.IFNA(INDEX(#REF!,MATCH(Project[[#This Row],[Student No.]], #REF!,0)),"")</f>
        <v>#REF!</v>
      </c>
      <c r="F108" s="146" t="e">
        <f>_xlfn.IFNA(INDEX(#REF!,MATCH(Project[[#This Row],[Student No.]], #REF!,0)),"")</f>
        <v>#REF!</v>
      </c>
      <c r="G108" s="146" t="e">
        <f>_xlfn.IFNA(INDEX(#REF!,MATCH(Project[[#This Row],[Student No.]:[Student No.]], #REF!,0)),"")</f>
        <v>#REF!</v>
      </c>
      <c r="H108" s="146" t="e">
        <f>_xlfn.IFNA(INDEX(#REF!,MATCH(Project[[#This Row],[Student No.]:[Student No.]], #REF!,0)),"")</f>
        <v>#REF!</v>
      </c>
      <c r="I108" s="146" t="e">
        <f>_xlfn.IFNA(INDEX(#REF!,MATCH(Project[[#This Row],[Student No.]:[Student No.]], #REF!,0)),"")</f>
        <v>#REF!</v>
      </c>
      <c r="J108" s="159" t="e">
        <f>SUM(Project[[#This Row],[Discretionary Mark]:[Mark from ratings]])</f>
        <v>#REF!</v>
      </c>
      <c r="K108" s="159" t="e">
        <f>_xlfn.IFNA(IF(INDEX(#REF!,MATCH(Project[[#This Row],[Student No.]:[Student No.]], #REF!,0))&gt;0,"Yes",""),"")</f>
        <v>#REF!</v>
      </c>
      <c r="L108" s="146" t="e">
        <f>_xlfn.IFNA(IF(INDEX(#REF!,MATCH(Project[[#This Row],[Student No.]:[Student No.]], #REF!,0))="Code contribution less than 35%","Yes",""),"")</f>
        <v>#REF!</v>
      </c>
      <c r="M108"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08" s="152"/>
      <c r="O108"/>
      <c r="P108"/>
      <c r="Q108"/>
    </row>
    <row r="109" spans="1:17">
      <c r="A109" s="139" t="s">
        <v>378</v>
      </c>
      <c r="B109" s="140" t="s">
        <v>552</v>
      </c>
      <c r="C109" s="141" t="str">
        <f>IF(ISNUMBER(Project[[#This Row],[Mark after capping]]),IF(Project[[#This Row],[Mark after capping]]&lt;0,0,IF(Project[[#This Row],[Mark after capping]]&gt;100,100,Project[[#This Row],[Mark after capping]]/$M$3*100)),"")</f>
        <v/>
      </c>
      <c r="D109" s="142" t="e">
        <f>_xlfn.IFNA(INDEX(#REF!,MATCH(Project[[#This Row],[Student No.]:[Student No.]], #REF!,0)),"")</f>
        <v>#REF!</v>
      </c>
      <c r="E109" s="142" t="e">
        <f>_xlfn.IFNA(INDEX(#REF!,MATCH(Project[[#This Row],[Student No.]], #REF!,0)),"")</f>
        <v>#REF!</v>
      </c>
      <c r="F109" s="142" t="e">
        <f>_xlfn.IFNA(INDEX(#REF!,MATCH(Project[[#This Row],[Student No.]], #REF!,0)),"")</f>
        <v>#REF!</v>
      </c>
      <c r="G109" s="142" t="e">
        <f>_xlfn.IFNA(INDEX(#REF!,MATCH(Project[[#This Row],[Student No.]:[Student No.]], #REF!,0)),"")</f>
        <v>#REF!</v>
      </c>
      <c r="H109" s="142" t="e">
        <f>_xlfn.IFNA(INDEX(#REF!,MATCH(Project[[#This Row],[Student No.]:[Student No.]], #REF!,0)),"")</f>
        <v>#REF!</v>
      </c>
      <c r="I109" s="142" t="e">
        <f>_xlfn.IFNA(INDEX(#REF!,MATCH(Project[[#This Row],[Student No.]:[Student No.]], #REF!,0)),"")</f>
        <v>#REF!</v>
      </c>
      <c r="J109" s="159" t="e">
        <f>SUM(Project[[#This Row],[Discretionary Mark]:[Mark from ratings]])</f>
        <v>#REF!</v>
      </c>
      <c r="K109" s="159" t="e">
        <f>_xlfn.IFNA(IF(INDEX(#REF!,MATCH(Project[[#This Row],[Student No.]:[Student No.]], #REF!,0))&gt;0,"Yes",""),"")</f>
        <v>#REF!</v>
      </c>
      <c r="L109" s="142" t="e">
        <f>_xlfn.IFNA(IF(INDEX(#REF!,MATCH(Project[[#This Row],[Student No.]:[Student No.]], #REF!,0))="Code contribution less than 35%","Yes",""),"")</f>
        <v>#REF!</v>
      </c>
      <c r="M109"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09" s="152"/>
      <c r="O109"/>
      <c r="P109"/>
      <c r="Q109"/>
    </row>
    <row r="110" spans="1:17">
      <c r="A110" s="139" t="s">
        <v>379</v>
      </c>
      <c r="B110" s="140" t="s">
        <v>553</v>
      </c>
      <c r="C110" s="141" t="str">
        <f>IF(ISNUMBER(Project[[#This Row],[Mark after capping]]),IF(Project[[#This Row],[Mark after capping]]&lt;0,0,IF(Project[[#This Row],[Mark after capping]]&gt;100,100,Project[[#This Row],[Mark after capping]]/$M$3*100)),"")</f>
        <v/>
      </c>
      <c r="D110" s="142" t="e">
        <f>_xlfn.IFNA(INDEX(#REF!,MATCH(Project[[#This Row],[Student No.]:[Student No.]], #REF!,0)),"")</f>
        <v>#REF!</v>
      </c>
      <c r="E110" s="142" t="e">
        <f>_xlfn.IFNA(INDEX(#REF!,MATCH(Project[[#This Row],[Student No.]], #REF!,0)),"")</f>
        <v>#REF!</v>
      </c>
      <c r="F110" s="142" t="e">
        <f>_xlfn.IFNA(INDEX(#REF!,MATCH(Project[[#This Row],[Student No.]], #REF!,0)),"")</f>
        <v>#REF!</v>
      </c>
      <c r="G110" s="142" t="e">
        <f>_xlfn.IFNA(INDEX(#REF!,MATCH(Project[[#This Row],[Student No.]:[Student No.]], #REF!,0)),"")</f>
        <v>#REF!</v>
      </c>
      <c r="H110" s="142" t="e">
        <f>_xlfn.IFNA(INDEX(#REF!,MATCH(Project[[#This Row],[Student No.]:[Student No.]], #REF!,0)),"")</f>
        <v>#REF!</v>
      </c>
      <c r="I110" s="142" t="e">
        <f>_xlfn.IFNA(INDEX(#REF!,MATCH(Project[[#This Row],[Student No.]:[Student No.]], #REF!,0)),"")</f>
        <v>#REF!</v>
      </c>
      <c r="J110" s="159" t="e">
        <f>SUM(Project[[#This Row],[Discretionary Mark]:[Mark from ratings]])</f>
        <v>#REF!</v>
      </c>
      <c r="K110" s="159" t="e">
        <f>_xlfn.IFNA(IF(INDEX(#REF!,MATCH(Project[[#This Row],[Student No.]:[Student No.]], #REF!,0))&gt;0,"Yes",""),"")</f>
        <v>#REF!</v>
      </c>
      <c r="L110" s="142" t="e">
        <f>_xlfn.IFNA(IF(INDEX(#REF!,MATCH(Project[[#This Row],[Student No.]:[Student No.]], #REF!,0))="Code contribution less than 35%","Yes",""),"")</f>
        <v>#REF!</v>
      </c>
      <c r="M110"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10" s="152"/>
      <c r="O110"/>
      <c r="P110"/>
      <c r="Q110"/>
    </row>
    <row r="111" spans="1:17">
      <c r="A111" s="139" t="s">
        <v>380</v>
      </c>
      <c r="B111" s="140" t="s">
        <v>554</v>
      </c>
      <c r="C111" s="141" t="str">
        <f>IF(ISNUMBER(Project[[#This Row],[Mark after capping]]),IF(Project[[#This Row],[Mark after capping]]&lt;0,0,IF(Project[[#This Row],[Mark after capping]]&gt;100,100,Project[[#This Row],[Mark after capping]]/$M$3*100)),"")</f>
        <v/>
      </c>
      <c r="D111" s="142" t="e">
        <f>_xlfn.IFNA(INDEX(#REF!,MATCH(Project[[#This Row],[Student No.]:[Student No.]], #REF!,0)),"")</f>
        <v>#REF!</v>
      </c>
      <c r="E111" s="142" t="e">
        <f>_xlfn.IFNA(INDEX(#REF!,MATCH(Project[[#This Row],[Student No.]], #REF!,0)),"")</f>
        <v>#REF!</v>
      </c>
      <c r="F111" s="142" t="e">
        <f>_xlfn.IFNA(INDEX(#REF!,MATCH(Project[[#This Row],[Student No.]], #REF!,0)),"")</f>
        <v>#REF!</v>
      </c>
      <c r="G111" s="142" t="e">
        <f>_xlfn.IFNA(INDEX(#REF!,MATCH(Project[[#This Row],[Student No.]:[Student No.]], #REF!,0)),"")</f>
        <v>#REF!</v>
      </c>
      <c r="H111" s="142" t="e">
        <f>_xlfn.IFNA(INDEX(#REF!,MATCH(Project[[#This Row],[Student No.]:[Student No.]], #REF!,0)),"")</f>
        <v>#REF!</v>
      </c>
      <c r="I111" s="142" t="e">
        <f>_xlfn.IFNA(INDEX(#REF!,MATCH(Project[[#This Row],[Student No.]:[Student No.]], #REF!,0)),"")</f>
        <v>#REF!</v>
      </c>
      <c r="J111" s="159" t="e">
        <f>SUM(Project[[#This Row],[Discretionary Mark]:[Mark from ratings]])</f>
        <v>#REF!</v>
      </c>
      <c r="K111" s="159" t="e">
        <f>_xlfn.IFNA(IF(INDEX(#REF!,MATCH(Project[[#This Row],[Student No.]:[Student No.]], #REF!,0))&gt;0,"Yes",""),"")</f>
        <v>#REF!</v>
      </c>
      <c r="L111" s="142" t="e">
        <f>_xlfn.IFNA(IF(INDEX(#REF!,MATCH(Project[[#This Row],[Student No.]:[Student No.]], #REF!,0))="Code contribution less than 35%","Yes",""),"")</f>
        <v>#REF!</v>
      </c>
      <c r="M111"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11" s="152"/>
      <c r="O111"/>
      <c r="P111"/>
      <c r="Q111"/>
    </row>
    <row r="112" spans="1:17">
      <c r="A112" s="139" t="s">
        <v>381</v>
      </c>
      <c r="B112" s="140" t="s">
        <v>555</v>
      </c>
      <c r="C112" s="141" t="str">
        <f>IF(ISNUMBER(Project[[#This Row],[Mark after capping]]),IF(Project[[#This Row],[Mark after capping]]&lt;0,0,IF(Project[[#This Row],[Mark after capping]]&gt;100,100,Project[[#This Row],[Mark after capping]]/$M$3*100)),"")</f>
        <v/>
      </c>
      <c r="D112" s="142" t="e">
        <f>_xlfn.IFNA(INDEX(#REF!,MATCH(Project[[#This Row],[Student No.]:[Student No.]], #REF!,0)),"")</f>
        <v>#REF!</v>
      </c>
      <c r="E112" s="142" t="e">
        <f>_xlfn.IFNA(INDEX(#REF!,MATCH(Project[[#This Row],[Student No.]], #REF!,0)),"")</f>
        <v>#REF!</v>
      </c>
      <c r="F112" s="142" t="e">
        <f>_xlfn.IFNA(INDEX(#REF!,MATCH(Project[[#This Row],[Student No.]], #REF!,0)),"")</f>
        <v>#REF!</v>
      </c>
      <c r="G112" s="142" t="e">
        <f>_xlfn.IFNA(INDEX(#REF!,MATCH(Project[[#This Row],[Student No.]:[Student No.]], #REF!,0)),"")</f>
        <v>#REF!</v>
      </c>
      <c r="H112" s="142" t="e">
        <f>_xlfn.IFNA(INDEX(#REF!,MATCH(Project[[#This Row],[Student No.]:[Student No.]], #REF!,0)),"")</f>
        <v>#REF!</v>
      </c>
      <c r="I112" s="142" t="e">
        <f>_xlfn.IFNA(INDEX(#REF!,MATCH(Project[[#This Row],[Student No.]:[Student No.]], #REF!,0)),"")</f>
        <v>#REF!</v>
      </c>
      <c r="J112" s="159" t="e">
        <f>SUM(Project[[#This Row],[Discretionary Mark]:[Mark from ratings]])</f>
        <v>#REF!</v>
      </c>
      <c r="K112" s="159" t="e">
        <f>_xlfn.IFNA(IF(INDEX(#REF!,MATCH(Project[[#This Row],[Student No.]:[Student No.]], #REF!,0))&gt;0,"Yes",""),"")</f>
        <v>#REF!</v>
      </c>
      <c r="L112" s="142" t="e">
        <f>_xlfn.IFNA(IF(INDEX(#REF!,MATCH(Project[[#This Row],[Student No.]:[Student No.]], #REF!,0))="Code contribution less than 35%","Yes",""),"")</f>
        <v>#REF!</v>
      </c>
      <c r="M112"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12" s="152"/>
      <c r="O112"/>
      <c r="P112"/>
      <c r="Q112"/>
    </row>
    <row r="113" spans="1:17">
      <c r="A113" s="139" t="s">
        <v>382</v>
      </c>
      <c r="B113" s="140" t="s">
        <v>556</v>
      </c>
      <c r="C113" s="141" t="str">
        <f>IF(ISNUMBER(Project[[#This Row],[Mark after capping]]),IF(Project[[#This Row],[Mark after capping]]&lt;0,0,IF(Project[[#This Row],[Mark after capping]]&gt;100,100,Project[[#This Row],[Mark after capping]]/$M$3*100)),"")</f>
        <v/>
      </c>
      <c r="D113" s="142" t="e">
        <f>_xlfn.IFNA(INDEX(#REF!,MATCH(Project[[#This Row],[Student No.]:[Student No.]], #REF!,0)),"")</f>
        <v>#REF!</v>
      </c>
      <c r="E113" s="142" t="e">
        <f>_xlfn.IFNA(INDEX(#REF!,MATCH(Project[[#This Row],[Student No.]], #REF!,0)),"")</f>
        <v>#REF!</v>
      </c>
      <c r="F113" s="142" t="e">
        <f>_xlfn.IFNA(INDEX(#REF!,MATCH(Project[[#This Row],[Student No.]], #REF!,0)),"")</f>
        <v>#REF!</v>
      </c>
      <c r="G113" s="142" t="e">
        <f>_xlfn.IFNA(INDEX(#REF!,MATCH(Project[[#This Row],[Student No.]:[Student No.]], #REF!,0)),"")</f>
        <v>#REF!</v>
      </c>
      <c r="H113" s="142" t="e">
        <f>_xlfn.IFNA(INDEX(#REF!,MATCH(Project[[#This Row],[Student No.]:[Student No.]], #REF!,0)),"")</f>
        <v>#REF!</v>
      </c>
      <c r="I113" s="142" t="e">
        <f>_xlfn.IFNA(INDEX(#REF!,MATCH(Project[[#This Row],[Student No.]:[Student No.]], #REF!,0)),"")</f>
        <v>#REF!</v>
      </c>
      <c r="J113" s="159" t="e">
        <f>SUM(Project[[#This Row],[Discretionary Mark]:[Mark from ratings]])</f>
        <v>#REF!</v>
      </c>
      <c r="K113" s="159" t="e">
        <f>_xlfn.IFNA(IF(INDEX(#REF!,MATCH(Project[[#This Row],[Student No.]:[Student No.]], #REF!,0))&gt;0,"Yes",""),"")</f>
        <v>#REF!</v>
      </c>
      <c r="L113" s="142" t="e">
        <f>_xlfn.IFNA(IF(INDEX(#REF!,MATCH(Project[[#This Row],[Student No.]:[Student No.]], #REF!,0))="Code contribution less than 35%","Yes",""),"")</f>
        <v>#REF!</v>
      </c>
      <c r="M113"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13" s="152"/>
      <c r="O113"/>
      <c r="P113"/>
      <c r="Q113"/>
    </row>
    <row r="114" spans="1:17">
      <c r="A114" s="139" t="s">
        <v>383</v>
      </c>
      <c r="B114" s="140" t="s">
        <v>557</v>
      </c>
      <c r="C114" s="141" t="str">
        <f>IF(ISNUMBER(Project[[#This Row],[Mark after capping]]),IF(Project[[#This Row],[Mark after capping]]&lt;0,0,IF(Project[[#This Row],[Mark after capping]]&gt;100,100,Project[[#This Row],[Mark after capping]]/$M$3*100)),"")</f>
        <v/>
      </c>
      <c r="D114" s="142" t="e">
        <f>_xlfn.IFNA(INDEX(#REF!,MATCH(Project[[#This Row],[Student No.]:[Student No.]], #REF!,0)),"")</f>
        <v>#REF!</v>
      </c>
      <c r="E114" s="142" t="e">
        <f>_xlfn.IFNA(INDEX(#REF!,MATCH(Project[[#This Row],[Student No.]], #REF!,0)),"")</f>
        <v>#REF!</v>
      </c>
      <c r="F114" s="142" t="e">
        <f>_xlfn.IFNA(INDEX(#REF!,MATCH(Project[[#This Row],[Student No.]], #REF!,0)),"")</f>
        <v>#REF!</v>
      </c>
      <c r="G114" s="142" t="e">
        <f>_xlfn.IFNA(INDEX(#REF!,MATCH(Project[[#This Row],[Student No.]:[Student No.]], #REF!,0)),"")</f>
        <v>#REF!</v>
      </c>
      <c r="H114" s="142" t="e">
        <f>_xlfn.IFNA(INDEX(#REF!,MATCH(Project[[#This Row],[Student No.]:[Student No.]], #REF!,0)),"")</f>
        <v>#REF!</v>
      </c>
      <c r="I114" s="142" t="e">
        <f>_xlfn.IFNA(INDEX(#REF!,MATCH(Project[[#This Row],[Student No.]:[Student No.]], #REF!,0)),"")</f>
        <v>#REF!</v>
      </c>
      <c r="J114" s="159" t="e">
        <f>SUM(Project[[#This Row],[Discretionary Mark]:[Mark from ratings]])</f>
        <v>#REF!</v>
      </c>
      <c r="K114" s="159" t="e">
        <f>_xlfn.IFNA(IF(INDEX(#REF!,MATCH(Project[[#This Row],[Student No.]:[Student No.]], #REF!,0))&gt;0,"Yes",""),"")</f>
        <v>#REF!</v>
      </c>
      <c r="L114" s="142" t="e">
        <f>_xlfn.IFNA(IF(INDEX(#REF!,MATCH(Project[[#This Row],[Student No.]:[Student No.]], #REF!,0))="Code contribution less than 35%","Yes",""),"")</f>
        <v>#REF!</v>
      </c>
      <c r="M114"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14" s="152"/>
      <c r="O114"/>
      <c r="P114"/>
      <c r="Q114"/>
    </row>
    <row r="115" spans="1:17">
      <c r="A115" s="139" t="s">
        <v>385</v>
      </c>
      <c r="B115" s="140" t="s">
        <v>558</v>
      </c>
      <c r="C115" s="141" t="str">
        <f>IF(ISNUMBER(Project[[#This Row],[Mark after capping]]),IF(Project[[#This Row],[Mark after capping]]&lt;0,0,IF(Project[[#This Row],[Mark after capping]]&gt;100,100,Project[[#This Row],[Mark after capping]]/$M$3*100)),"")</f>
        <v/>
      </c>
      <c r="D115" s="142" t="e">
        <f>_xlfn.IFNA(INDEX(#REF!,MATCH(Project[[#This Row],[Student No.]:[Student No.]], #REF!,0)),"")</f>
        <v>#REF!</v>
      </c>
      <c r="E115" s="142" t="e">
        <f>_xlfn.IFNA(INDEX(#REF!,MATCH(Project[[#This Row],[Student No.]], #REF!,0)),"")</f>
        <v>#REF!</v>
      </c>
      <c r="F115" s="142" t="e">
        <f>_xlfn.IFNA(INDEX(#REF!,MATCH(Project[[#This Row],[Student No.]], #REF!,0)),"")</f>
        <v>#REF!</v>
      </c>
      <c r="G115" s="142" t="e">
        <f>_xlfn.IFNA(INDEX(#REF!,MATCH(Project[[#This Row],[Student No.]:[Student No.]], #REF!,0)),"")</f>
        <v>#REF!</v>
      </c>
      <c r="H115" s="142" t="e">
        <f>_xlfn.IFNA(INDEX(#REF!,MATCH(Project[[#This Row],[Student No.]:[Student No.]], #REF!,0)),"")</f>
        <v>#REF!</v>
      </c>
      <c r="I115" s="142" t="e">
        <f>_xlfn.IFNA(INDEX(#REF!,MATCH(Project[[#This Row],[Student No.]:[Student No.]], #REF!,0)),"")</f>
        <v>#REF!</v>
      </c>
      <c r="J115" s="159" t="e">
        <f>SUM(Project[[#This Row],[Discretionary Mark]:[Mark from ratings]])</f>
        <v>#REF!</v>
      </c>
      <c r="K115" s="159" t="e">
        <f>_xlfn.IFNA(IF(INDEX(#REF!,MATCH(Project[[#This Row],[Student No.]:[Student No.]], #REF!,0))&gt;0,"Yes",""),"")</f>
        <v>#REF!</v>
      </c>
      <c r="L115" s="142" t="e">
        <f>_xlfn.IFNA(IF(INDEX(#REF!,MATCH(Project[[#This Row],[Student No.]:[Student No.]], #REF!,0))="Code contribution less than 35%","Yes",""),"")</f>
        <v>#REF!</v>
      </c>
      <c r="M115"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15" s="152"/>
      <c r="O115"/>
      <c r="P115"/>
      <c r="Q115"/>
    </row>
    <row r="116" spans="1:17">
      <c r="A116" s="139" t="s">
        <v>386</v>
      </c>
      <c r="B116" s="140" t="s">
        <v>559</v>
      </c>
      <c r="C116" s="141" t="str">
        <f>IF(ISNUMBER(Project[[#This Row],[Mark after capping]]),IF(Project[[#This Row],[Mark after capping]]&lt;0,0,IF(Project[[#This Row],[Mark after capping]]&gt;100,100,Project[[#This Row],[Mark after capping]]/$M$3*100)),"")</f>
        <v/>
      </c>
      <c r="D116" s="142" t="e">
        <f>_xlfn.IFNA(INDEX(#REF!,MATCH(Project[[#This Row],[Student No.]:[Student No.]], #REF!,0)),"")</f>
        <v>#REF!</v>
      </c>
      <c r="E116" s="142" t="e">
        <f>_xlfn.IFNA(INDEX(#REF!,MATCH(Project[[#This Row],[Student No.]], #REF!,0)),"")</f>
        <v>#REF!</v>
      </c>
      <c r="F116" s="142" t="e">
        <f>_xlfn.IFNA(INDEX(#REF!,MATCH(Project[[#This Row],[Student No.]], #REF!,0)),"")</f>
        <v>#REF!</v>
      </c>
      <c r="G116" s="142" t="e">
        <f>_xlfn.IFNA(INDEX(#REF!,MATCH(Project[[#This Row],[Student No.]:[Student No.]], #REF!,0)),"")</f>
        <v>#REF!</v>
      </c>
      <c r="H116" s="142" t="e">
        <f>_xlfn.IFNA(INDEX(#REF!,MATCH(Project[[#This Row],[Student No.]:[Student No.]], #REF!,0)),"")</f>
        <v>#REF!</v>
      </c>
      <c r="I116" s="142" t="e">
        <f>_xlfn.IFNA(INDEX(#REF!,MATCH(Project[[#This Row],[Student No.]:[Student No.]], #REF!,0)),"")</f>
        <v>#REF!</v>
      </c>
      <c r="J116" s="159" t="e">
        <f>SUM(Project[[#This Row],[Discretionary Mark]:[Mark from ratings]])</f>
        <v>#REF!</v>
      </c>
      <c r="K116" s="159" t="e">
        <f>_xlfn.IFNA(IF(INDEX(#REF!,MATCH(Project[[#This Row],[Student No.]:[Student No.]], #REF!,0))&gt;0,"Yes",""),"")</f>
        <v>#REF!</v>
      </c>
      <c r="L116" s="142" t="e">
        <f>_xlfn.IFNA(IF(INDEX(#REF!,MATCH(Project[[#This Row],[Student No.]:[Student No.]], #REF!,0))="Code contribution less than 35%","Yes",""),"")</f>
        <v>#REF!</v>
      </c>
      <c r="M116"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16" s="152"/>
      <c r="O116"/>
      <c r="P116"/>
      <c r="Q116"/>
    </row>
    <row r="117" spans="1:17">
      <c r="A117" s="139" t="s">
        <v>387</v>
      </c>
      <c r="B117" s="140" t="s">
        <v>560</v>
      </c>
      <c r="C117" s="141" t="str">
        <f>IF(ISNUMBER(Project[[#This Row],[Mark after capping]]),IF(Project[[#This Row],[Mark after capping]]&lt;0,0,IF(Project[[#This Row],[Mark after capping]]&gt;100,100,Project[[#This Row],[Mark after capping]]/$M$3*100)),"")</f>
        <v/>
      </c>
      <c r="D117" s="142" t="e">
        <f>_xlfn.IFNA(INDEX(#REF!,MATCH(Project[[#This Row],[Student No.]:[Student No.]], #REF!,0)),"")</f>
        <v>#REF!</v>
      </c>
      <c r="E117" s="142" t="e">
        <f>_xlfn.IFNA(INDEX(#REF!,MATCH(Project[[#This Row],[Student No.]], #REF!,0)),"")</f>
        <v>#REF!</v>
      </c>
      <c r="F117" s="142" t="e">
        <f>_xlfn.IFNA(INDEX(#REF!,MATCH(Project[[#This Row],[Student No.]], #REF!,0)),"")</f>
        <v>#REF!</v>
      </c>
      <c r="G117" s="142" t="e">
        <f>_xlfn.IFNA(INDEX(#REF!,MATCH(Project[[#This Row],[Student No.]:[Student No.]], #REF!,0)),"")</f>
        <v>#REF!</v>
      </c>
      <c r="H117" s="142" t="e">
        <f>_xlfn.IFNA(INDEX(#REF!,MATCH(Project[[#This Row],[Student No.]:[Student No.]], #REF!,0)),"")</f>
        <v>#REF!</v>
      </c>
      <c r="I117" s="142" t="e">
        <f>_xlfn.IFNA(INDEX(#REF!,MATCH(Project[[#This Row],[Student No.]:[Student No.]], #REF!,0)),"")</f>
        <v>#REF!</v>
      </c>
      <c r="J117" s="159" t="e">
        <f>SUM(Project[[#This Row],[Discretionary Mark]:[Mark from ratings]])</f>
        <v>#REF!</v>
      </c>
      <c r="K117" s="159" t="e">
        <f>_xlfn.IFNA(IF(INDEX(#REF!,MATCH(Project[[#This Row],[Student No.]:[Student No.]], #REF!,0))&gt;0,"Yes",""),"")</f>
        <v>#REF!</v>
      </c>
      <c r="L117" s="142" t="e">
        <f>_xlfn.IFNA(IF(INDEX(#REF!,MATCH(Project[[#This Row],[Student No.]:[Student No.]], #REF!,0))="Code contribution less than 35%","Yes",""),"")</f>
        <v>#REF!</v>
      </c>
      <c r="M117"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17" s="152"/>
      <c r="O117"/>
      <c r="P117"/>
      <c r="Q117"/>
    </row>
    <row r="118" spans="1:17">
      <c r="A118" s="139" t="s">
        <v>388</v>
      </c>
      <c r="B118" s="140" t="s">
        <v>561</v>
      </c>
      <c r="C118" s="141" t="str">
        <f>IF(ISNUMBER(Project[[#This Row],[Mark after capping]]),IF(Project[[#This Row],[Mark after capping]]&lt;0,0,IF(Project[[#This Row],[Mark after capping]]&gt;100,100,Project[[#This Row],[Mark after capping]]/$M$3*100)),"")</f>
        <v/>
      </c>
      <c r="D118" s="142" t="e">
        <f>_xlfn.IFNA(INDEX(#REF!,MATCH(Project[[#This Row],[Student No.]:[Student No.]], #REF!,0)),"")</f>
        <v>#REF!</v>
      </c>
      <c r="E118" s="142" t="e">
        <f>_xlfn.IFNA(INDEX(#REF!,MATCH(Project[[#This Row],[Student No.]], #REF!,0)),"")</f>
        <v>#REF!</v>
      </c>
      <c r="F118" s="142" t="e">
        <f>_xlfn.IFNA(INDEX(#REF!,MATCH(Project[[#This Row],[Student No.]], #REF!,0)),"")</f>
        <v>#REF!</v>
      </c>
      <c r="G118" s="142" t="e">
        <f>_xlfn.IFNA(INDEX(#REF!,MATCH(Project[[#This Row],[Student No.]:[Student No.]], #REF!,0)),"")</f>
        <v>#REF!</v>
      </c>
      <c r="H118" s="142" t="e">
        <f>_xlfn.IFNA(INDEX(#REF!,MATCH(Project[[#This Row],[Student No.]:[Student No.]], #REF!,0)),"")</f>
        <v>#REF!</v>
      </c>
      <c r="I118" s="142" t="e">
        <f>_xlfn.IFNA(INDEX(#REF!,MATCH(Project[[#This Row],[Student No.]:[Student No.]], #REF!,0)),"")</f>
        <v>#REF!</v>
      </c>
      <c r="J118" s="159" t="e">
        <f>SUM(Project[[#This Row],[Discretionary Mark]:[Mark from ratings]])</f>
        <v>#REF!</v>
      </c>
      <c r="K118" s="159" t="e">
        <f>_xlfn.IFNA(IF(INDEX(#REF!,MATCH(Project[[#This Row],[Student No.]:[Student No.]], #REF!,0))&gt;0,"Yes",""),"")</f>
        <v>#REF!</v>
      </c>
      <c r="L118" s="142" t="e">
        <f>_xlfn.IFNA(IF(INDEX(#REF!,MATCH(Project[[#This Row],[Student No.]:[Student No.]], #REF!,0))="Code contribution less than 35%","Yes",""),"")</f>
        <v>#REF!</v>
      </c>
      <c r="M118"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18" s="152"/>
      <c r="O118"/>
      <c r="P118"/>
      <c r="Q118"/>
    </row>
    <row r="119" spans="1:17">
      <c r="A119" s="139" t="s">
        <v>389</v>
      </c>
      <c r="B119" s="140" t="s">
        <v>562</v>
      </c>
      <c r="C119" s="141" t="str">
        <f>IF(ISNUMBER(Project[[#This Row],[Mark after capping]]),IF(Project[[#This Row],[Mark after capping]]&lt;0,0,IF(Project[[#This Row],[Mark after capping]]&gt;100,100,Project[[#This Row],[Mark after capping]]/$M$3*100)),"")</f>
        <v/>
      </c>
      <c r="D119" s="142" t="e">
        <f>_xlfn.IFNA(INDEX(#REF!,MATCH(Project[[#This Row],[Student No.]:[Student No.]], #REF!,0)),"")</f>
        <v>#REF!</v>
      </c>
      <c r="E119" s="142" t="e">
        <f>_xlfn.IFNA(INDEX(#REF!,MATCH(Project[[#This Row],[Student No.]], #REF!,0)),"")</f>
        <v>#REF!</v>
      </c>
      <c r="F119" s="142" t="e">
        <f>_xlfn.IFNA(INDEX(#REF!,MATCH(Project[[#This Row],[Student No.]], #REF!,0)),"")</f>
        <v>#REF!</v>
      </c>
      <c r="G119" s="142" t="e">
        <f>_xlfn.IFNA(INDEX(#REF!,MATCH(Project[[#This Row],[Student No.]:[Student No.]], #REF!,0)),"")</f>
        <v>#REF!</v>
      </c>
      <c r="H119" s="142" t="e">
        <f>_xlfn.IFNA(INDEX(#REF!,MATCH(Project[[#This Row],[Student No.]:[Student No.]], #REF!,0)),"")</f>
        <v>#REF!</v>
      </c>
      <c r="I119" s="142" t="e">
        <f>_xlfn.IFNA(INDEX(#REF!,MATCH(Project[[#This Row],[Student No.]:[Student No.]], #REF!,0)),"")</f>
        <v>#REF!</v>
      </c>
      <c r="J119" s="159" t="e">
        <f>SUM(Project[[#This Row],[Discretionary Mark]:[Mark from ratings]])</f>
        <v>#REF!</v>
      </c>
      <c r="K119" s="159" t="e">
        <f>_xlfn.IFNA(IF(INDEX(#REF!,MATCH(Project[[#This Row],[Student No.]:[Student No.]], #REF!,0))&gt;0,"Yes",""),"")</f>
        <v>#REF!</v>
      </c>
      <c r="L119" s="142" t="e">
        <f>_xlfn.IFNA(IF(INDEX(#REF!,MATCH(Project[[#This Row],[Student No.]:[Student No.]], #REF!,0))="Code contribution less than 35%","Yes",""),"")</f>
        <v>#REF!</v>
      </c>
      <c r="M119"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19" s="152"/>
      <c r="O119"/>
      <c r="P119"/>
      <c r="Q119"/>
    </row>
    <row r="120" spans="1:17">
      <c r="A120" s="139" t="s">
        <v>390</v>
      </c>
      <c r="B120" s="140" t="s">
        <v>563</v>
      </c>
      <c r="C120" s="141" t="str">
        <f>IF(ISNUMBER(Project[[#This Row],[Mark after capping]]),IF(Project[[#This Row],[Mark after capping]]&lt;0,0,IF(Project[[#This Row],[Mark after capping]]&gt;100,100,Project[[#This Row],[Mark after capping]]/$M$3*100)),"")</f>
        <v/>
      </c>
      <c r="D120" s="142" t="e">
        <f>_xlfn.IFNA(INDEX(#REF!,MATCH(Project[[#This Row],[Student No.]:[Student No.]], #REF!,0)),"")</f>
        <v>#REF!</v>
      </c>
      <c r="E120" s="142" t="e">
        <f>_xlfn.IFNA(INDEX(#REF!,MATCH(Project[[#This Row],[Student No.]], #REF!,0)),"")</f>
        <v>#REF!</v>
      </c>
      <c r="F120" s="142" t="e">
        <f>_xlfn.IFNA(INDEX(#REF!,MATCH(Project[[#This Row],[Student No.]], #REF!,0)),"")</f>
        <v>#REF!</v>
      </c>
      <c r="G120" s="142" t="e">
        <f>_xlfn.IFNA(INDEX(#REF!,MATCH(Project[[#This Row],[Student No.]:[Student No.]], #REF!,0)),"")</f>
        <v>#REF!</v>
      </c>
      <c r="H120" s="142" t="e">
        <f>_xlfn.IFNA(INDEX(#REF!,MATCH(Project[[#This Row],[Student No.]:[Student No.]], #REF!,0)),"")</f>
        <v>#REF!</v>
      </c>
      <c r="I120" s="142" t="e">
        <f>_xlfn.IFNA(INDEX(#REF!,MATCH(Project[[#This Row],[Student No.]:[Student No.]], #REF!,0)),"")</f>
        <v>#REF!</v>
      </c>
      <c r="J120" s="159" t="e">
        <f>SUM(Project[[#This Row],[Discretionary Mark]:[Mark from ratings]])</f>
        <v>#REF!</v>
      </c>
      <c r="K120" s="159" t="e">
        <f>_xlfn.IFNA(IF(INDEX(#REF!,MATCH(Project[[#This Row],[Student No.]:[Student No.]], #REF!,0))&gt;0,"Yes",""),"")</f>
        <v>#REF!</v>
      </c>
      <c r="L120" s="142" t="e">
        <f>_xlfn.IFNA(IF(INDEX(#REF!,MATCH(Project[[#This Row],[Student No.]:[Student No.]], #REF!,0))="Code contribution less than 35%","Yes",""),"")</f>
        <v>#REF!</v>
      </c>
      <c r="M120"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20" s="152"/>
      <c r="O120"/>
      <c r="P120"/>
      <c r="Q120"/>
    </row>
    <row r="121" spans="1:17">
      <c r="A121" s="139" t="s">
        <v>391</v>
      </c>
      <c r="B121" s="140" t="s">
        <v>564</v>
      </c>
      <c r="C121" s="141" t="str">
        <f>IF(ISNUMBER(Project[[#This Row],[Mark after capping]]),IF(Project[[#This Row],[Mark after capping]]&lt;0,0,IF(Project[[#This Row],[Mark after capping]]&gt;100,100,Project[[#This Row],[Mark after capping]]/$M$3*100)),"")</f>
        <v/>
      </c>
      <c r="D121" s="142" t="e">
        <f>_xlfn.IFNA(INDEX(#REF!,MATCH(Project[[#This Row],[Student No.]:[Student No.]], #REF!,0)),"")</f>
        <v>#REF!</v>
      </c>
      <c r="E121" s="142" t="e">
        <f>_xlfn.IFNA(INDEX(#REF!,MATCH(Project[[#This Row],[Student No.]], #REF!,0)),"")</f>
        <v>#REF!</v>
      </c>
      <c r="F121" s="142" t="e">
        <f>_xlfn.IFNA(INDEX(#REF!,MATCH(Project[[#This Row],[Student No.]], #REF!,0)),"")</f>
        <v>#REF!</v>
      </c>
      <c r="G121" s="142" t="e">
        <f>_xlfn.IFNA(INDEX(#REF!,MATCH(Project[[#This Row],[Student No.]:[Student No.]], #REF!,0)),"")</f>
        <v>#REF!</v>
      </c>
      <c r="H121" s="142" t="e">
        <f>_xlfn.IFNA(INDEX(#REF!,MATCH(Project[[#This Row],[Student No.]:[Student No.]], #REF!,0)),"")</f>
        <v>#REF!</v>
      </c>
      <c r="I121" s="142" t="e">
        <f>_xlfn.IFNA(INDEX(#REF!,MATCH(Project[[#This Row],[Student No.]:[Student No.]], #REF!,0)),"")</f>
        <v>#REF!</v>
      </c>
      <c r="J121" s="159" t="e">
        <f>SUM(Project[[#This Row],[Discretionary Mark]:[Mark from ratings]])</f>
        <v>#REF!</v>
      </c>
      <c r="K121" s="159" t="e">
        <f>_xlfn.IFNA(IF(INDEX(#REF!,MATCH(Project[[#This Row],[Student No.]:[Student No.]], #REF!,0))&gt;0,"Yes",""),"")</f>
        <v>#REF!</v>
      </c>
      <c r="L121" s="142" t="e">
        <f>_xlfn.IFNA(IF(INDEX(#REF!,MATCH(Project[[#This Row],[Student No.]:[Student No.]], #REF!,0))="Code contribution less than 35%","Yes",""),"")</f>
        <v>#REF!</v>
      </c>
      <c r="M121"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21" s="152"/>
      <c r="O121"/>
      <c r="P121"/>
      <c r="Q121"/>
    </row>
    <row r="122" spans="1:17">
      <c r="A122" s="139" t="s">
        <v>392</v>
      </c>
      <c r="B122" s="140" t="s">
        <v>565</v>
      </c>
      <c r="C122" s="141" t="str">
        <f>IF(ISNUMBER(Project[[#This Row],[Mark after capping]]),IF(Project[[#This Row],[Mark after capping]]&lt;0,0,IF(Project[[#This Row],[Mark after capping]]&gt;100,100,Project[[#This Row],[Mark after capping]]/$M$3*100)),"")</f>
        <v/>
      </c>
      <c r="D122" s="142" t="e">
        <f>_xlfn.IFNA(INDEX(#REF!,MATCH(Project[[#This Row],[Student No.]:[Student No.]], #REF!,0)),"")</f>
        <v>#REF!</v>
      </c>
      <c r="E122" s="142" t="e">
        <f>_xlfn.IFNA(INDEX(#REF!,MATCH(Project[[#This Row],[Student No.]], #REF!,0)),"")</f>
        <v>#REF!</v>
      </c>
      <c r="F122" s="142" t="e">
        <f>_xlfn.IFNA(INDEX(#REF!,MATCH(Project[[#This Row],[Student No.]], #REF!,0)),"")</f>
        <v>#REF!</v>
      </c>
      <c r="G122" s="142" t="e">
        <f>_xlfn.IFNA(INDEX(#REF!,MATCH(Project[[#This Row],[Student No.]:[Student No.]], #REF!,0)),"")</f>
        <v>#REF!</v>
      </c>
      <c r="H122" s="142" t="e">
        <f>_xlfn.IFNA(INDEX(#REF!,MATCH(Project[[#This Row],[Student No.]:[Student No.]], #REF!,0)),"")</f>
        <v>#REF!</v>
      </c>
      <c r="I122" s="142" t="e">
        <f>_xlfn.IFNA(INDEX(#REF!,MATCH(Project[[#This Row],[Student No.]:[Student No.]], #REF!,0)),"")</f>
        <v>#REF!</v>
      </c>
      <c r="J122" s="159" t="e">
        <f>SUM(Project[[#This Row],[Discretionary Mark]:[Mark from ratings]])</f>
        <v>#REF!</v>
      </c>
      <c r="K122" s="159" t="e">
        <f>_xlfn.IFNA(IF(INDEX(#REF!,MATCH(Project[[#This Row],[Student No.]:[Student No.]], #REF!,0))&gt;0,"Yes",""),"")</f>
        <v>#REF!</v>
      </c>
      <c r="L122" s="142" t="e">
        <f>_xlfn.IFNA(IF(INDEX(#REF!,MATCH(Project[[#This Row],[Student No.]:[Student No.]], #REF!,0))="Code contribution less than 35%","Yes",""),"")</f>
        <v>#REF!</v>
      </c>
      <c r="M122"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22" s="152"/>
      <c r="O122"/>
      <c r="P122"/>
      <c r="Q122"/>
    </row>
    <row r="123" spans="1:17">
      <c r="A123" s="139" t="s">
        <v>393</v>
      </c>
      <c r="B123" s="140" t="s">
        <v>566</v>
      </c>
      <c r="C123" s="141" t="str">
        <f>IF(ISNUMBER(Project[[#This Row],[Mark after capping]]),IF(Project[[#This Row],[Mark after capping]]&lt;0,0,IF(Project[[#This Row],[Mark after capping]]&gt;100,100,Project[[#This Row],[Mark after capping]]/$M$3*100)),"")</f>
        <v/>
      </c>
      <c r="D123" s="142" t="e">
        <f>_xlfn.IFNA(INDEX(#REF!,MATCH(Project[[#This Row],[Student No.]:[Student No.]], #REF!,0)),"")</f>
        <v>#REF!</v>
      </c>
      <c r="E123" s="142" t="e">
        <f>_xlfn.IFNA(INDEX(#REF!,MATCH(Project[[#This Row],[Student No.]], #REF!,0)),"")</f>
        <v>#REF!</v>
      </c>
      <c r="F123" s="142" t="e">
        <f>_xlfn.IFNA(INDEX(#REF!,MATCH(Project[[#This Row],[Student No.]], #REF!,0)),"")</f>
        <v>#REF!</v>
      </c>
      <c r="G123" s="142" t="e">
        <f>_xlfn.IFNA(INDEX(#REF!,MATCH(Project[[#This Row],[Student No.]:[Student No.]], #REF!,0)),"")</f>
        <v>#REF!</v>
      </c>
      <c r="H123" s="142" t="e">
        <f>_xlfn.IFNA(INDEX(#REF!,MATCH(Project[[#This Row],[Student No.]:[Student No.]], #REF!,0)),"")</f>
        <v>#REF!</v>
      </c>
      <c r="I123" s="142" t="e">
        <f>_xlfn.IFNA(INDEX(#REF!,MATCH(Project[[#This Row],[Student No.]:[Student No.]], #REF!,0)),"")</f>
        <v>#REF!</v>
      </c>
      <c r="J123" s="159" t="e">
        <f>SUM(Project[[#This Row],[Discretionary Mark]:[Mark from ratings]])</f>
        <v>#REF!</v>
      </c>
      <c r="K123" s="159" t="e">
        <f>_xlfn.IFNA(IF(INDEX(#REF!,MATCH(Project[[#This Row],[Student No.]:[Student No.]], #REF!,0))&gt;0,"Yes",""),"")</f>
        <v>#REF!</v>
      </c>
      <c r="L123" s="142" t="e">
        <f>_xlfn.IFNA(IF(INDEX(#REF!,MATCH(Project[[#This Row],[Student No.]:[Student No.]], #REF!,0))="Code contribution less than 35%","Yes",""),"")</f>
        <v>#REF!</v>
      </c>
      <c r="M123"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23" s="152"/>
      <c r="O123"/>
      <c r="P123"/>
      <c r="Q123"/>
    </row>
    <row r="124" spans="1:17">
      <c r="A124" s="139" t="s">
        <v>394</v>
      </c>
      <c r="B124" s="140" t="s">
        <v>567</v>
      </c>
      <c r="C124" s="141" t="str">
        <f>IF(ISNUMBER(Project[[#This Row],[Mark after capping]]),IF(Project[[#This Row],[Mark after capping]]&lt;0,0,IF(Project[[#This Row],[Mark after capping]]&gt;100,100,Project[[#This Row],[Mark after capping]]/$M$3*100)),"")</f>
        <v/>
      </c>
      <c r="D124" s="142" t="e">
        <f>_xlfn.IFNA(INDEX(#REF!,MATCH(Project[[#This Row],[Student No.]:[Student No.]], #REF!,0)),"")</f>
        <v>#REF!</v>
      </c>
      <c r="E124" s="142" t="e">
        <f>_xlfn.IFNA(INDEX(#REF!,MATCH(Project[[#This Row],[Student No.]], #REF!,0)),"")</f>
        <v>#REF!</v>
      </c>
      <c r="F124" s="142" t="e">
        <f>_xlfn.IFNA(INDEX(#REF!,MATCH(Project[[#This Row],[Student No.]], #REF!,0)),"")</f>
        <v>#REF!</v>
      </c>
      <c r="G124" s="142" t="e">
        <f>_xlfn.IFNA(INDEX(#REF!,MATCH(Project[[#This Row],[Student No.]:[Student No.]], #REF!,0)),"")</f>
        <v>#REF!</v>
      </c>
      <c r="H124" s="142" t="e">
        <f>_xlfn.IFNA(INDEX(#REF!,MATCH(Project[[#This Row],[Student No.]:[Student No.]], #REF!,0)),"")</f>
        <v>#REF!</v>
      </c>
      <c r="I124" s="142" t="e">
        <f>_xlfn.IFNA(INDEX(#REF!,MATCH(Project[[#This Row],[Student No.]:[Student No.]], #REF!,0)),"")</f>
        <v>#REF!</v>
      </c>
      <c r="J124" s="159" t="e">
        <f>SUM(Project[[#This Row],[Discretionary Mark]:[Mark from ratings]])</f>
        <v>#REF!</v>
      </c>
      <c r="K124" s="159" t="e">
        <f>_xlfn.IFNA(IF(INDEX(#REF!,MATCH(Project[[#This Row],[Student No.]:[Student No.]], #REF!,0))&gt;0,"Yes",""),"")</f>
        <v>#REF!</v>
      </c>
      <c r="L124" s="142" t="e">
        <f>_xlfn.IFNA(IF(INDEX(#REF!,MATCH(Project[[#This Row],[Student No.]:[Student No.]], #REF!,0))="Code contribution less than 35%","Yes",""),"")</f>
        <v>#REF!</v>
      </c>
      <c r="M124"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24" s="152"/>
      <c r="O124"/>
      <c r="P124"/>
      <c r="Q124"/>
    </row>
    <row r="125" spans="1:17">
      <c r="A125" s="139" t="s">
        <v>395</v>
      </c>
      <c r="B125" s="144" t="s">
        <v>568</v>
      </c>
      <c r="C125" s="145" t="str">
        <f>IF(ISNUMBER(Project[[#This Row],[Mark after capping]]),IF(Project[[#This Row],[Mark after capping]]&lt;0,0,IF(Project[[#This Row],[Mark after capping]]&gt;100,100,Project[[#This Row],[Mark after capping]]/$M$3*100)),"")</f>
        <v/>
      </c>
      <c r="D125" s="146" t="e">
        <f>_xlfn.IFNA(INDEX(#REF!,MATCH(Project[[#This Row],[Student No.]:[Student No.]], #REF!,0)),"")</f>
        <v>#REF!</v>
      </c>
      <c r="E125" s="146" t="e">
        <f>_xlfn.IFNA(INDEX(#REF!,MATCH(Project[[#This Row],[Student No.]], #REF!,0)),"")</f>
        <v>#REF!</v>
      </c>
      <c r="F125" s="146" t="e">
        <f>_xlfn.IFNA(INDEX(#REF!,MATCH(Project[[#This Row],[Student No.]], #REF!,0)),"")</f>
        <v>#REF!</v>
      </c>
      <c r="G125" s="146" t="e">
        <f>_xlfn.IFNA(INDEX(#REF!,MATCH(Project[[#This Row],[Student No.]:[Student No.]], #REF!,0)),"")</f>
        <v>#REF!</v>
      </c>
      <c r="H125" s="146" t="e">
        <f>_xlfn.IFNA(INDEX(#REF!,MATCH(Project[[#This Row],[Student No.]:[Student No.]], #REF!,0)),"")</f>
        <v>#REF!</v>
      </c>
      <c r="I125" s="146" t="e">
        <f>_xlfn.IFNA(INDEX(#REF!,MATCH(Project[[#This Row],[Student No.]:[Student No.]], #REF!,0)),"")</f>
        <v>#REF!</v>
      </c>
      <c r="J125" s="159" t="e">
        <f>SUM(Project[[#This Row],[Discretionary Mark]:[Mark from ratings]])</f>
        <v>#REF!</v>
      </c>
      <c r="K125" s="159" t="e">
        <f>_xlfn.IFNA(IF(INDEX(#REF!,MATCH(Project[[#This Row],[Student No.]:[Student No.]], #REF!,0))&gt;0,"Yes",""),"")</f>
        <v>#REF!</v>
      </c>
      <c r="L125" s="146" t="e">
        <f>_xlfn.IFNA(IF(INDEX(#REF!,MATCH(Project[[#This Row],[Student No.]:[Student No.]], #REF!,0))="Code contribution less than 35%","Yes",""),"")</f>
        <v>#REF!</v>
      </c>
      <c r="M125"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25" s="152"/>
      <c r="O125"/>
      <c r="P125"/>
      <c r="Q125"/>
    </row>
    <row r="126" spans="1:17">
      <c r="A126" s="139" t="s">
        <v>396</v>
      </c>
      <c r="B126" s="140" t="s">
        <v>569</v>
      </c>
      <c r="C126" s="141" t="str">
        <f>IF(ISNUMBER(Project[[#This Row],[Mark after capping]]),IF(Project[[#This Row],[Mark after capping]]&lt;0,0,IF(Project[[#This Row],[Mark after capping]]&gt;100,100,Project[[#This Row],[Mark after capping]]/$M$3*100)),"")</f>
        <v/>
      </c>
      <c r="D126" s="142" t="e">
        <f>_xlfn.IFNA(INDEX(#REF!,MATCH(Project[[#This Row],[Student No.]:[Student No.]], #REF!,0)),"")</f>
        <v>#REF!</v>
      </c>
      <c r="E126" s="142" t="e">
        <f>_xlfn.IFNA(INDEX(#REF!,MATCH(Project[[#This Row],[Student No.]], #REF!,0)),"")</f>
        <v>#REF!</v>
      </c>
      <c r="F126" s="142" t="e">
        <f>_xlfn.IFNA(INDEX(#REF!,MATCH(Project[[#This Row],[Student No.]], #REF!,0)),"")</f>
        <v>#REF!</v>
      </c>
      <c r="G126" s="142" t="e">
        <f>_xlfn.IFNA(INDEX(#REF!,MATCH(Project[[#This Row],[Student No.]:[Student No.]], #REF!,0)),"")</f>
        <v>#REF!</v>
      </c>
      <c r="H126" s="142" t="e">
        <f>_xlfn.IFNA(INDEX(#REF!,MATCH(Project[[#This Row],[Student No.]:[Student No.]], #REF!,0)),"")</f>
        <v>#REF!</v>
      </c>
      <c r="I126" s="142" t="e">
        <f>_xlfn.IFNA(INDEX(#REF!,MATCH(Project[[#This Row],[Student No.]:[Student No.]], #REF!,0)),"")</f>
        <v>#REF!</v>
      </c>
      <c r="J126" s="159" t="e">
        <f>SUM(Project[[#This Row],[Discretionary Mark]:[Mark from ratings]])</f>
        <v>#REF!</v>
      </c>
      <c r="K126" s="159" t="e">
        <f>_xlfn.IFNA(IF(INDEX(#REF!,MATCH(Project[[#This Row],[Student No.]:[Student No.]], #REF!,0))&gt;0,"Yes",""),"")</f>
        <v>#REF!</v>
      </c>
      <c r="L126" s="142" t="e">
        <f>_xlfn.IFNA(IF(INDEX(#REF!,MATCH(Project[[#This Row],[Student No.]:[Student No.]], #REF!,0))="Code contribution less than 35%","Yes",""),"")</f>
        <v>#REF!</v>
      </c>
      <c r="M126"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26" s="152"/>
      <c r="O126"/>
      <c r="P126"/>
      <c r="Q126"/>
    </row>
    <row r="127" spans="1:17">
      <c r="A127" s="139" t="s">
        <v>397</v>
      </c>
      <c r="B127" s="140" t="s">
        <v>570</v>
      </c>
      <c r="C127" s="141" t="str">
        <f>IF(ISNUMBER(Project[[#This Row],[Mark after capping]]),IF(Project[[#This Row],[Mark after capping]]&lt;0,0,IF(Project[[#This Row],[Mark after capping]]&gt;100,100,Project[[#This Row],[Mark after capping]]/$M$3*100)),"")</f>
        <v/>
      </c>
      <c r="D127" s="142" t="e">
        <f>_xlfn.IFNA(INDEX(#REF!,MATCH(Project[[#This Row],[Student No.]:[Student No.]], #REF!,0)),"")</f>
        <v>#REF!</v>
      </c>
      <c r="E127" s="142" t="e">
        <f>_xlfn.IFNA(INDEX(#REF!,MATCH(Project[[#This Row],[Student No.]], #REF!,0)),"")</f>
        <v>#REF!</v>
      </c>
      <c r="F127" s="142" t="e">
        <f>_xlfn.IFNA(INDEX(#REF!,MATCH(Project[[#This Row],[Student No.]], #REF!,0)),"")</f>
        <v>#REF!</v>
      </c>
      <c r="G127" s="142" t="e">
        <f>_xlfn.IFNA(INDEX(#REF!,MATCH(Project[[#This Row],[Student No.]:[Student No.]], #REF!,0)),"")</f>
        <v>#REF!</v>
      </c>
      <c r="H127" s="142" t="e">
        <f>_xlfn.IFNA(INDEX(#REF!,MATCH(Project[[#This Row],[Student No.]:[Student No.]], #REF!,0)),"")</f>
        <v>#REF!</v>
      </c>
      <c r="I127" s="142" t="e">
        <f>_xlfn.IFNA(INDEX(#REF!,MATCH(Project[[#This Row],[Student No.]:[Student No.]], #REF!,0)),"")</f>
        <v>#REF!</v>
      </c>
      <c r="J127" s="159" t="e">
        <f>SUM(Project[[#This Row],[Discretionary Mark]:[Mark from ratings]])</f>
        <v>#REF!</v>
      </c>
      <c r="K127" s="159" t="e">
        <f>_xlfn.IFNA(IF(INDEX(#REF!,MATCH(Project[[#This Row],[Student No.]:[Student No.]], #REF!,0))&gt;0,"Yes",""),"")</f>
        <v>#REF!</v>
      </c>
      <c r="L127" s="142" t="e">
        <f>_xlfn.IFNA(IF(INDEX(#REF!,MATCH(Project[[#This Row],[Student No.]:[Student No.]], #REF!,0))="Code contribution less than 35%","Yes",""),"")</f>
        <v>#REF!</v>
      </c>
      <c r="M127"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27" s="152"/>
      <c r="O127"/>
      <c r="P127"/>
      <c r="Q127"/>
    </row>
    <row r="128" spans="1:17">
      <c r="A128" s="139" t="s">
        <v>398</v>
      </c>
      <c r="B128" s="140" t="s">
        <v>571</v>
      </c>
      <c r="C128" s="141" t="str">
        <f>IF(ISNUMBER(Project[[#This Row],[Mark after capping]]),IF(Project[[#This Row],[Mark after capping]]&lt;0,0,IF(Project[[#This Row],[Mark after capping]]&gt;100,100,Project[[#This Row],[Mark after capping]]/$M$3*100)),"")</f>
        <v/>
      </c>
      <c r="D128" s="142">
        <v>15</v>
      </c>
      <c r="E128" s="142" t="e">
        <f>_xlfn.IFNA(INDEX(#REF!,MATCH(Project[[#This Row],[Student No.]], #REF!,0)),"")</f>
        <v>#REF!</v>
      </c>
      <c r="F128" s="142" t="e">
        <f>_xlfn.IFNA(INDEX(#REF!,MATCH(Project[[#This Row],[Student No.]], #REF!,0)),"")</f>
        <v>#REF!</v>
      </c>
      <c r="G128" s="142" t="e">
        <f>_xlfn.IFNA(INDEX(#REF!,MATCH(Project[[#This Row],[Student No.]:[Student No.]], #REF!,0)),"")</f>
        <v>#REF!</v>
      </c>
      <c r="H128" s="142" t="e">
        <f>_xlfn.IFNA(INDEX(#REF!,MATCH(Project[[#This Row],[Student No.]:[Student No.]], #REF!,0)),"")</f>
        <v>#REF!</v>
      </c>
      <c r="I128" s="142" t="e">
        <f>_xlfn.IFNA(INDEX(#REF!,MATCH(Project[[#This Row],[Student No.]:[Student No.]], #REF!,0)),"")</f>
        <v>#REF!</v>
      </c>
      <c r="J128" s="159" t="e">
        <f>SUM(Project[[#This Row],[Discretionary Mark]:[Mark from ratings]])</f>
        <v>#REF!</v>
      </c>
      <c r="K128" s="159" t="e">
        <f>_xlfn.IFNA(IF(INDEX(#REF!,MATCH(Project[[#This Row],[Student No.]:[Student No.]], #REF!,0))&gt;0,"Yes",""),"")</f>
        <v>#REF!</v>
      </c>
      <c r="L128" s="142" t="e">
        <f>_xlfn.IFNA(IF(INDEX(#REF!,MATCH(Project[[#This Row],[Student No.]:[Student No.]], #REF!,0))="Code contribution less than 35%","Yes",""),"")</f>
        <v>#REF!</v>
      </c>
      <c r="M128"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28" s="152" t="s">
        <v>910</v>
      </c>
      <c r="O128"/>
      <c r="P128"/>
      <c r="Q128"/>
    </row>
    <row r="129" spans="1:17">
      <c r="A129" s="139" t="s">
        <v>399</v>
      </c>
      <c r="B129" s="140" t="s">
        <v>572</v>
      </c>
      <c r="C129" s="141" t="str">
        <f>IF(ISNUMBER(Project[[#This Row],[Mark after capping]]),IF(Project[[#This Row],[Mark after capping]]&lt;0,0,IF(Project[[#This Row],[Mark after capping]]&gt;100,100,Project[[#This Row],[Mark after capping]]/$M$3*100)),"")</f>
        <v/>
      </c>
      <c r="D129" s="142" t="e">
        <f>_xlfn.IFNA(INDEX(#REF!,MATCH(Project[[#This Row],[Student No.]:[Student No.]], #REF!,0)),"")</f>
        <v>#REF!</v>
      </c>
      <c r="E129" s="142" t="e">
        <f>_xlfn.IFNA(INDEX(#REF!,MATCH(Project[[#This Row],[Student No.]], #REF!,0)),"")</f>
        <v>#REF!</v>
      </c>
      <c r="F129" s="142" t="e">
        <f>_xlfn.IFNA(INDEX(#REF!,MATCH(Project[[#This Row],[Student No.]], #REF!,0)),"")</f>
        <v>#REF!</v>
      </c>
      <c r="G129" s="142" t="e">
        <f>_xlfn.IFNA(INDEX(#REF!,MATCH(Project[[#This Row],[Student No.]:[Student No.]], #REF!,0)),"")</f>
        <v>#REF!</v>
      </c>
      <c r="H129" s="142" t="e">
        <f>_xlfn.IFNA(INDEX(#REF!,MATCH(Project[[#This Row],[Student No.]:[Student No.]], #REF!,0)),"")</f>
        <v>#REF!</v>
      </c>
      <c r="I129" s="142" t="e">
        <f>_xlfn.IFNA(INDEX(#REF!,MATCH(Project[[#This Row],[Student No.]:[Student No.]], #REF!,0)),"")</f>
        <v>#REF!</v>
      </c>
      <c r="J129" s="159" t="e">
        <f>SUM(Project[[#This Row],[Discretionary Mark]:[Mark from ratings]])</f>
        <v>#REF!</v>
      </c>
      <c r="K129" s="159" t="e">
        <f>_xlfn.IFNA(IF(INDEX(#REF!,MATCH(Project[[#This Row],[Student No.]:[Student No.]], #REF!,0))&gt;0,"Yes",""),"")</f>
        <v>#REF!</v>
      </c>
      <c r="L129" s="142" t="e">
        <f>_xlfn.IFNA(IF(INDEX(#REF!,MATCH(Project[[#This Row],[Student No.]:[Student No.]], #REF!,0))="Code contribution less than 35%","Yes",""),"")</f>
        <v>#REF!</v>
      </c>
      <c r="M129"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29" s="152"/>
      <c r="O129"/>
      <c r="P129"/>
      <c r="Q129"/>
    </row>
    <row r="130" spans="1:17">
      <c r="A130" s="139" t="s">
        <v>400</v>
      </c>
      <c r="B130" s="140" t="s">
        <v>573</v>
      </c>
      <c r="C130" s="141" t="str">
        <f>IF(ISNUMBER(Project[[#This Row],[Mark after capping]]),IF(Project[[#This Row],[Mark after capping]]&lt;0,0,IF(Project[[#This Row],[Mark after capping]]&gt;100,100,Project[[#This Row],[Mark after capping]]/$M$3*100)),"")</f>
        <v/>
      </c>
      <c r="D130" s="142" t="e">
        <f>_xlfn.IFNA(INDEX(#REF!,MATCH(Project[[#This Row],[Student No.]:[Student No.]], #REF!,0)),"")</f>
        <v>#REF!</v>
      </c>
      <c r="E130" s="142" t="e">
        <f>_xlfn.IFNA(INDEX(#REF!,MATCH(Project[[#This Row],[Student No.]], #REF!,0)),"")</f>
        <v>#REF!</v>
      </c>
      <c r="F130" s="142" t="e">
        <f>_xlfn.IFNA(INDEX(#REF!,MATCH(Project[[#This Row],[Student No.]], #REF!,0)),"")</f>
        <v>#REF!</v>
      </c>
      <c r="G130" s="142" t="e">
        <f>_xlfn.IFNA(INDEX(#REF!,MATCH(Project[[#This Row],[Student No.]:[Student No.]], #REF!,0)),"")</f>
        <v>#REF!</v>
      </c>
      <c r="H130" s="142" t="e">
        <f>_xlfn.IFNA(INDEX(#REF!,MATCH(Project[[#This Row],[Student No.]:[Student No.]], #REF!,0)),"")</f>
        <v>#REF!</v>
      </c>
      <c r="I130" s="142" t="e">
        <f>_xlfn.IFNA(INDEX(#REF!,MATCH(Project[[#This Row],[Student No.]:[Student No.]], #REF!,0)),"")</f>
        <v>#REF!</v>
      </c>
      <c r="J130" s="159" t="e">
        <f>SUM(Project[[#This Row],[Discretionary Mark]:[Mark from ratings]])</f>
        <v>#REF!</v>
      </c>
      <c r="K130" s="159" t="e">
        <f>_xlfn.IFNA(IF(INDEX(#REF!,MATCH(Project[[#This Row],[Student No.]:[Student No.]], #REF!,0))&gt;0,"Yes",""),"")</f>
        <v>#REF!</v>
      </c>
      <c r="L130" s="142" t="e">
        <f>_xlfn.IFNA(IF(INDEX(#REF!,MATCH(Project[[#This Row],[Student No.]:[Student No.]], #REF!,0))="Code contribution less than 35%","Yes",""),"")</f>
        <v>#REF!</v>
      </c>
      <c r="M130"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30" s="152"/>
      <c r="O130"/>
      <c r="P130"/>
      <c r="Q130"/>
    </row>
    <row r="131" spans="1:17">
      <c r="A131" s="139" t="s">
        <v>401</v>
      </c>
      <c r="B131" s="140" t="s">
        <v>574</v>
      </c>
      <c r="C131" s="141" t="str">
        <f>IF(ISNUMBER(Project[[#This Row],[Mark after capping]]),IF(Project[[#This Row],[Mark after capping]]&lt;0,0,IF(Project[[#This Row],[Mark after capping]]&gt;100,100,Project[[#This Row],[Mark after capping]]/$M$3*100)),"")</f>
        <v/>
      </c>
      <c r="D131" s="142" t="e">
        <f>_xlfn.IFNA(INDEX(#REF!,MATCH(Project[[#This Row],[Student No.]:[Student No.]], #REF!,0)),"")</f>
        <v>#REF!</v>
      </c>
      <c r="E131" s="142" t="e">
        <f>_xlfn.IFNA(INDEX(#REF!,MATCH(Project[[#This Row],[Student No.]], #REF!,0)),"")</f>
        <v>#REF!</v>
      </c>
      <c r="F131" s="142" t="e">
        <f>_xlfn.IFNA(INDEX(#REF!,MATCH(Project[[#This Row],[Student No.]], #REF!,0)),"")</f>
        <v>#REF!</v>
      </c>
      <c r="G131" s="142" t="e">
        <f>_xlfn.IFNA(INDEX(#REF!,MATCH(Project[[#This Row],[Student No.]:[Student No.]], #REF!,0)),"")</f>
        <v>#REF!</v>
      </c>
      <c r="H131" s="142" t="e">
        <f>_xlfn.IFNA(INDEX(#REF!,MATCH(Project[[#This Row],[Student No.]:[Student No.]], #REF!,0)),"")</f>
        <v>#REF!</v>
      </c>
      <c r="I131" s="142" t="e">
        <f>_xlfn.IFNA(INDEX(#REF!,MATCH(Project[[#This Row],[Student No.]:[Student No.]], #REF!,0)),"")</f>
        <v>#REF!</v>
      </c>
      <c r="J131" s="159" t="e">
        <f>SUM(Project[[#This Row],[Discretionary Mark]:[Mark from ratings]])</f>
        <v>#REF!</v>
      </c>
      <c r="K131" s="159" t="e">
        <f>_xlfn.IFNA(IF(INDEX(#REF!,MATCH(Project[[#This Row],[Student No.]:[Student No.]], #REF!,0))&gt;0,"Yes",""),"")</f>
        <v>#REF!</v>
      </c>
      <c r="L131" s="142" t="e">
        <f>_xlfn.IFNA(IF(INDEX(#REF!,MATCH(Project[[#This Row],[Student No.]:[Student No.]], #REF!,0))="Code contribution less than 35%","Yes",""),"")</f>
        <v>#REF!</v>
      </c>
      <c r="M131"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31" s="152"/>
      <c r="O131"/>
      <c r="P131"/>
      <c r="Q131"/>
    </row>
    <row r="132" spans="1:17">
      <c r="A132" s="139" t="s">
        <v>402</v>
      </c>
      <c r="B132" s="140" t="s">
        <v>575</v>
      </c>
      <c r="C132" s="141" t="str">
        <f>IF(ISNUMBER(Project[[#This Row],[Mark after capping]]),IF(Project[[#This Row],[Mark after capping]]&lt;0,0,IF(Project[[#This Row],[Mark after capping]]&gt;100,100,Project[[#This Row],[Mark after capping]]/$M$3*100)),"")</f>
        <v/>
      </c>
      <c r="D132" s="142" t="e">
        <f>_xlfn.IFNA(INDEX(#REF!,MATCH(Project[[#This Row],[Student No.]:[Student No.]], #REF!,0)),"")</f>
        <v>#REF!</v>
      </c>
      <c r="E132" s="142" t="e">
        <f>_xlfn.IFNA(INDEX(#REF!,MATCH(Project[[#This Row],[Student No.]], #REF!,0)),"")</f>
        <v>#REF!</v>
      </c>
      <c r="F132" s="142" t="e">
        <f>_xlfn.IFNA(INDEX(#REF!,MATCH(Project[[#This Row],[Student No.]], #REF!,0)),"")</f>
        <v>#REF!</v>
      </c>
      <c r="G132" s="142" t="e">
        <f>_xlfn.IFNA(INDEX(#REF!,MATCH(Project[[#This Row],[Student No.]:[Student No.]], #REF!,0)),"")</f>
        <v>#REF!</v>
      </c>
      <c r="H132" s="142" t="e">
        <f>_xlfn.IFNA(INDEX(#REF!,MATCH(Project[[#This Row],[Student No.]:[Student No.]], #REF!,0)),"")</f>
        <v>#REF!</v>
      </c>
      <c r="I132" s="142" t="e">
        <f>_xlfn.IFNA(INDEX(#REF!,MATCH(Project[[#This Row],[Student No.]:[Student No.]], #REF!,0)),"")</f>
        <v>#REF!</v>
      </c>
      <c r="J132" s="159" t="e">
        <f>SUM(Project[[#This Row],[Discretionary Mark]:[Mark from ratings]])</f>
        <v>#REF!</v>
      </c>
      <c r="K132" s="159" t="e">
        <f>_xlfn.IFNA(IF(INDEX(#REF!,MATCH(Project[[#This Row],[Student No.]:[Student No.]], #REF!,0))&gt;0,"Yes",""),"")</f>
        <v>#REF!</v>
      </c>
      <c r="L132" s="142" t="e">
        <f>_xlfn.IFNA(IF(INDEX(#REF!,MATCH(Project[[#This Row],[Student No.]:[Student No.]], #REF!,0))="Code contribution less than 35%","Yes",""),"")</f>
        <v>#REF!</v>
      </c>
      <c r="M132"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32" s="152"/>
      <c r="O132"/>
      <c r="P132"/>
      <c r="Q132"/>
    </row>
    <row r="133" spans="1:17">
      <c r="A133" s="139" t="s">
        <v>403</v>
      </c>
      <c r="B133" s="140" t="s">
        <v>576</v>
      </c>
      <c r="C133" s="141" t="str">
        <f>IF(ISNUMBER(Project[[#This Row],[Mark after capping]]),IF(Project[[#This Row],[Mark after capping]]&lt;0,0,IF(Project[[#This Row],[Mark after capping]]&gt;100,100,Project[[#This Row],[Mark after capping]]/$M$3*100)),"")</f>
        <v/>
      </c>
      <c r="D133" s="142" t="e">
        <f>_xlfn.IFNA(INDEX(#REF!,MATCH(Project[[#This Row],[Student No.]:[Student No.]], #REF!,0)),"")</f>
        <v>#REF!</v>
      </c>
      <c r="E133" s="142" t="e">
        <f>_xlfn.IFNA(INDEX(#REF!,MATCH(Project[[#This Row],[Student No.]], #REF!,0)),"")</f>
        <v>#REF!</v>
      </c>
      <c r="F133" s="142" t="e">
        <f>_xlfn.IFNA(INDEX(#REF!,MATCH(Project[[#This Row],[Student No.]], #REF!,0)),"")</f>
        <v>#REF!</v>
      </c>
      <c r="G133" s="142" t="e">
        <f>_xlfn.IFNA(INDEX(#REF!,MATCH(Project[[#This Row],[Student No.]:[Student No.]], #REF!,0)),"")</f>
        <v>#REF!</v>
      </c>
      <c r="H133" s="142" t="e">
        <f>_xlfn.IFNA(INDEX(#REF!,MATCH(Project[[#This Row],[Student No.]:[Student No.]], #REF!,0)),"")</f>
        <v>#REF!</v>
      </c>
      <c r="I133" s="142" t="e">
        <f>_xlfn.IFNA(INDEX(#REF!,MATCH(Project[[#This Row],[Student No.]:[Student No.]], #REF!,0)),"")</f>
        <v>#REF!</v>
      </c>
      <c r="J133" s="159" t="e">
        <f>SUM(Project[[#This Row],[Discretionary Mark]:[Mark from ratings]])</f>
        <v>#REF!</v>
      </c>
      <c r="K133" s="159" t="e">
        <f>_xlfn.IFNA(IF(INDEX(#REF!,MATCH(Project[[#This Row],[Student No.]:[Student No.]], #REF!,0))&gt;0,"Yes",""),"")</f>
        <v>#REF!</v>
      </c>
      <c r="L133" s="142" t="e">
        <f>_xlfn.IFNA(IF(INDEX(#REF!,MATCH(Project[[#This Row],[Student No.]:[Student No.]], #REF!,0))="Code contribution less than 35%","Yes",""),"")</f>
        <v>#REF!</v>
      </c>
      <c r="M133"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33" s="152"/>
      <c r="O133"/>
      <c r="P133"/>
      <c r="Q133"/>
    </row>
    <row r="134" spans="1:17">
      <c r="A134" s="139" t="s">
        <v>404</v>
      </c>
      <c r="B134" s="140" t="s">
        <v>577</v>
      </c>
      <c r="C134" s="141" t="str">
        <f>IF(ISNUMBER(Project[[#This Row],[Mark after capping]]),IF(Project[[#This Row],[Mark after capping]]&lt;0,0,IF(Project[[#This Row],[Mark after capping]]&gt;100,100,Project[[#This Row],[Mark after capping]]/$M$3*100)),"")</f>
        <v/>
      </c>
      <c r="D134" s="142" t="e">
        <f>_xlfn.IFNA(INDEX(#REF!,MATCH(Project[[#This Row],[Student No.]:[Student No.]], #REF!,0)),"")</f>
        <v>#REF!</v>
      </c>
      <c r="E134" s="142" t="e">
        <f>_xlfn.IFNA(INDEX(#REF!,MATCH(Project[[#This Row],[Student No.]], #REF!,0)),"")</f>
        <v>#REF!</v>
      </c>
      <c r="F134" s="142" t="e">
        <f>_xlfn.IFNA(INDEX(#REF!,MATCH(Project[[#This Row],[Student No.]], #REF!,0)),"")</f>
        <v>#REF!</v>
      </c>
      <c r="G134" s="142" t="e">
        <f>_xlfn.IFNA(INDEX(#REF!,MATCH(Project[[#This Row],[Student No.]:[Student No.]], #REF!,0)),"")</f>
        <v>#REF!</v>
      </c>
      <c r="H134" s="142" t="e">
        <f>_xlfn.IFNA(INDEX(#REF!,MATCH(Project[[#This Row],[Student No.]:[Student No.]], #REF!,0)),"")</f>
        <v>#REF!</v>
      </c>
      <c r="I134" s="142" t="e">
        <f>_xlfn.IFNA(INDEX(#REF!,MATCH(Project[[#This Row],[Student No.]:[Student No.]], #REF!,0)),"")</f>
        <v>#REF!</v>
      </c>
      <c r="J134" s="159" t="e">
        <f>SUM(Project[[#This Row],[Discretionary Mark]:[Mark from ratings]])</f>
        <v>#REF!</v>
      </c>
      <c r="K134" s="159" t="e">
        <f>_xlfn.IFNA(IF(INDEX(#REF!,MATCH(Project[[#This Row],[Student No.]:[Student No.]], #REF!,0))&gt;0,"Yes",""),"")</f>
        <v>#REF!</v>
      </c>
      <c r="L134" s="142" t="e">
        <f>_xlfn.IFNA(IF(INDEX(#REF!,MATCH(Project[[#This Row],[Student No.]:[Student No.]], #REF!,0))="Code contribution less than 35%","Yes",""),"")</f>
        <v>#REF!</v>
      </c>
      <c r="M134"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34" s="152"/>
      <c r="O134"/>
      <c r="P134"/>
      <c r="Q134"/>
    </row>
    <row r="135" spans="1:17">
      <c r="A135" s="139" t="s">
        <v>405</v>
      </c>
      <c r="B135" s="140" t="s">
        <v>578</v>
      </c>
      <c r="C135" s="141" t="str">
        <f>IF(ISNUMBER(Project[[#This Row],[Mark after capping]]),IF(Project[[#This Row],[Mark after capping]]&lt;0,0,IF(Project[[#This Row],[Mark after capping]]&gt;100,100,Project[[#This Row],[Mark after capping]]/$M$3*100)),"")</f>
        <v/>
      </c>
      <c r="D135" s="142" t="e">
        <f>_xlfn.IFNA(INDEX(#REF!,MATCH(Project[[#This Row],[Student No.]:[Student No.]], #REF!,0)),"")</f>
        <v>#REF!</v>
      </c>
      <c r="E135" s="142" t="e">
        <f>_xlfn.IFNA(INDEX(#REF!,MATCH(Project[[#This Row],[Student No.]], #REF!,0)),"")</f>
        <v>#REF!</v>
      </c>
      <c r="F135" s="142" t="e">
        <f>_xlfn.IFNA(INDEX(#REF!,MATCH(Project[[#This Row],[Student No.]], #REF!,0)),"")</f>
        <v>#REF!</v>
      </c>
      <c r="G135" s="142" t="e">
        <f>_xlfn.IFNA(INDEX(#REF!,MATCH(Project[[#This Row],[Student No.]:[Student No.]], #REF!,0)),"")</f>
        <v>#REF!</v>
      </c>
      <c r="H135" s="142" t="e">
        <f>_xlfn.IFNA(INDEX(#REF!,MATCH(Project[[#This Row],[Student No.]:[Student No.]], #REF!,0)),"")</f>
        <v>#REF!</v>
      </c>
      <c r="I135" s="142" t="e">
        <f>_xlfn.IFNA(INDEX(#REF!,MATCH(Project[[#This Row],[Student No.]:[Student No.]], #REF!,0)),"")</f>
        <v>#REF!</v>
      </c>
      <c r="J135" s="159" t="e">
        <f>SUM(Project[[#This Row],[Discretionary Mark]:[Mark from ratings]])</f>
        <v>#REF!</v>
      </c>
      <c r="K135" s="159" t="e">
        <f>_xlfn.IFNA(IF(INDEX(#REF!,MATCH(Project[[#This Row],[Student No.]:[Student No.]], #REF!,0))&gt;0,"Yes",""),"")</f>
        <v>#REF!</v>
      </c>
      <c r="L135" s="142" t="e">
        <f>_xlfn.IFNA(IF(INDEX(#REF!,MATCH(Project[[#This Row],[Student No.]:[Student No.]], #REF!,0))="Code contribution less than 35%","Yes",""),"")</f>
        <v>#REF!</v>
      </c>
      <c r="M135"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35" s="152"/>
      <c r="O135"/>
      <c r="P135"/>
      <c r="Q135"/>
    </row>
    <row r="136" spans="1:17">
      <c r="A136" s="139" t="s">
        <v>406</v>
      </c>
      <c r="B136" s="140" t="s">
        <v>579</v>
      </c>
      <c r="C136" s="141" t="str">
        <f>IF(ISNUMBER(Project[[#This Row],[Mark after capping]]),IF(Project[[#This Row],[Mark after capping]]&lt;0,0,IF(Project[[#This Row],[Mark after capping]]&gt;100,100,Project[[#This Row],[Mark after capping]]/$M$3*100)),"")</f>
        <v/>
      </c>
      <c r="D136" s="142" t="e">
        <f>_xlfn.IFNA(INDEX(#REF!,MATCH(Project[[#This Row],[Student No.]:[Student No.]], #REF!,0)),"")</f>
        <v>#REF!</v>
      </c>
      <c r="E136" s="142" t="e">
        <f>_xlfn.IFNA(INDEX(#REF!,MATCH(Project[[#This Row],[Student No.]], #REF!,0)),"")</f>
        <v>#REF!</v>
      </c>
      <c r="F136" s="142" t="e">
        <f>_xlfn.IFNA(INDEX(#REF!,MATCH(Project[[#This Row],[Student No.]], #REF!,0)),"")</f>
        <v>#REF!</v>
      </c>
      <c r="G136" s="142" t="e">
        <f>_xlfn.IFNA(INDEX(#REF!,MATCH(Project[[#This Row],[Student No.]:[Student No.]], #REF!,0)),"")</f>
        <v>#REF!</v>
      </c>
      <c r="H136" s="142" t="e">
        <f>_xlfn.IFNA(INDEX(#REF!,MATCH(Project[[#This Row],[Student No.]:[Student No.]], #REF!,0)),"")</f>
        <v>#REF!</v>
      </c>
      <c r="I136" s="142" t="e">
        <f>_xlfn.IFNA(INDEX(#REF!,MATCH(Project[[#This Row],[Student No.]:[Student No.]], #REF!,0)),"")</f>
        <v>#REF!</v>
      </c>
      <c r="J136" s="159" t="e">
        <f>SUM(Project[[#This Row],[Discretionary Mark]:[Mark from ratings]])</f>
        <v>#REF!</v>
      </c>
      <c r="K136" s="159" t="e">
        <f>_xlfn.IFNA(IF(INDEX(#REF!,MATCH(Project[[#This Row],[Student No.]:[Student No.]], #REF!,0))&gt;0,"Yes",""),"")</f>
        <v>#REF!</v>
      </c>
      <c r="L136" s="142" t="e">
        <f>_xlfn.IFNA(IF(INDEX(#REF!,MATCH(Project[[#This Row],[Student No.]:[Student No.]], #REF!,0))="Code contribution less than 35%","Yes",""),"")</f>
        <v>#REF!</v>
      </c>
      <c r="M136"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36" s="152"/>
      <c r="O136"/>
      <c r="P136"/>
      <c r="Q136"/>
    </row>
    <row r="137" spans="1:17">
      <c r="A137" s="139" t="s">
        <v>407</v>
      </c>
      <c r="B137" s="140" t="s">
        <v>580</v>
      </c>
      <c r="C137" s="141" t="str">
        <f>IF(ISNUMBER(Project[[#This Row],[Mark after capping]]),IF(Project[[#This Row],[Mark after capping]]&lt;0,0,IF(Project[[#This Row],[Mark after capping]]&gt;100,100,Project[[#This Row],[Mark after capping]]/$M$3*100)),"")</f>
        <v/>
      </c>
      <c r="D137" s="142" t="e">
        <f>_xlfn.IFNA(INDEX(#REF!,MATCH(Project[[#This Row],[Student No.]:[Student No.]], #REF!,0)),"")</f>
        <v>#REF!</v>
      </c>
      <c r="E137" s="142" t="e">
        <f>_xlfn.IFNA(INDEX(#REF!,MATCH(Project[[#This Row],[Student No.]], #REF!,0)),"")</f>
        <v>#REF!</v>
      </c>
      <c r="F137" s="142" t="e">
        <f>_xlfn.IFNA(INDEX(#REF!,MATCH(Project[[#This Row],[Student No.]], #REF!,0)),"")</f>
        <v>#REF!</v>
      </c>
      <c r="G137" s="142" t="e">
        <f>_xlfn.IFNA(INDEX(#REF!,MATCH(Project[[#This Row],[Student No.]:[Student No.]], #REF!,0)),"")</f>
        <v>#REF!</v>
      </c>
      <c r="H137" s="142" t="e">
        <f>_xlfn.IFNA(INDEX(#REF!,MATCH(Project[[#This Row],[Student No.]:[Student No.]], #REF!,0)),"")</f>
        <v>#REF!</v>
      </c>
      <c r="I137" s="142" t="e">
        <f>_xlfn.IFNA(INDEX(#REF!,MATCH(Project[[#This Row],[Student No.]:[Student No.]], #REF!,0)),"")</f>
        <v>#REF!</v>
      </c>
      <c r="J137" s="159" t="e">
        <f>SUM(Project[[#This Row],[Discretionary Mark]:[Mark from ratings]])</f>
        <v>#REF!</v>
      </c>
      <c r="K137" s="159" t="e">
        <f>_xlfn.IFNA(IF(INDEX(#REF!,MATCH(Project[[#This Row],[Student No.]:[Student No.]], #REF!,0))&gt;0,"Yes",""),"")</f>
        <v>#REF!</v>
      </c>
      <c r="L137" s="142" t="e">
        <f>_xlfn.IFNA(IF(INDEX(#REF!,MATCH(Project[[#This Row],[Student No.]:[Student No.]], #REF!,0))="Code contribution less than 35%","Yes",""),"")</f>
        <v>#REF!</v>
      </c>
      <c r="M137"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37" s="152"/>
      <c r="O137"/>
      <c r="P137"/>
      <c r="Q137"/>
    </row>
    <row r="138" spans="1:17">
      <c r="A138" s="139" t="s">
        <v>408</v>
      </c>
      <c r="B138" s="140" t="s">
        <v>581</v>
      </c>
      <c r="C138" s="141" t="str">
        <f>IF(ISNUMBER(Project[[#This Row],[Mark after capping]]),IF(Project[[#This Row],[Mark after capping]]&lt;0,0,IF(Project[[#This Row],[Mark after capping]]&gt;100,100,Project[[#This Row],[Mark after capping]]/$M$3*100)),"")</f>
        <v/>
      </c>
      <c r="D138" s="142" t="e">
        <f>_xlfn.IFNA(INDEX(#REF!,MATCH(Project[[#This Row],[Student No.]:[Student No.]], #REF!,0)),"")</f>
        <v>#REF!</v>
      </c>
      <c r="E138" s="142" t="e">
        <f>_xlfn.IFNA(INDEX(#REF!,MATCH(Project[[#This Row],[Student No.]], #REF!,0)),"")</f>
        <v>#REF!</v>
      </c>
      <c r="F138" s="142" t="e">
        <f>_xlfn.IFNA(INDEX(#REF!,MATCH(Project[[#This Row],[Student No.]], #REF!,0)),"")</f>
        <v>#REF!</v>
      </c>
      <c r="G138" s="142" t="e">
        <f>_xlfn.IFNA(INDEX(#REF!,MATCH(Project[[#This Row],[Student No.]:[Student No.]], #REF!,0)),"")</f>
        <v>#REF!</v>
      </c>
      <c r="H138" s="142" t="e">
        <f>_xlfn.IFNA(INDEX(#REF!,MATCH(Project[[#This Row],[Student No.]:[Student No.]], #REF!,0)),"")</f>
        <v>#REF!</v>
      </c>
      <c r="I138" s="142" t="e">
        <f>_xlfn.IFNA(INDEX(#REF!,MATCH(Project[[#This Row],[Student No.]:[Student No.]], #REF!,0)),"")</f>
        <v>#REF!</v>
      </c>
      <c r="J138" s="159" t="e">
        <f>SUM(Project[[#This Row],[Discretionary Mark]:[Mark from ratings]])</f>
        <v>#REF!</v>
      </c>
      <c r="K138" s="159" t="e">
        <f>_xlfn.IFNA(IF(INDEX(#REF!,MATCH(Project[[#This Row],[Student No.]:[Student No.]], #REF!,0))&gt;0,"Yes",""),"")</f>
        <v>#REF!</v>
      </c>
      <c r="L138" s="142" t="e">
        <f>_xlfn.IFNA(IF(INDEX(#REF!,MATCH(Project[[#This Row],[Student No.]:[Student No.]], #REF!,0))="Code contribution less than 35%","Yes",""),"")</f>
        <v>#REF!</v>
      </c>
      <c r="M138"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38" s="152"/>
      <c r="O138"/>
      <c r="P138"/>
      <c r="Q138"/>
    </row>
    <row r="139" spans="1:17">
      <c r="A139" s="139" t="s">
        <v>409</v>
      </c>
      <c r="B139" s="140" t="s">
        <v>582</v>
      </c>
      <c r="C139" s="141" t="str">
        <f>IF(ISNUMBER(Project[[#This Row],[Mark after capping]]),IF(Project[[#This Row],[Mark after capping]]&lt;0,0,IF(Project[[#This Row],[Mark after capping]]&gt;100,100,Project[[#This Row],[Mark after capping]]/$M$3*100)),"")</f>
        <v/>
      </c>
      <c r="D139" s="142" t="e">
        <f>_xlfn.IFNA(INDEX(#REF!,MATCH(Project[[#This Row],[Student No.]:[Student No.]], #REF!,0)),"")</f>
        <v>#REF!</v>
      </c>
      <c r="E139" s="142" t="e">
        <f>_xlfn.IFNA(INDEX(#REF!,MATCH(Project[[#This Row],[Student No.]], #REF!,0)),"")</f>
        <v>#REF!</v>
      </c>
      <c r="F139" s="142" t="e">
        <f>_xlfn.IFNA(INDEX(#REF!,MATCH(Project[[#This Row],[Student No.]], #REF!,0)),"")</f>
        <v>#REF!</v>
      </c>
      <c r="G139" s="142" t="e">
        <f>_xlfn.IFNA(INDEX(#REF!,MATCH(Project[[#This Row],[Student No.]:[Student No.]], #REF!,0)),"")</f>
        <v>#REF!</v>
      </c>
      <c r="H139" s="142" t="e">
        <f>_xlfn.IFNA(INDEX(#REF!,MATCH(Project[[#This Row],[Student No.]:[Student No.]], #REF!,0)),"")</f>
        <v>#REF!</v>
      </c>
      <c r="I139" s="142" t="e">
        <f>_xlfn.IFNA(INDEX(#REF!,MATCH(Project[[#This Row],[Student No.]:[Student No.]], #REF!,0)),"")</f>
        <v>#REF!</v>
      </c>
      <c r="J139" s="159" t="e">
        <f>SUM(Project[[#This Row],[Discretionary Mark]:[Mark from ratings]])</f>
        <v>#REF!</v>
      </c>
      <c r="K139" s="159" t="e">
        <f>_xlfn.IFNA(IF(INDEX(#REF!,MATCH(Project[[#This Row],[Student No.]:[Student No.]], #REF!,0))&gt;0,"Yes",""),"")</f>
        <v>#REF!</v>
      </c>
      <c r="L139" s="142" t="e">
        <f>_xlfn.IFNA(IF(INDEX(#REF!,MATCH(Project[[#This Row],[Student No.]:[Student No.]], #REF!,0))="Code contribution less than 35%","Yes",""),"")</f>
        <v>#REF!</v>
      </c>
      <c r="M139"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39" s="152"/>
      <c r="O139"/>
      <c r="P139"/>
      <c r="Q139"/>
    </row>
    <row r="140" spans="1:17">
      <c r="A140" s="139" t="s">
        <v>410</v>
      </c>
      <c r="B140" s="140" t="s">
        <v>583</v>
      </c>
      <c r="C140" s="141" t="str">
        <f>IF(ISNUMBER(Project[[#This Row],[Mark after capping]]),IF(Project[[#This Row],[Mark after capping]]&lt;0,0,IF(Project[[#This Row],[Mark after capping]]&gt;100,100,Project[[#This Row],[Mark after capping]]/$M$3*100)),"")</f>
        <v/>
      </c>
      <c r="D140" s="142" t="e">
        <f>_xlfn.IFNA(INDEX(#REF!,MATCH(Project[[#This Row],[Student No.]:[Student No.]], #REF!,0)),"")</f>
        <v>#REF!</v>
      </c>
      <c r="E140" s="142" t="e">
        <f>_xlfn.IFNA(INDEX(#REF!,MATCH(Project[[#This Row],[Student No.]], #REF!,0)),"")</f>
        <v>#REF!</v>
      </c>
      <c r="F140" s="142" t="e">
        <f>_xlfn.IFNA(INDEX(#REF!,MATCH(Project[[#This Row],[Student No.]], #REF!,0)),"")</f>
        <v>#REF!</v>
      </c>
      <c r="G140" s="142" t="e">
        <f>_xlfn.IFNA(INDEX(#REF!,MATCH(Project[[#This Row],[Student No.]:[Student No.]], #REF!,0)),"")</f>
        <v>#REF!</v>
      </c>
      <c r="H140" s="142" t="e">
        <f>_xlfn.IFNA(INDEX(#REF!,MATCH(Project[[#This Row],[Student No.]:[Student No.]], #REF!,0)),"")</f>
        <v>#REF!</v>
      </c>
      <c r="I140" s="142" t="e">
        <f>_xlfn.IFNA(INDEX(#REF!,MATCH(Project[[#This Row],[Student No.]:[Student No.]], #REF!,0)),"")</f>
        <v>#REF!</v>
      </c>
      <c r="J140" s="159" t="e">
        <f>SUM(Project[[#This Row],[Discretionary Mark]:[Mark from ratings]])</f>
        <v>#REF!</v>
      </c>
      <c r="K140" s="159" t="e">
        <f>_xlfn.IFNA(IF(INDEX(#REF!,MATCH(Project[[#This Row],[Student No.]:[Student No.]], #REF!,0))&gt;0,"Yes",""),"")</f>
        <v>#REF!</v>
      </c>
      <c r="L140" s="142" t="e">
        <f>_xlfn.IFNA(IF(INDEX(#REF!,MATCH(Project[[#This Row],[Student No.]:[Student No.]], #REF!,0))="Code contribution less than 35%","Yes",""),"")</f>
        <v>#REF!</v>
      </c>
      <c r="M140"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40" s="152"/>
      <c r="O140"/>
      <c r="P140"/>
      <c r="Q140"/>
    </row>
    <row r="141" spans="1:17">
      <c r="A141" s="139" t="s">
        <v>411</v>
      </c>
      <c r="B141" s="140" t="s">
        <v>584</v>
      </c>
      <c r="C141" s="141" t="str">
        <f>IF(ISNUMBER(Project[[#This Row],[Mark after capping]]),IF(Project[[#This Row],[Mark after capping]]&lt;0,0,IF(Project[[#This Row],[Mark after capping]]&gt;100,100,Project[[#This Row],[Mark after capping]]/$M$3*100)),"")</f>
        <v/>
      </c>
      <c r="D141" s="142" t="e">
        <f>_xlfn.IFNA(INDEX(#REF!,MATCH(Project[[#This Row],[Student No.]:[Student No.]], #REF!,0)),"")</f>
        <v>#REF!</v>
      </c>
      <c r="E141" s="142" t="e">
        <f>_xlfn.IFNA(INDEX(#REF!,MATCH(Project[[#This Row],[Student No.]], #REF!,0)),"")</f>
        <v>#REF!</v>
      </c>
      <c r="F141" s="142" t="e">
        <f>_xlfn.IFNA(INDEX(#REF!,MATCH(Project[[#This Row],[Student No.]], #REF!,0)),"")</f>
        <v>#REF!</v>
      </c>
      <c r="G141" s="142" t="e">
        <f>_xlfn.IFNA(INDEX(#REF!,MATCH(Project[[#This Row],[Student No.]:[Student No.]], #REF!,0)),"")</f>
        <v>#REF!</v>
      </c>
      <c r="H141" s="142" t="e">
        <f>_xlfn.IFNA(INDEX(#REF!,MATCH(Project[[#This Row],[Student No.]:[Student No.]], #REF!,0)),"")</f>
        <v>#REF!</v>
      </c>
      <c r="I141" s="142" t="e">
        <f>_xlfn.IFNA(INDEX(#REF!,MATCH(Project[[#This Row],[Student No.]:[Student No.]], #REF!,0)),"")</f>
        <v>#REF!</v>
      </c>
      <c r="J141" s="159" t="e">
        <f>SUM(Project[[#This Row],[Discretionary Mark]:[Mark from ratings]])</f>
        <v>#REF!</v>
      </c>
      <c r="K141" s="159" t="e">
        <f>_xlfn.IFNA(IF(INDEX(#REF!,MATCH(Project[[#This Row],[Student No.]:[Student No.]], #REF!,0))&gt;0,"Yes",""),"")</f>
        <v>#REF!</v>
      </c>
      <c r="L141" s="142" t="e">
        <f>_xlfn.IFNA(IF(INDEX(#REF!,MATCH(Project[[#This Row],[Student No.]:[Student No.]], #REF!,0))="Code contribution less than 35%","Yes",""),"")</f>
        <v>#REF!</v>
      </c>
      <c r="M141"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41" s="152"/>
      <c r="O141"/>
      <c r="P141"/>
      <c r="Q141"/>
    </row>
    <row r="142" spans="1:17">
      <c r="A142" s="139" t="s">
        <v>412</v>
      </c>
      <c r="B142" s="140" t="s">
        <v>585</v>
      </c>
      <c r="C142" s="141" t="str">
        <f>IF(ISNUMBER(Project[[#This Row],[Mark after capping]]),IF(Project[[#This Row],[Mark after capping]]&lt;0,0,IF(Project[[#This Row],[Mark after capping]]&gt;100,100,Project[[#This Row],[Mark after capping]]/$M$3*100)),"")</f>
        <v/>
      </c>
      <c r="D142" s="142" t="e">
        <f>_xlfn.IFNA(INDEX(#REF!,MATCH(Project[[#This Row],[Student No.]:[Student No.]], #REF!,0)),"")</f>
        <v>#REF!</v>
      </c>
      <c r="E142" s="142" t="e">
        <f>_xlfn.IFNA(INDEX(#REF!,MATCH(Project[[#This Row],[Student No.]], #REF!,0)),"")</f>
        <v>#REF!</v>
      </c>
      <c r="F142" s="142" t="e">
        <f>_xlfn.IFNA(INDEX(#REF!,MATCH(Project[[#This Row],[Student No.]], #REF!,0)),"")</f>
        <v>#REF!</v>
      </c>
      <c r="G142" s="142" t="e">
        <f>_xlfn.IFNA(INDEX(#REF!,MATCH(Project[[#This Row],[Student No.]:[Student No.]], #REF!,0)),"")</f>
        <v>#REF!</v>
      </c>
      <c r="H142" s="142" t="e">
        <f>_xlfn.IFNA(INDEX(#REF!,MATCH(Project[[#This Row],[Student No.]:[Student No.]], #REF!,0)),"")</f>
        <v>#REF!</v>
      </c>
      <c r="I142" s="142" t="e">
        <f>_xlfn.IFNA(INDEX(#REF!,MATCH(Project[[#This Row],[Student No.]:[Student No.]], #REF!,0)),"")</f>
        <v>#REF!</v>
      </c>
      <c r="J142" s="159" t="e">
        <f>SUM(Project[[#This Row],[Discretionary Mark]:[Mark from ratings]])</f>
        <v>#REF!</v>
      </c>
      <c r="K142" s="159" t="e">
        <f>_xlfn.IFNA(IF(INDEX(#REF!,MATCH(Project[[#This Row],[Student No.]:[Student No.]], #REF!,0))&gt;0,"Yes",""),"")</f>
        <v>#REF!</v>
      </c>
      <c r="L142" s="142" t="e">
        <f>_xlfn.IFNA(IF(INDEX(#REF!,MATCH(Project[[#This Row],[Student No.]:[Student No.]], #REF!,0))="Code contribution less than 35%","Yes",""),"")</f>
        <v>#REF!</v>
      </c>
      <c r="M142"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42" s="152"/>
      <c r="O142"/>
      <c r="P142"/>
      <c r="Q142"/>
    </row>
    <row r="143" spans="1:17">
      <c r="A143" s="139" t="s">
        <v>413</v>
      </c>
      <c r="B143" s="140" t="s">
        <v>586</v>
      </c>
      <c r="C143" s="141" t="str">
        <f>IF(ISNUMBER(Project[[#This Row],[Mark after capping]]),IF(Project[[#This Row],[Mark after capping]]&lt;0,0,IF(Project[[#This Row],[Mark after capping]]&gt;100,100,Project[[#This Row],[Mark after capping]]/$M$3*100)),"")</f>
        <v/>
      </c>
      <c r="D143" s="142" t="e">
        <f>_xlfn.IFNA(INDEX(#REF!,MATCH(Project[[#This Row],[Student No.]:[Student No.]], #REF!,0)),"")</f>
        <v>#REF!</v>
      </c>
      <c r="E143" s="142" t="e">
        <f>_xlfn.IFNA(INDEX(#REF!,MATCH(Project[[#This Row],[Student No.]], #REF!,0)),"")</f>
        <v>#REF!</v>
      </c>
      <c r="F143" s="142" t="e">
        <f>_xlfn.IFNA(INDEX(#REF!,MATCH(Project[[#This Row],[Student No.]], #REF!,0)),"")</f>
        <v>#REF!</v>
      </c>
      <c r="G143" s="142" t="e">
        <f>_xlfn.IFNA(INDEX(#REF!,MATCH(Project[[#This Row],[Student No.]:[Student No.]], #REF!,0)),"")</f>
        <v>#REF!</v>
      </c>
      <c r="H143" s="142" t="e">
        <f>_xlfn.IFNA(INDEX(#REF!,MATCH(Project[[#This Row],[Student No.]:[Student No.]], #REF!,0)),"")</f>
        <v>#REF!</v>
      </c>
      <c r="I143" s="142" t="e">
        <f>_xlfn.IFNA(INDEX(#REF!,MATCH(Project[[#This Row],[Student No.]:[Student No.]], #REF!,0)),"")</f>
        <v>#REF!</v>
      </c>
      <c r="J143" s="159" t="e">
        <f>SUM(Project[[#This Row],[Discretionary Mark]:[Mark from ratings]])</f>
        <v>#REF!</v>
      </c>
      <c r="K143" s="159" t="e">
        <f>_xlfn.IFNA(IF(INDEX(#REF!,MATCH(Project[[#This Row],[Student No.]:[Student No.]], #REF!,0))&gt;0,"Yes",""),"")</f>
        <v>#REF!</v>
      </c>
      <c r="L143" s="142" t="e">
        <f>_xlfn.IFNA(IF(INDEX(#REF!,MATCH(Project[[#This Row],[Student No.]:[Student No.]], #REF!,0))="Code contribution less than 35%","Yes",""),"")</f>
        <v>#REF!</v>
      </c>
      <c r="M143"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43" s="152"/>
      <c r="O143"/>
      <c r="P143"/>
      <c r="Q143"/>
    </row>
    <row r="144" spans="1:17">
      <c r="A144" s="139" t="s">
        <v>414</v>
      </c>
      <c r="B144" s="140" t="s">
        <v>587</v>
      </c>
      <c r="C144" s="141" t="str">
        <f>IF(ISNUMBER(Project[[#This Row],[Mark after capping]]),IF(Project[[#This Row],[Mark after capping]]&lt;0,0,IF(Project[[#This Row],[Mark after capping]]&gt;100,100,Project[[#This Row],[Mark after capping]]/$M$3*100)),"")</f>
        <v/>
      </c>
      <c r="D144" s="142" t="e">
        <f>_xlfn.IFNA(INDEX(#REF!,MATCH(Project[[#This Row],[Student No.]:[Student No.]], #REF!,0)),"")</f>
        <v>#REF!</v>
      </c>
      <c r="E144" s="142" t="e">
        <f>_xlfn.IFNA(INDEX(#REF!,MATCH(Project[[#This Row],[Student No.]], #REF!,0)),"")</f>
        <v>#REF!</v>
      </c>
      <c r="F144" s="142" t="e">
        <f>_xlfn.IFNA(INDEX(#REF!,MATCH(Project[[#This Row],[Student No.]], #REF!,0)),"")</f>
        <v>#REF!</v>
      </c>
      <c r="G144" s="142" t="e">
        <f>_xlfn.IFNA(INDEX(#REF!,MATCH(Project[[#This Row],[Student No.]:[Student No.]], #REF!,0)),"")</f>
        <v>#REF!</v>
      </c>
      <c r="H144" s="142" t="e">
        <f>_xlfn.IFNA(INDEX(#REF!,MATCH(Project[[#This Row],[Student No.]:[Student No.]], #REF!,0)),"")</f>
        <v>#REF!</v>
      </c>
      <c r="I144" s="142" t="e">
        <f>_xlfn.IFNA(INDEX(#REF!,MATCH(Project[[#This Row],[Student No.]:[Student No.]], #REF!,0)),"")</f>
        <v>#REF!</v>
      </c>
      <c r="J144" s="159" t="e">
        <f>SUM(Project[[#This Row],[Discretionary Mark]:[Mark from ratings]])</f>
        <v>#REF!</v>
      </c>
      <c r="K144" s="159" t="e">
        <f>_xlfn.IFNA(IF(INDEX(#REF!,MATCH(Project[[#This Row],[Student No.]:[Student No.]], #REF!,0))&gt;0,"Yes",""),"")</f>
        <v>#REF!</v>
      </c>
      <c r="L144" s="142" t="e">
        <f>_xlfn.IFNA(IF(INDEX(#REF!,MATCH(Project[[#This Row],[Student No.]:[Student No.]], #REF!,0))="Code contribution less than 35%","Yes",""),"")</f>
        <v>#REF!</v>
      </c>
      <c r="M144"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44" s="152"/>
      <c r="O144"/>
      <c r="P144"/>
      <c r="Q144"/>
    </row>
    <row r="145" spans="1:17">
      <c r="A145" s="139" t="s">
        <v>415</v>
      </c>
      <c r="B145" s="140" t="s">
        <v>588</v>
      </c>
      <c r="C145" s="141" t="str">
        <f>IF(ISNUMBER(Project[[#This Row],[Mark after capping]]),IF(Project[[#This Row],[Mark after capping]]&lt;0,0,IF(Project[[#This Row],[Mark after capping]]&gt;100,100,Project[[#This Row],[Mark after capping]]/$M$3*100)),"")</f>
        <v/>
      </c>
      <c r="D145" s="142" t="e">
        <f>_xlfn.IFNA(INDEX(#REF!,MATCH(Project[[#This Row],[Student No.]:[Student No.]], #REF!,0)),"")</f>
        <v>#REF!</v>
      </c>
      <c r="E145" s="142" t="e">
        <f>_xlfn.IFNA(INDEX(#REF!,MATCH(Project[[#This Row],[Student No.]], #REF!,0)),"")</f>
        <v>#REF!</v>
      </c>
      <c r="F145" s="142" t="e">
        <f>_xlfn.IFNA(INDEX(#REF!,MATCH(Project[[#This Row],[Student No.]], #REF!,0)),"")</f>
        <v>#REF!</v>
      </c>
      <c r="G145" s="142" t="e">
        <f>_xlfn.IFNA(INDEX(#REF!,MATCH(Project[[#This Row],[Student No.]:[Student No.]], #REF!,0)),"")</f>
        <v>#REF!</v>
      </c>
      <c r="H145" s="142" t="e">
        <f>_xlfn.IFNA(INDEX(#REF!,MATCH(Project[[#This Row],[Student No.]:[Student No.]], #REF!,0)),"")</f>
        <v>#REF!</v>
      </c>
      <c r="I145" s="142" t="e">
        <f>_xlfn.IFNA(INDEX(#REF!,MATCH(Project[[#This Row],[Student No.]:[Student No.]], #REF!,0)),"")</f>
        <v>#REF!</v>
      </c>
      <c r="J145" s="159" t="e">
        <f>SUM(Project[[#This Row],[Discretionary Mark]:[Mark from ratings]])</f>
        <v>#REF!</v>
      </c>
      <c r="K145" s="159" t="e">
        <f>_xlfn.IFNA(IF(INDEX(#REF!,MATCH(Project[[#This Row],[Student No.]:[Student No.]], #REF!,0))&gt;0,"Yes",""),"")</f>
        <v>#REF!</v>
      </c>
      <c r="L145" s="142" t="e">
        <f>_xlfn.IFNA(IF(INDEX(#REF!,MATCH(Project[[#This Row],[Student No.]:[Student No.]], #REF!,0))="Code contribution less than 35%","Yes",""),"")</f>
        <v>#REF!</v>
      </c>
      <c r="M145"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45" s="152"/>
      <c r="O145"/>
      <c r="P145"/>
      <c r="Q145"/>
    </row>
    <row r="146" spans="1:17">
      <c r="A146" s="139" t="s">
        <v>416</v>
      </c>
      <c r="B146" s="140" t="s">
        <v>589</v>
      </c>
      <c r="C146" s="141" t="str">
        <f>IF(ISNUMBER(Project[[#This Row],[Mark after capping]]),IF(Project[[#This Row],[Mark after capping]]&lt;0,0,IF(Project[[#This Row],[Mark after capping]]&gt;100,100,Project[[#This Row],[Mark after capping]]/$M$3*100)),"")</f>
        <v/>
      </c>
      <c r="D146" s="142" t="e">
        <f>_xlfn.IFNA(INDEX(#REF!,MATCH(Project[[#This Row],[Student No.]:[Student No.]], #REF!,0)),"")</f>
        <v>#REF!</v>
      </c>
      <c r="E146" s="142" t="e">
        <f>_xlfn.IFNA(INDEX(#REF!,MATCH(Project[[#This Row],[Student No.]], #REF!,0)),"")</f>
        <v>#REF!</v>
      </c>
      <c r="F146" s="142" t="e">
        <f>_xlfn.IFNA(INDEX(#REF!,MATCH(Project[[#This Row],[Student No.]], #REF!,0)),"")</f>
        <v>#REF!</v>
      </c>
      <c r="G146" s="142" t="e">
        <f>_xlfn.IFNA(INDEX(#REF!,MATCH(Project[[#This Row],[Student No.]:[Student No.]], #REF!,0)),"")</f>
        <v>#REF!</v>
      </c>
      <c r="H146" s="142" t="e">
        <f>_xlfn.IFNA(INDEX(#REF!,MATCH(Project[[#This Row],[Student No.]:[Student No.]], #REF!,0)),"")</f>
        <v>#REF!</v>
      </c>
      <c r="I146" s="142" t="e">
        <f>_xlfn.IFNA(INDEX(#REF!,MATCH(Project[[#This Row],[Student No.]:[Student No.]], #REF!,0)),"")</f>
        <v>#REF!</v>
      </c>
      <c r="J146" s="159" t="e">
        <f>SUM(Project[[#This Row],[Discretionary Mark]:[Mark from ratings]])</f>
        <v>#REF!</v>
      </c>
      <c r="K146" s="159" t="e">
        <f>_xlfn.IFNA(IF(INDEX(#REF!,MATCH(Project[[#This Row],[Student No.]:[Student No.]], #REF!,0))&gt;0,"Yes",""),"")</f>
        <v>#REF!</v>
      </c>
      <c r="L146" s="142" t="e">
        <f>_xlfn.IFNA(IF(INDEX(#REF!,MATCH(Project[[#This Row],[Student No.]:[Student No.]], #REF!,0))="Code contribution less than 35%","Yes",""),"")</f>
        <v>#REF!</v>
      </c>
      <c r="M146"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46" s="152"/>
      <c r="O146"/>
      <c r="P146"/>
      <c r="Q146"/>
    </row>
    <row r="147" spans="1:17">
      <c r="A147" s="139" t="s">
        <v>417</v>
      </c>
      <c r="B147" s="140" t="s">
        <v>590</v>
      </c>
      <c r="C147" s="141" t="str">
        <f>IF(ISNUMBER(Project[[#This Row],[Mark after capping]]),IF(Project[[#This Row],[Mark after capping]]&lt;0,0,IF(Project[[#This Row],[Mark after capping]]&gt;100,100,Project[[#This Row],[Mark after capping]]/$M$3*100)),"")</f>
        <v/>
      </c>
      <c r="D147" s="142" t="e">
        <f>_xlfn.IFNA(INDEX(#REF!,MATCH(Project[[#This Row],[Student No.]:[Student No.]], #REF!,0)),"")</f>
        <v>#REF!</v>
      </c>
      <c r="E147" s="142" t="e">
        <f>_xlfn.IFNA(INDEX(#REF!,MATCH(Project[[#This Row],[Student No.]], #REF!,0)),"")</f>
        <v>#REF!</v>
      </c>
      <c r="F147" s="142" t="e">
        <f>_xlfn.IFNA(INDEX(#REF!,MATCH(Project[[#This Row],[Student No.]], #REF!,0)),"")</f>
        <v>#REF!</v>
      </c>
      <c r="G147" s="142" t="e">
        <f>_xlfn.IFNA(INDEX(#REF!,MATCH(Project[[#This Row],[Student No.]:[Student No.]], #REF!,0)),"")</f>
        <v>#REF!</v>
      </c>
      <c r="H147" s="142" t="e">
        <f>_xlfn.IFNA(INDEX(#REF!,MATCH(Project[[#This Row],[Student No.]:[Student No.]], #REF!,0)),"")</f>
        <v>#REF!</v>
      </c>
      <c r="I147" s="142" t="e">
        <f>_xlfn.IFNA(INDEX(#REF!,MATCH(Project[[#This Row],[Student No.]:[Student No.]], #REF!,0)),"")</f>
        <v>#REF!</v>
      </c>
      <c r="J147" s="159" t="e">
        <f>SUM(Project[[#This Row],[Discretionary Mark]:[Mark from ratings]])</f>
        <v>#REF!</v>
      </c>
      <c r="K147" s="159" t="e">
        <f>_xlfn.IFNA(IF(INDEX(#REF!,MATCH(Project[[#This Row],[Student No.]:[Student No.]], #REF!,0))&gt;0,"Yes",""),"")</f>
        <v>#REF!</v>
      </c>
      <c r="L147" s="142" t="e">
        <f>_xlfn.IFNA(IF(INDEX(#REF!,MATCH(Project[[#This Row],[Student No.]:[Student No.]], #REF!,0))="Code contribution less than 35%","Yes",""),"")</f>
        <v>#REF!</v>
      </c>
      <c r="M147"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47" s="152"/>
      <c r="O147"/>
      <c r="P147"/>
      <c r="Q147"/>
    </row>
    <row r="148" spans="1:17">
      <c r="A148" s="139" t="s">
        <v>418</v>
      </c>
      <c r="B148" s="140" t="s">
        <v>591</v>
      </c>
      <c r="C148" s="141" t="str">
        <f>IF(ISNUMBER(Project[[#This Row],[Mark after capping]]),IF(Project[[#This Row],[Mark after capping]]&lt;0,0,IF(Project[[#This Row],[Mark after capping]]&gt;100,100,Project[[#This Row],[Mark after capping]]/$M$3*100)),"")</f>
        <v/>
      </c>
      <c r="D148" s="142" t="e">
        <f>_xlfn.IFNA(INDEX(#REF!,MATCH(Project[[#This Row],[Student No.]:[Student No.]], #REF!,0)),"")</f>
        <v>#REF!</v>
      </c>
      <c r="E148" s="142" t="e">
        <f>_xlfn.IFNA(INDEX(#REF!,MATCH(Project[[#This Row],[Student No.]], #REF!,0)),"")</f>
        <v>#REF!</v>
      </c>
      <c r="F148" s="142" t="e">
        <f>_xlfn.IFNA(INDEX(#REF!,MATCH(Project[[#This Row],[Student No.]], #REF!,0)),"")</f>
        <v>#REF!</v>
      </c>
      <c r="G148" s="142" t="e">
        <f>_xlfn.IFNA(INDEX(#REF!,MATCH(Project[[#This Row],[Student No.]:[Student No.]], #REF!,0)),"")</f>
        <v>#REF!</v>
      </c>
      <c r="H148" s="142" t="e">
        <f>_xlfn.IFNA(INDEX(#REF!,MATCH(Project[[#This Row],[Student No.]:[Student No.]], #REF!,0)),"")</f>
        <v>#REF!</v>
      </c>
      <c r="I148" s="142" t="e">
        <f>_xlfn.IFNA(INDEX(#REF!,MATCH(Project[[#This Row],[Student No.]:[Student No.]], #REF!,0)),"")</f>
        <v>#REF!</v>
      </c>
      <c r="J148" s="159" t="e">
        <f>SUM(Project[[#This Row],[Discretionary Mark]:[Mark from ratings]])</f>
        <v>#REF!</v>
      </c>
      <c r="K148" s="159" t="e">
        <f>_xlfn.IFNA(IF(INDEX(#REF!,MATCH(Project[[#This Row],[Student No.]:[Student No.]], #REF!,0))&gt;0,"Yes",""),"")</f>
        <v>#REF!</v>
      </c>
      <c r="L148" s="142" t="e">
        <f>_xlfn.IFNA(IF(INDEX(#REF!,MATCH(Project[[#This Row],[Student No.]:[Student No.]], #REF!,0))="Code contribution less than 35%","Yes",""),"")</f>
        <v>#REF!</v>
      </c>
      <c r="M148"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48" s="152"/>
      <c r="O148"/>
      <c r="P148"/>
      <c r="Q148"/>
    </row>
    <row r="149" spans="1:17">
      <c r="A149" s="139" t="s">
        <v>419</v>
      </c>
      <c r="B149" s="140" t="s">
        <v>592</v>
      </c>
      <c r="C149" s="141" t="str">
        <f>IF(ISNUMBER(Project[[#This Row],[Mark after capping]]),IF(Project[[#This Row],[Mark after capping]]&lt;0,0,IF(Project[[#This Row],[Mark after capping]]&gt;100,100,Project[[#This Row],[Mark after capping]]/$M$3*100)),"")</f>
        <v/>
      </c>
      <c r="D149" s="142" t="e">
        <f>_xlfn.IFNA(INDEX(#REF!,MATCH(Project[[#This Row],[Student No.]:[Student No.]], #REF!,0)),"")</f>
        <v>#REF!</v>
      </c>
      <c r="E149" s="142" t="e">
        <f>_xlfn.IFNA(INDEX(#REF!,MATCH(Project[[#This Row],[Student No.]], #REF!,0)),"")</f>
        <v>#REF!</v>
      </c>
      <c r="F149" s="142" t="e">
        <f>_xlfn.IFNA(INDEX(#REF!,MATCH(Project[[#This Row],[Student No.]], #REF!,0)),"")</f>
        <v>#REF!</v>
      </c>
      <c r="G149" s="142" t="e">
        <f>_xlfn.IFNA(INDEX(#REF!,MATCH(Project[[#This Row],[Student No.]:[Student No.]], #REF!,0)),"")</f>
        <v>#REF!</v>
      </c>
      <c r="H149" s="142" t="e">
        <f>_xlfn.IFNA(INDEX(#REF!,MATCH(Project[[#This Row],[Student No.]:[Student No.]], #REF!,0)),"")</f>
        <v>#REF!</v>
      </c>
      <c r="I149" s="142" t="e">
        <f>_xlfn.IFNA(INDEX(#REF!,MATCH(Project[[#This Row],[Student No.]:[Student No.]], #REF!,0)),"")</f>
        <v>#REF!</v>
      </c>
      <c r="J149" s="159" t="e">
        <f>SUM(Project[[#This Row],[Discretionary Mark]:[Mark from ratings]])</f>
        <v>#REF!</v>
      </c>
      <c r="K149" s="159" t="e">
        <f>_xlfn.IFNA(IF(INDEX(#REF!,MATCH(Project[[#This Row],[Student No.]:[Student No.]], #REF!,0))&gt;0,"Yes",""),"")</f>
        <v>#REF!</v>
      </c>
      <c r="L149" s="142" t="e">
        <f>_xlfn.IFNA(IF(INDEX(#REF!,MATCH(Project[[#This Row],[Student No.]:[Student No.]], #REF!,0))="Code contribution less than 35%","Yes",""),"")</f>
        <v>#REF!</v>
      </c>
      <c r="M149"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49" s="152"/>
      <c r="O149"/>
      <c r="P149"/>
      <c r="Q149"/>
    </row>
    <row r="150" spans="1:17">
      <c r="A150" s="139" t="s">
        <v>420</v>
      </c>
      <c r="B150" s="140" t="s">
        <v>593</v>
      </c>
      <c r="C150" s="141" t="str">
        <f>IF(ISNUMBER(Project[[#This Row],[Mark after capping]]),IF(Project[[#This Row],[Mark after capping]]&lt;0,0,IF(Project[[#This Row],[Mark after capping]]&gt;100,100,Project[[#This Row],[Mark after capping]]/$M$3*100)),"")</f>
        <v/>
      </c>
      <c r="D150" s="142" t="e">
        <f>_xlfn.IFNA(INDEX(#REF!,MATCH(Project[[#This Row],[Student No.]:[Student No.]], #REF!,0)),"")</f>
        <v>#REF!</v>
      </c>
      <c r="E150" s="142" t="e">
        <f>_xlfn.IFNA(INDEX(#REF!,MATCH(Project[[#This Row],[Student No.]], #REF!,0)),"")</f>
        <v>#REF!</v>
      </c>
      <c r="F150" s="142" t="e">
        <f>_xlfn.IFNA(INDEX(#REF!,MATCH(Project[[#This Row],[Student No.]], #REF!,0)),"")</f>
        <v>#REF!</v>
      </c>
      <c r="G150" s="142" t="e">
        <f>_xlfn.IFNA(INDEX(#REF!,MATCH(Project[[#This Row],[Student No.]:[Student No.]], #REF!,0)),"")</f>
        <v>#REF!</v>
      </c>
      <c r="H150" s="142" t="e">
        <f>_xlfn.IFNA(INDEX(#REF!,MATCH(Project[[#This Row],[Student No.]:[Student No.]], #REF!,0)),"")</f>
        <v>#REF!</v>
      </c>
      <c r="I150" s="142" t="e">
        <f>_xlfn.IFNA(INDEX(#REF!,MATCH(Project[[#This Row],[Student No.]:[Student No.]], #REF!,0)),"")</f>
        <v>#REF!</v>
      </c>
      <c r="J150" s="159" t="e">
        <f>SUM(Project[[#This Row],[Discretionary Mark]:[Mark from ratings]])</f>
        <v>#REF!</v>
      </c>
      <c r="K150" s="159" t="e">
        <f>_xlfn.IFNA(IF(INDEX(#REF!,MATCH(Project[[#This Row],[Student No.]:[Student No.]], #REF!,0))&gt;0,"Yes",""),"")</f>
        <v>#REF!</v>
      </c>
      <c r="L150" s="142" t="e">
        <f>_xlfn.IFNA(IF(INDEX(#REF!,MATCH(Project[[#This Row],[Student No.]:[Student No.]], #REF!,0))="Code contribution less than 35%","Yes",""),"")</f>
        <v>#REF!</v>
      </c>
      <c r="M150"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50" s="152"/>
      <c r="O150"/>
      <c r="P150"/>
      <c r="Q150"/>
    </row>
    <row r="151" spans="1:17">
      <c r="A151" s="139" t="s">
        <v>421</v>
      </c>
      <c r="B151" s="140" t="s">
        <v>594</v>
      </c>
      <c r="C151" s="141" t="str">
        <f>IF(ISNUMBER(Project[[#This Row],[Mark after capping]]),IF(Project[[#This Row],[Mark after capping]]&lt;0,0,IF(Project[[#This Row],[Mark after capping]]&gt;100,100,Project[[#This Row],[Mark after capping]]/$M$3*100)),"")</f>
        <v/>
      </c>
      <c r="D151" s="142" t="e">
        <f>_xlfn.IFNA(INDEX(#REF!,MATCH(Project[[#This Row],[Student No.]:[Student No.]], #REF!,0)),"")</f>
        <v>#REF!</v>
      </c>
      <c r="E151" s="142" t="e">
        <f>_xlfn.IFNA(INDEX(#REF!,MATCH(Project[[#This Row],[Student No.]], #REF!,0)),"")</f>
        <v>#REF!</v>
      </c>
      <c r="F151" s="142" t="e">
        <f>_xlfn.IFNA(INDEX(#REF!,MATCH(Project[[#This Row],[Student No.]], #REF!,0)),"")</f>
        <v>#REF!</v>
      </c>
      <c r="G151" s="142" t="e">
        <f>_xlfn.IFNA(INDEX(#REF!,MATCH(Project[[#This Row],[Student No.]:[Student No.]], #REF!,0)),"")</f>
        <v>#REF!</v>
      </c>
      <c r="H151" s="142" t="e">
        <f>_xlfn.IFNA(INDEX(#REF!,MATCH(Project[[#This Row],[Student No.]:[Student No.]], #REF!,0)),"")</f>
        <v>#REF!</v>
      </c>
      <c r="I151" s="142" t="e">
        <f>_xlfn.IFNA(INDEX(#REF!,MATCH(Project[[#This Row],[Student No.]:[Student No.]], #REF!,0)),"")</f>
        <v>#REF!</v>
      </c>
      <c r="J151" s="159" t="e">
        <f>SUM(Project[[#This Row],[Discretionary Mark]:[Mark from ratings]])</f>
        <v>#REF!</v>
      </c>
      <c r="K151" s="159" t="e">
        <f>_xlfn.IFNA(IF(INDEX(#REF!,MATCH(Project[[#This Row],[Student No.]:[Student No.]], #REF!,0))&gt;0,"Yes",""),"")</f>
        <v>#REF!</v>
      </c>
      <c r="L151" s="142" t="e">
        <f>_xlfn.IFNA(IF(INDEX(#REF!,MATCH(Project[[#This Row],[Student No.]:[Student No.]], #REF!,0))="Code contribution less than 35%","Yes",""),"")</f>
        <v>#REF!</v>
      </c>
      <c r="M151"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51" s="152"/>
      <c r="O151"/>
      <c r="P151"/>
      <c r="Q151"/>
    </row>
    <row r="152" spans="1:17">
      <c r="A152" s="139" t="s">
        <v>422</v>
      </c>
      <c r="B152" s="140" t="s">
        <v>595</v>
      </c>
      <c r="C152" s="141" t="str">
        <f>IF(ISNUMBER(Project[[#This Row],[Mark after capping]]),IF(Project[[#This Row],[Mark after capping]]&lt;0,0,IF(Project[[#This Row],[Mark after capping]]&gt;100,100,Project[[#This Row],[Mark after capping]]/$M$3*100)),"")</f>
        <v/>
      </c>
      <c r="D152" s="142" t="e">
        <f>_xlfn.IFNA(INDEX(#REF!,MATCH(Project[[#This Row],[Student No.]:[Student No.]], #REF!,0)),"")</f>
        <v>#REF!</v>
      </c>
      <c r="E152" s="142" t="e">
        <f>_xlfn.IFNA(INDEX(#REF!,MATCH(Project[[#This Row],[Student No.]], #REF!,0)),"")</f>
        <v>#REF!</v>
      </c>
      <c r="F152" s="142" t="e">
        <f>_xlfn.IFNA(INDEX(#REF!,MATCH(Project[[#This Row],[Student No.]], #REF!,0)),"")</f>
        <v>#REF!</v>
      </c>
      <c r="G152" s="142" t="e">
        <f>_xlfn.IFNA(INDEX(#REF!,MATCH(Project[[#This Row],[Student No.]:[Student No.]], #REF!,0)),"")</f>
        <v>#REF!</v>
      </c>
      <c r="H152" s="142" t="e">
        <f>_xlfn.IFNA(INDEX(#REF!,MATCH(Project[[#This Row],[Student No.]:[Student No.]], #REF!,0)),"")</f>
        <v>#REF!</v>
      </c>
      <c r="I152" s="142" t="e">
        <f>_xlfn.IFNA(INDEX(#REF!,MATCH(Project[[#This Row],[Student No.]:[Student No.]], #REF!,0)),"")</f>
        <v>#REF!</v>
      </c>
      <c r="J152" s="159" t="e">
        <f>SUM(Project[[#This Row],[Discretionary Mark]:[Mark from ratings]])</f>
        <v>#REF!</v>
      </c>
      <c r="K152" s="159" t="e">
        <f>_xlfn.IFNA(IF(INDEX(#REF!,MATCH(Project[[#This Row],[Student No.]:[Student No.]], #REF!,0))&gt;0,"Yes",""),"")</f>
        <v>#REF!</v>
      </c>
      <c r="L152" s="142" t="e">
        <f>_xlfn.IFNA(IF(INDEX(#REF!,MATCH(Project[[#This Row],[Student No.]:[Student No.]], #REF!,0))="Code contribution less than 35%","Yes",""),"")</f>
        <v>#REF!</v>
      </c>
      <c r="M152"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52" s="152"/>
      <c r="O152"/>
      <c r="P152"/>
      <c r="Q152"/>
    </row>
    <row r="153" spans="1:17">
      <c r="A153" s="139" t="s">
        <v>423</v>
      </c>
      <c r="B153" s="140" t="s">
        <v>596</v>
      </c>
      <c r="C153" s="141" t="str">
        <f>IF(ISNUMBER(Project[[#This Row],[Mark after capping]]),IF(Project[[#This Row],[Mark after capping]]&lt;0,0,IF(Project[[#This Row],[Mark after capping]]&gt;100,100,Project[[#This Row],[Mark after capping]]/$M$3*100)),"")</f>
        <v/>
      </c>
      <c r="D153" s="142" t="e">
        <f>_xlfn.IFNA(INDEX(#REF!,MATCH(Project[[#This Row],[Student No.]:[Student No.]], #REF!,0)),"")</f>
        <v>#REF!</v>
      </c>
      <c r="E153" s="142" t="e">
        <f>_xlfn.IFNA(INDEX(#REF!,MATCH(Project[[#This Row],[Student No.]], #REF!,0)),"")</f>
        <v>#REF!</v>
      </c>
      <c r="F153" s="142" t="e">
        <f>_xlfn.IFNA(INDEX(#REF!,MATCH(Project[[#This Row],[Student No.]], #REF!,0)),"")</f>
        <v>#REF!</v>
      </c>
      <c r="G153" s="142" t="e">
        <f>_xlfn.IFNA(INDEX(#REF!,MATCH(Project[[#This Row],[Student No.]:[Student No.]], #REF!,0)),"")</f>
        <v>#REF!</v>
      </c>
      <c r="H153" s="142" t="e">
        <f>_xlfn.IFNA(INDEX(#REF!,MATCH(Project[[#This Row],[Student No.]:[Student No.]], #REF!,0)),"")</f>
        <v>#REF!</v>
      </c>
      <c r="I153" s="142" t="e">
        <f>_xlfn.IFNA(INDEX(#REF!,MATCH(Project[[#This Row],[Student No.]:[Student No.]], #REF!,0)),"")</f>
        <v>#REF!</v>
      </c>
      <c r="J153" s="159" t="e">
        <f>SUM(Project[[#This Row],[Discretionary Mark]:[Mark from ratings]])</f>
        <v>#REF!</v>
      </c>
      <c r="K153" s="159" t="e">
        <f>_xlfn.IFNA(IF(INDEX(#REF!,MATCH(Project[[#This Row],[Student No.]:[Student No.]], #REF!,0))&gt;0,"Yes",""),"")</f>
        <v>#REF!</v>
      </c>
      <c r="L153" s="142" t="e">
        <f>_xlfn.IFNA(IF(INDEX(#REF!,MATCH(Project[[#This Row],[Student No.]:[Student No.]], #REF!,0))="Code contribution less than 35%","Yes",""),"")</f>
        <v>#REF!</v>
      </c>
      <c r="M153"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53" s="152"/>
      <c r="O153"/>
      <c r="P153"/>
      <c r="Q153"/>
    </row>
    <row r="154" spans="1:17">
      <c r="A154" s="139" t="s">
        <v>424</v>
      </c>
      <c r="B154" s="140" t="s">
        <v>597</v>
      </c>
      <c r="C154" s="141" t="str">
        <f>IF(ISNUMBER(Project[[#This Row],[Mark after capping]]),IF(Project[[#This Row],[Mark after capping]]&lt;0,0,IF(Project[[#This Row],[Mark after capping]]&gt;100,100,Project[[#This Row],[Mark after capping]]/$M$3*100)),"")</f>
        <v/>
      </c>
      <c r="D154" s="142" t="e">
        <f>_xlfn.IFNA(INDEX(#REF!,MATCH(Project[[#This Row],[Student No.]:[Student No.]], #REF!,0)),"")</f>
        <v>#REF!</v>
      </c>
      <c r="E154" s="142" t="e">
        <f>_xlfn.IFNA(INDEX(#REF!,MATCH(Project[[#This Row],[Student No.]], #REF!,0)),"")</f>
        <v>#REF!</v>
      </c>
      <c r="F154" s="142" t="e">
        <f>_xlfn.IFNA(INDEX(#REF!,MATCH(Project[[#This Row],[Student No.]], #REF!,0)),"")</f>
        <v>#REF!</v>
      </c>
      <c r="G154" s="142" t="e">
        <f>_xlfn.IFNA(INDEX(#REF!,MATCH(Project[[#This Row],[Student No.]:[Student No.]], #REF!,0)),"")</f>
        <v>#REF!</v>
      </c>
      <c r="H154" s="142" t="e">
        <f>_xlfn.IFNA(INDEX(#REF!,MATCH(Project[[#This Row],[Student No.]:[Student No.]], #REF!,0)),"")</f>
        <v>#REF!</v>
      </c>
      <c r="I154" s="142" t="e">
        <f>_xlfn.IFNA(INDEX(#REF!,MATCH(Project[[#This Row],[Student No.]:[Student No.]], #REF!,0)),"")</f>
        <v>#REF!</v>
      </c>
      <c r="J154" s="159" t="e">
        <f>SUM(Project[[#This Row],[Discretionary Mark]:[Mark from ratings]])</f>
        <v>#REF!</v>
      </c>
      <c r="K154" s="159" t="e">
        <f>_xlfn.IFNA(IF(INDEX(#REF!,MATCH(Project[[#This Row],[Student No.]:[Student No.]], #REF!,0))&gt;0,"Yes",""),"")</f>
        <v>#REF!</v>
      </c>
      <c r="L154" s="142" t="e">
        <f>_xlfn.IFNA(IF(INDEX(#REF!,MATCH(Project[[#This Row],[Student No.]:[Student No.]], #REF!,0))="Code contribution less than 35%","Yes",""),"")</f>
        <v>#REF!</v>
      </c>
      <c r="M154"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54" s="152"/>
      <c r="O154"/>
      <c r="P154"/>
      <c r="Q154"/>
    </row>
    <row r="155" spans="1:17">
      <c r="A155" s="139" t="s">
        <v>425</v>
      </c>
      <c r="B155" s="140" t="s">
        <v>598</v>
      </c>
      <c r="C155" s="141" t="str">
        <f>IF(ISNUMBER(Project[[#This Row],[Mark after capping]]),IF(Project[[#This Row],[Mark after capping]]&lt;0,0,IF(Project[[#This Row],[Mark after capping]]&gt;100,100,Project[[#This Row],[Mark after capping]]/$M$3*100)),"")</f>
        <v/>
      </c>
      <c r="D155" s="142" t="e">
        <f>_xlfn.IFNA(INDEX(#REF!,MATCH(Project[[#This Row],[Student No.]:[Student No.]], #REF!,0)),"")</f>
        <v>#REF!</v>
      </c>
      <c r="E155" s="142" t="e">
        <f>_xlfn.IFNA(INDEX(#REF!,MATCH(Project[[#This Row],[Student No.]], #REF!,0)),"")</f>
        <v>#REF!</v>
      </c>
      <c r="F155" s="142" t="e">
        <f>_xlfn.IFNA(INDEX(#REF!,MATCH(Project[[#This Row],[Student No.]], #REF!,0)),"")</f>
        <v>#REF!</v>
      </c>
      <c r="G155" s="142" t="e">
        <f>_xlfn.IFNA(INDEX(#REF!,MATCH(Project[[#This Row],[Student No.]:[Student No.]], #REF!,0)),"")</f>
        <v>#REF!</v>
      </c>
      <c r="H155" s="142" t="e">
        <f>_xlfn.IFNA(INDEX(#REF!,MATCH(Project[[#This Row],[Student No.]:[Student No.]], #REF!,0)),"")</f>
        <v>#REF!</v>
      </c>
      <c r="I155" s="142" t="e">
        <f>_xlfn.IFNA(INDEX(#REF!,MATCH(Project[[#This Row],[Student No.]:[Student No.]], #REF!,0)),"")</f>
        <v>#REF!</v>
      </c>
      <c r="J155" s="159" t="e">
        <f>SUM(Project[[#This Row],[Discretionary Mark]:[Mark from ratings]])</f>
        <v>#REF!</v>
      </c>
      <c r="K155" s="159" t="e">
        <f>_xlfn.IFNA(IF(INDEX(#REF!,MATCH(Project[[#This Row],[Student No.]:[Student No.]], #REF!,0))&gt;0,"Yes",""),"")</f>
        <v>#REF!</v>
      </c>
      <c r="L155" s="142" t="e">
        <f>_xlfn.IFNA(IF(INDEX(#REF!,MATCH(Project[[#This Row],[Student No.]:[Student No.]], #REF!,0))="Code contribution less than 35%","Yes",""),"")</f>
        <v>#REF!</v>
      </c>
      <c r="M155"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55" s="152"/>
      <c r="O155"/>
      <c r="P155"/>
      <c r="Q155"/>
    </row>
    <row r="156" spans="1:17">
      <c r="A156" s="139" t="s">
        <v>426</v>
      </c>
      <c r="B156" s="140" t="s">
        <v>599</v>
      </c>
      <c r="C156" s="141" t="str">
        <f>IF(ISNUMBER(Project[[#This Row],[Mark after capping]]),IF(Project[[#This Row],[Mark after capping]]&lt;0,0,IF(Project[[#This Row],[Mark after capping]]&gt;100,100,Project[[#This Row],[Mark after capping]]/$M$3*100)),"")</f>
        <v/>
      </c>
      <c r="D156" s="142" t="e">
        <f>_xlfn.IFNA(INDEX(#REF!,MATCH(Project[[#This Row],[Student No.]:[Student No.]], #REF!,0)),"")</f>
        <v>#REF!</v>
      </c>
      <c r="E156" s="142" t="e">
        <f>_xlfn.IFNA(INDEX(#REF!,MATCH(Project[[#This Row],[Student No.]], #REF!,0)),"")</f>
        <v>#REF!</v>
      </c>
      <c r="F156" s="142" t="e">
        <f>_xlfn.IFNA(INDEX(#REF!,MATCH(Project[[#This Row],[Student No.]], #REF!,0)),"")</f>
        <v>#REF!</v>
      </c>
      <c r="G156" s="142" t="e">
        <f>_xlfn.IFNA(INDEX(#REF!,MATCH(Project[[#This Row],[Student No.]:[Student No.]], #REF!,0)),"")</f>
        <v>#REF!</v>
      </c>
      <c r="H156" s="142" t="e">
        <f>_xlfn.IFNA(INDEX(#REF!,MATCH(Project[[#This Row],[Student No.]:[Student No.]], #REF!,0)),"")</f>
        <v>#REF!</v>
      </c>
      <c r="I156" s="142" t="e">
        <f>_xlfn.IFNA(INDEX(#REF!,MATCH(Project[[#This Row],[Student No.]:[Student No.]], #REF!,0)),"")</f>
        <v>#REF!</v>
      </c>
      <c r="J156" s="159" t="e">
        <f>SUM(Project[[#This Row],[Discretionary Mark]:[Mark from ratings]])</f>
        <v>#REF!</v>
      </c>
      <c r="K156" s="159" t="e">
        <f>_xlfn.IFNA(IF(INDEX(#REF!,MATCH(Project[[#This Row],[Student No.]:[Student No.]], #REF!,0))&gt;0,"Yes",""),"")</f>
        <v>#REF!</v>
      </c>
      <c r="L156" s="142" t="e">
        <f>_xlfn.IFNA(IF(INDEX(#REF!,MATCH(Project[[#This Row],[Student No.]:[Student No.]], #REF!,0))="Code contribution less than 35%","Yes",""),"")</f>
        <v>#REF!</v>
      </c>
      <c r="M156"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56" s="152"/>
      <c r="O156"/>
      <c r="P156"/>
      <c r="Q156"/>
    </row>
    <row r="157" spans="1:17">
      <c r="A157" s="139" t="s">
        <v>427</v>
      </c>
      <c r="B157" s="140" t="s">
        <v>600</v>
      </c>
      <c r="C157" s="141" t="str">
        <f>IF(ISNUMBER(Project[[#This Row],[Mark after capping]]),IF(Project[[#This Row],[Mark after capping]]&lt;0,0,IF(Project[[#This Row],[Mark after capping]]&gt;100,100,Project[[#This Row],[Mark after capping]]/$M$3*100)),"")</f>
        <v/>
      </c>
      <c r="D157" s="142" t="e">
        <f>_xlfn.IFNA(INDEX(#REF!,MATCH(Project[[#This Row],[Student No.]:[Student No.]], #REF!,0)),"")</f>
        <v>#REF!</v>
      </c>
      <c r="E157" s="142" t="e">
        <f>_xlfn.IFNA(INDEX(#REF!,MATCH(Project[[#This Row],[Student No.]], #REF!,0)),"")</f>
        <v>#REF!</v>
      </c>
      <c r="F157" s="142" t="e">
        <f>_xlfn.IFNA(INDEX(#REF!,MATCH(Project[[#This Row],[Student No.]], #REF!,0)),"")</f>
        <v>#REF!</v>
      </c>
      <c r="G157" s="142" t="e">
        <f>_xlfn.IFNA(INDEX(#REF!,MATCH(Project[[#This Row],[Student No.]:[Student No.]], #REF!,0)),"")</f>
        <v>#REF!</v>
      </c>
      <c r="H157" s="142" t="e">
        <f>_xlfn.IFNA(INDEX(#REF!,MATCH(Project[[#This Row],[Student No.]:[Student No.]], #REF!,0)),"")</f>
        <v>#REF!</v>
      </c>
      <c r="I157" s="142" t="e">
        <f>_xlfn.IFNA(INDEX(#REF!,MATCH(Project[[#This Row],[Student No.]:[Student No.]], #REF!,0)),"")</f>
        <v>#REF!</v>
      </c>
      <c r="J157" s="159" t="e">
        <f>SUM(Project[[#This Row],[Discretionary Mark]:[Mark from ratings]])</f>
        <v>#REF!</v>
      </c>
      <c r="K157" s="159" t="e">
        <f>_xlfn.IFNA(IF(INDEX(#REF!,MATCH(Project[[#This Row],[Student No.]:[Student No.]], #REF!,0))&gt;0,"Yes",""),"")</f>
        <v>#REF!</v>
      </c>
      <c r="L157" s="142" t="e">
        <f>_xlfn.IFNA(IF(INDEX(#REF!,MATCH(Project[[#This Row],[Student No.]:[Student No.]], #REF!,0))="Code contribution less than 35%","Yes",""),"")</f>
        <v>#REF!</v>
      </c>
      <c r="M157"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57" s="152"/>
      <c r="O157"/>
      <c r="P157"/>
      <c r="Q157"/>
    </row>
    <row r="158" spans="1:17">
      <c r="A158" s="139" t="s">
        <v>428</v>
      </c>
      <c r="B158" s="140" t="s">
        <v>601</v>
      </c>
      <c r="C158" s="141" t="str">
        <f>IF(ISNUMBER(Project[[#This Row],[Mark after capping]]),IF(Project[[#This Row],[Mark after capping]]&lt;0,0,IF(Project[[#This Row],[Mark after capping]]&gt;100,100,Project[[#This Row],[Mark after capping]]/$M$3*100)),"")</f>
        <v/>
      </c>
      <c r="D158" s="142" t="e">
        <f>_xlfn.IFNA(INDEX(#REF!,MATCH(Project[[#This Row],[Student No.]:[Student No.]], #REF!,0)),"")</f>
        <v>#REF!</v>
      </c>
      <c r="E158" s="142" t="e">
        <f>_xlfn.IFNA(INDEX(#REF!,MATCH(Project[[#This Row],[Student No.]], #REF!,0)),"")</f>
        <v>#REF!</v>
      </c>
      <c r="F158" s="142" t="e">
        <f>_xlfn.IFNA(INDEX(#REF!,MATCH(Project[[#This Row],[Student No.]], #REF!,0)),"")</f>
        <v>#REF!</v>
      </c>
      <c r="G158" s="142" t="e">
        <f>_xlfn.IFNA(INDEX(#REF!,MATCH(Project[[#This Row],[Student No.]:[Student No.]], #REF!,0)),"")</f>
        <v>#REF!</v>
      </c>
      <c r="H158" s="142" t="e">
        <f>_xlfn.IFNA(INDEX(#REF!,MATCH(Project[[#This Row],[Student No.]:[Student No.]], #REF!,0)),"")</f>
        <v>#REF!</v>
      </c>
      <c r="I158" s="142" t="e">
        <f>_xlfn.IFNA(INDEX(#REF!,MATCH(Project[[#This Row],[Student No.]:[Student No.]], #REF!,0)),"")</f>
        <v>#REF!</v>
      </c>
      <c r="J158" s="159" t="e">
        <f>SUM(Project[[#This Row],[Discretionary Mark]:[Mark from ratings]])</f>
        <v>#REF!</v>
      </c>
      <c r="K158" s="159" t="e">
        <f>_xlfn.IFNA(IF(INDEX(#REF!,MATCH(Project[[#This Row],[Student No.]:[Student No.]], #REF!,0))&gt;0,"Yes",""),"")</f>
        <v>#REF!</v>
      </c>
      <c r="L158" s="142" t="e">
        <f>_xlfn.IFNA(IF(INDEX(#REF!,MATCH(Project[[#This Row],[Student No.]:[Student No.]], #REF!,0))="Code contribution less than 35%","Yes",""),"")</f>
        <v>#REF!</v>
      </c>
      <c r="M158"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58" s="152"/>
      <c r="O158"/>
      <c r="P158"/>
      <c r="Q158"/>
    </row>
    <row r="159" spans="1:17">
      <c r="A159" s="139" t="s">
        <v>429</v>
      </c>
      <c r="B159" s="140" t="s">
        <v>602</v>
      </c>
      <c r="C159" s="141" t="str">
        <f>IF(ISNUMBER(Project[[#This Row],[Mark after capping]]),IF(Project[[#This Row],[Mark after capping]]&lt;0,0,IF(Project[[#This Row],[Mark after capping]]&gt;100,100,Project[[#This Row],[Mark after capping]]/$M$3*100)),"")</f>
        <v/>
      </c>
      <c r="D159" s="142" t="e">
        <f>_xlfn.IFNA(INDEX(#REF!,MATCH(Project[[#This Row],[Student No.]:[Student No.]], #REF!,0)),"")</f>
        <v>#REF!</v>
      </c>
      <c r="E159" s="142" t="e">
        <f>_xlfn.IFNA(INDEX(#REF!,MATCH(Project[[#This Row],[Student No.]], #REF!,0)),"")</f>
        <v>#REF!</v>
      </c>
      <c r="F159" s="142" t="e">
        <f>_xlfn.IFNA(INDEX(#REF!,MATCH(Project[[#This Row],[Student No.]], #REF!,0)),"")</f>
        <v>#REF!</v>
      </c>
      <c r="G159" s="142" t="e">
        <f>_xlfn.IFNA(INDEX(#REF!,MATCH(Project[[#This Row],[Student No.]:[Student No.]], #REF!,0)),"")</f>
        <v>#REF!</v>
      </c>
      <c r="H159" s="142" t="e">
        <f>_xlfn.IFNA(INDEX(#REF!,MATCH(Project[[#This Row],[Student No.]:[Student No.]], #REF!,0)),"")</f>
        <v>#REF!</v>
      </c>
      <c r="I159" s="142" t="e">
        <f>_xlfn.IFNA(INDEX(#REF!,MATCH(Project[[#This Row],[Student No.]:[Student No.]], #REF!,0)),"")</f>
        <v>#REF!</v>
      </c>
      <c r="J159" s="159" t="e">
        <f>SUM(Project[[#This Row],[Discretionary Mark]:[Mark from ratings]])</f>
        <v>#REF!</v>
      </c>
      <c r="K159" s="159" t="e">
        <f>_xlfn.IFNA(IF(INDEX(#REF!,MATCH(Project[[#This Row],[Student No.]:[Student No.]], #REF!,0))&gt;0,"Yes",""),"")</f>
        <v>#REF!</v>
      </c>
      <c r="L159" s="142" t="e">
        <f>_xlfn.IFNA(IF(INDEX(#REF!,MATCH(Project[[#This Row],[Student No.]:[Student No.]], #REF!,0))="Code contribution less than 35%","Yes",""),"")</f>
        <v>#REF!</v>
      </c>
      <c r="M159"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59" s="152"/>
      <c r="O159"/>
      <c r="P159"/>
      <c r="Q159"/>
    </row>
    <row r="160" spans="1:17">
      <c r="A160" s="139" t="s">
        <v>430</v>
      </c>
      <c r="B160" s="140" t="s">
        <v>603</v>
      </c>
      <c r="C160" s="141" t="str">
        <f>IF(ISNUMBER(Project[[#This Row],[Mark after capping]]),IF(Project[[#This Row],[Mark after capping]]&lt;0,0,IF(Project[[#This Row],[Mark after capping]]&gt;100,100,Project[[#This Row],[Mark after capping]]/$M$3*100)),"")</f>
        <v/>
      </c>
      <c r="D160" s="142" t="e">
        <f>_xlfn.IFNA(INDEX(#REF!,MATCH(Project[[#This Row],[Student No.]:[Student No.]], #REF!,0)),"")</f>
        <v>#REF!</v>
      </c>
      <c r="E160" s="142" t="e">
        <f>_xlfn.IFNA(INDEX(#REF!,MATCH(Project[[#This Row],[Student No.]], #REF!,0)),"")</f>
        <v>#REF!</v>
      </c>
      <c r="F160" s="142" t="e">
        <f>_xlfn.IFNA(INDEX(#REF!,MATCH(Project[[#This Row],[Student No.]], #REF!,0)),"")</f>
        <v>#REF!</v>
      </c>
      <c r="G160" s="142" t="e">
        <f>_xlfn.IFNA(INDEX(#REF!,MATCH(Project[[#This Row],[Student No.]:[Student No.]], #REF!,0)),"")</f>
        <v>#REF!</v>
      </c>
      <c r="H160" s="142" t="e">
        <f>_xlfn.IFNA(INDEX(#REF!,MATCH(Project[[#This Row],[Student No.]:[Student No.]], #REF!,0)),"")</f>
        <v>#REF!</v>
      </c>
      <c r="I160" s="142" t="e">
        <f>_xlfn.IFNA(INDEX(#REF!,MATCH(Project[[#This Row],[Student No.]:[Student No.]], #REF!,0)),"")</f>
        <v>#REF!</v>
      </c>
      <c r="J160" s="159" t="e">
        <f>SUM(Project[[#This Row],[Discretionary Mark]:[Mark from ratings]])</f>
        <v>#REF!</v>
      </c>
      <c r="K160" s="159" t="e">
        <f>_xlfn.IFNA(IF(INDEX(#REF!,MATCH(Project[[#This Row],[Student No.]:[Student No.]], #REF!,0))&gt;0,"Yes",""),"")</f>
        <v>#REF!</v>
      </c>
      <c r="L160" s="142" t="e">
        <f>_xlfn.IFNA(IF(INDEX(#REF!,MATCH(Project[[#This Row],[Student No.]:[Student No.]], #REF!,0))="Code contribution less than 35%","Yes",""),"")</f>
        <v>#REF!</v>
      </c>
      <c r="M160"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60" s="152"/>
      <c r="O160"/>
      <c r="P160"/>
      <c r="Q160"/>
    </row>
    <row r="161" spans="1:17">
      <c r="A161" s="139" t="s">
        <v>431</v>
      </c>
      <c r="B161" s="140" t="s">
        <v>604</v>
      </c>
      <c r="C161" s="141" t="str">
        <f>IF(ISNUMBER(Project[[#This Row],[Mark after capping]]),IF(Project[[#This Row],[Mark after capping]]&lt;0,0,IF(Project[[#This Row],[Mark after capping]]&gt;100,100,Project[[#This Row],[Mark after capping]]/$M$3*100)),"")</f>
        <v/>
      </c>
      <c r="D161" s="142" t="e">
        <f>_xlfn.IFNA(INDEX(#REF!,MATCH(Project[[#This Row],[Student No.]:[Student No.]], #REF!,0)),"")</f>
        <v>#REF!</v>
      </c>
      <c r="E161" s="142" t="e">
        <f>_xlfn.IFNA(INDEX(#REF!,MATCH(Project[[#This Row],[Student No.]], #REF!,0)),"")</f>
        <v>#REF!</v>
      </c>
      <c r="F161" s="142" t="e">
        <f>_xlfn.IFNA(INDEX(#REF!,MATCH(Project[[#This Row],[Student No.]], #REF!,0)),"")</f>
        <v>#REF!</v>
      </c>
      <c r="G161" s="142" t="e">
        <f>_xlfn.IFNA(INDEX(#REF!,MATCH(Project[[#This Row],[Student No.]:[Student No.]], #REF!,0)),"")</f>
        <v>#REF!</v>
      </c>
      <c r="H161" s="142" t="e">
        <f>_xlfn.IFNA(INDEX(#REF!,MATCH(Project[[#This Row],[Student No.]:[Student No.]], #REF!,0)),"")</f>
        <v>#REF!</v>
      </c>
      <c r="I161" s="142" t="e">
        <f>_xlfn.IFNA(INDEX(#REF!,MATCH(Project[[#This Row],[Student No.]:[Student No.]], #REF!,0)),"")</f>
        <v>#REF!</v>
      </c>
      <c r="J161" s="159" t="e">
        <f>SUM(Project[[#This Row],[Discretionary Mark]:[Mark from ratings]])</f>
        <v>#REF!</v>
      </c>
      <c r="K161" s="159" t="e">
        <f>_xlfn.IFNA(IF(INDEX(#REF!,MATCH(Project[[#This Row],[Student No.]:[Student No.]], #REF!,0))&gt;0,"Yes",""),"")</f>
        <v>#REF!</v>
      </c>
      <c r="L161" s="142" t="e">
        <f>_xlfn.IFNA(IF(INDEX(#REF!,MATCH(Project[[#This Row],[Student No.]:[Student No.]], #REF!,0))="Code contribution less than 35%","Yes",""),"")</f>
        <v>#REF!</v>
      </c>
      <c r="M161"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61" s="152"/>
      <c r="O161"/>
      <c r="P161"/>
      <c r="Q161"/>
    </row>
    <row r="162" spans="1:17">
      <c r="A162" s="139" t="s">
        <v>433</v>
      </c>
      <c r="B162" s="140" t="s">
        <v>605</v>
      </c>
      <c r="C162" s="141" t="str">
        <f>IF(ISNUMBER(Project[[#This Row],[Mark after capping]]),IF(Project[[#This Row],[Mark after capping]]&lt;0,0,IF(Project[[#This Row],[Mark after capping]]&gt;100,100,Project[[#This Row],[Mark after capping]]/$M$3*100)),"")</f>
        <v/>
      </c>
      <c r="D162" s="142" t="e">
        <f>_xlfn.IFNA(INDEX(#REF!,MATCH(Project[[#This Row],[Student No.]:[Student No.]], #REF!,0)),"")</f>
        <v>#REF!</v>
      </c>
      <c r="E162" s="142" t="e">
        <f>_xlfn.IFNA(INDEX(#REF!,MATCH(Project[[#This Row],[Student No.]], #REF!,0)),"")</f>
        <v>#REF!</v>
      </c>
      <c r="F162" s="142" t="e">
        <f>_xlfn.IFNA(INDEX(#REF!,MATCH(Project[[#This Row],[Student No.]], #REF!,0)),"")</f>
        <v>#REF!</v>
      </c>
      <c r="G162" s="142" t="e">
        <f>_xlfn.IFNA(INDEX(#REF!,MATCH(Project[[#This Row],[Student No.]:[Student No.]], #REF!,0)),"")</f>
        <v>#REF!</v>
      </c>
      <c r="H162" s="142" t="e">
        <f>_xlfn.IFNA(INDEX(#REF!,MATCH(Project[[#This Row],[Student No.]:[Student No.]], #REF!,0)),"")</f>
        <v>#REF!</v>
      </c>
      <c r="I162" s="142" t="e">
        <f>_xlfn.IFNA(INDEX(#REF!,MATCH(Project[[#This Row],[Student No.]:[Student No.]], #REF!,0)),"")</f>
        <v>#REF!</v>
      </c>
      <c r="J162" s="159" t="e">
        <f>SUM(Project[[#This Row],[Discretionary Mark]:[Mark from ratings]])</f>
        <v>#REF!</v>
      </c>
      <c r="K162" s="159" t="e">
        <f>_xlfn.IFNA(IF(INDEX(#REF!,MATCH(Project[[#This Row],[Student No.]:[Student No.]], #REF!,0))&gt;0,"Yes",""),"")</f>
        <v>#REF!</v>
      </c>
      <c r="L162" s="142" t="e">
        <f>_xlfn.IFNA(IF(INDEX(#REF!,MATCH(Project[[#This Row],[Student No.]:[Student No.]], #REF!,0))="Code contribution less than 35%","Yes",""),"")</f>
        <v>#REF!</v>
      </c>
      <c r="M162"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62" s="152"/>
      <c r="O162"/>
      <c r="P162"/>
      <c r="Q162"/>
    </row>
    <row r="163" spans="1:17">
      <c r="A163" s="139" t="s">
        <v>434</v>
      </c>
      <c r="B163" s="140" t="s">
        <v>606</v>
      </c>
      <c r="C163" s="141" t="str">
        <f>IF(ISNUMBER(Project[[#This Row],[Mark after capping]]),IF(Project[[#This Row],[Mark after capping]]&lt;0,0,IF(Project[[#This Row],[Mark after capping]]&gt;100,100,Project[[#This Row],[Mark after capping]]/$M$3*100)),"")</f>
        <v/>
      </c>
      <c r="D163" s="142" t="e">
        <f>_xlfn.IFNA(INDEX(#REF!,MATCH(Project[[#This Row],[Student No.]:[Student No.]], #REF!,0)),"")</f>
        <v>#REF!</v>
      </c>
      <c r="E163" s="142" t="e">
        <f>_xlfn.IFNA(INDEX(#REF!,MATCH(Project[[#This Row],[Student No.]], #REF!,0)),"")</f>
        <v>#REF!</v>
      </c>
      <c r="F163" s="142" t="e">
        <f>_xlfn.IFNA(INDEX(#REF!,MATCH(Project[[#This Row],[Student No.]], #REF!,0)),"")</f>
        <v>#REF!</v>
      </c>
      <c r="G163" s="142" t="e">
        <f>_xlfn.IFNA(INDEX(#REF!,MATCH(Project[[#This Row],[Student No.]:[Student No.]], #REF!,0)),"")</f>
        <v>#REF!</v>
      </c>
      <c r="H163" s="142" t="e">
        <f>_xlfn.IFNA(INDEX(#REF!,MATCH(Project[[#This Row],[Student No.]:[Student No.]], #REF!,0)),"")</f>
        <v>#REF!</v>
      </c>
      <c r="I163" s="142" t="e">
        <f>_xlfn.IFNA(INDEX(#REF!,MATCH(Project[[#This Row],[Student No.]:[Student No.]], #REF!,0)),"")</f>
        <v>#REF!</v>
      </c>
      <c r="J163" s="159" t="e">
        <f>SUM(Project[[#This Row],[Discretionary Mark]:[Mark from ratings]])</f>
        <v>#REF!</v>
      </c>
      <c r="K163" s="159" t="e">
        <f>_xlfn.IFNA(IF(INDEX(#REF!,MATCH(Project[[#This Row],[Student No.]:[Student No.]], #REF!,0))&gt;0,"Yes",""),"")</f>
        <v>#REF!</v>
      </c>
      <c r="L163" s="142" t="e">
        <f>_xlfn.IFNA(IF(INDEX(#REF!,MATCH(Project[[#This Row],[Student No.]:[Student No.]], #REF!,0))="Code contribution less than 35%","Yes",""),"")</f>
        <v>#REF!</v>
      </c>
      <c r="M163"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63" s="152"/>
      <c r="O163"/>
      <c r="P163"/>
      <c r="Q163"/>
    </row>
    <row r="164" spans="1:17">
      <c r="A164" s="139" t="s">
        <v>435</v>
      </c>
      <c r="B164" s="140" t="s">
        <v>607</v>
      </c>
      <c r="C164" s="141" t="str">
        <f>IF(ISNUMBER(Project[[#This Row],[Mark after capping]]),IF(Project[[#This Row],[Mark after capping]]&lt;0,0,IF(Project[[#This Row],[Mark after capping]]&gt;100,100,Project[[#This Row],[Mark after capping]]/$M$3*100)),"")</f>
        <v/>
      </c>
      <c r="D164" s="142" t="e">
        <f>_xlfn.IFNA(INDEX(#REF!,MATCH(Project[[#This Row],[Student No.]:[Student No.]], #REF!,0)),"")</f>
        <v>#REF!</v>
      </c>
      <c r="E164" s="142" t="e">
        <f>_xlfn.IFNA(INDEX(#REF!,MATCH(Project[[#This Row],[Student No.]], #REF!,0)),"")</f>
        <v>#REF!</v>
      </c>
      <c r="F164" s="142" t="e">
        <f>_xlfn.IFNA(INDEX(#REF!,MATCH(Project[[#This Row],[Student No.]], #REF!,0)),"")</f>
        <v>#REF!</v>
      </c>
      <c r="G164" s="142" t="e">
        <f>_xlfn.IFNA(INDEX(#REF!,MATCH(Project[[#This Row],[Student No.]:[Student No.]], #REF!,0)),"")</f>
        <v>#REF!</v>
      </c>
      <c r="H164" s="142" t="e">
        <f>_xlfn.IFNA(INDEX(#REF!,MATCH(Project[[#This Row],[Student No.]:[Student No.]], #REF!,0)),"")</f>
        <v>#REF!</v>
      </c>
      <c r="I164" s="142" t="e">
        <f>_xlfn.IFNA(INDEX(#REF!,MATCH(Project[[#This Row],[Student No.]:[Student No.]], #REF!,0)),"")</f>
        <v>#REF!</v>
      </c>
      <c r="J164" s="159" t="e">
        <f>SUM(Project[[#This Row],[Discretionary Mark]:[Mark from ratings]])</f>
        <v>#REF!</v>
      </c>
      <c r="K164" s="159" t="e">
        <f>_xlfn.IFNA(IF(INDEX(#REF!,MATCH(Project[[#This Row],[Student No.]:[Student No.]], #REF!,0))&gt;0,"Yes",""),"")</f>
        <v>#REF!</v>
      </c>
      <c r="L164" s="142" t="e">
        <f>_xlfn.IFNA(IF(INDEX(#REF!,MATCH(Project[[#This Row],[Student No.]:[Student No.]], #REF!,0))="Code contribution less than 35%","Yes",""),"")</f>
        <v>#REF!</v>
      </c>
      <c r="M164"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64" s="152"/>
      <c r="O164"/>
      <c r="P164"/>
      <c r="Q164"/>
    </row>
    <row r="165" spans="1:17">
      <c r="A165" s="139" t="s">
        <v>436</v>
      </c>
      <c r="B165" s="140" t="s">
        <v>608</v>
      </c>
      <c r="C165" s="141" t="str">
        <f>IF(ISNUMBER(Project[[#This Row],[Mark after capping]]),IF(Project[[#This Row],[Mark after capping]]&lt;0,0,IF(Project[[#This Row],[Mark after capping]]&gt;100,100,Project[[#This Row],[Mark after capping]]/$M$3*100)),"")</f>
        <v/>
      </c>
      <c r="D165" s="142" t="e">
        <f>_xlfn.IFNA(INDEX(#REF!,MATCH(Project[[#This Row],[Student No.]:[Student No.]], #REF!,0)),"")</f>
        <v>#REF!</v>
      </c>
      <c r="E165" s="142" t="e">
        <f>_xlfn.IFNA(INDEX(#REF!,MATCH(Project[[#This Row],[Student No.]], #REF!,0)),"")</f>
        <v>#REF!</v>
      </c>
      <c r="F165" s="142" t="e">
        <f>_xlfn.IFNA(INDEX(#REF!,MATCH(Project[[#This Row],[Student No.]], #REF!,0)),"")</f>
        <v>#REF!</v>
      </c>
      <c r="G165" s="142" t="e">
        <f>_xlfn.IFNA(INDEX(#REF!,MATCH(Project[[#This Row],[Student No.]:[Student No.]], #REF!,0)),"")</f>
        <v>#REF!</v>
      </c>
      <c r="H165" s="142" t="e">
        <f>_xlfn.IFNA(INDEX(#REF!,MATCH(Project[[#This Row],[Student No.]:[Student No.]], #REF!,0)),"")</f>
        <v>#REF!</v>
      </c>
      <c r="I165" s="142" t="e">
        <f>_xlfn.IFNA(INDEX(#REF!,MATCH(Project[[#This Row],[Student No.]:[Student No.]], #REF!,0)),"")</f>
        <v>#REF!</v>
      </c>
      <c r="J165" s="159" t="e">
        <f>SUM(Project[[#This Row],[Discretionary Mark]:[Mark from ratings]])</f>
        <v>#REF!</v>
      </c>
      <c r="K165" s="159" t="e">
        <f>_xlfn.IFNA(IF(INDEX(#REF!,MATCH(Project[[#This Row],[Student No.]:[Student No.]], #REF!,0))&gt;0,"Yes",""),"")</f>
        <v>#REF!</v>
      </c>
      <c r="L165" s="142" t="e">
        <f>_xlfn.IFNA(IF(INDEX(#REF!,MATCH(Project[[#This Row],[Student No.]:[Student No.]], #REF!,0))="Code contribution less than 35%","Yes",""),"")</f>
        <v>#REF!</v>
      </c>
      <c r="M165"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65" s="152"/>
      <c r="O165"/>
      <c r="P165"/>
      <c r="Q165"/>
    </row>
    <row r="166" spans="1:17">
      <c r="A166" s="139" t="s">
        <v>437</v>
      </c>
      <c r="B166" s="140" t="s">
        <v>609</v>
      </c>
      <c r="C166" s="141" t="str">
        <f>IF(ISNUMBER(Project[[#This Row],[Mark after capping]]),IF(Project[[#This Row],[Mark after capping]]&lt;0,0,IF(Project[[#This Row],[Mark after capping]]&gt;100,100,Project[[#This Row],[Mark after capping]]/$M$3*100)),"")</f>
        <v/>
      </c>
      <c r="D166" s="142" t="e">
        <f>_xlfn.IFNA(INDEX(#REF!,MATCH(Project[[#This Row],[Student No.]:[Student No.]], #REF!,0)),"")</f>
        <v>#REF!</v>
      </c>
      <c r="E166" s="142" t="e">
        <f>_xlfn.IFNA(INDEX(#REF!,MATCH(Project[[#This Row],[Student No.]], #REF!,0)),"")</f>
        <v>#REF!</v>
      </c>
      <c r="F166" s="142" t="e">
        <f>_xlfn.IFNA(INDEX(#REF!,MATCH(Project[[#This Row],[Student No.]], #REF!,0)),"")</f>
        <v>#REF!</v>
      </c>
      <c r="G166" s="142" t="e">
        <f>_xlfn.IFNA(INDEX(#REF!,MATCH(Project[[#This Row],[Student No.]:[Student No.]], #REF!,0)),"")</f>
        <v>#REF!</v>
      </c>
      <c r="H166" s="142" t="e">
        <f>_xlfn.IFNA(INDEX(#REF!,MATCH(Project[[#This Row],[Student No.]:[Student No.]], #REF!,0)),"")</f>
        <v>#REF!</v>
      </c>
      <c r="I166" s="142" t="e">
        <f>_xlfn.IFNA(INDEX(#REF!,MATCH(Project[[#This Row],[Student No.]:[Student No.]], #REF!,0)),"")</f>
        <v>#REF!</v>
      </c>
      <c r="J166" s="159" t="e">
        <f>SUM(Project[[#This Row],[Discretionary Mark]:[Mark from ratings]])</f>
        <v>#REF!</v>
      </c>
      <c r="K166" s="159" t="e">
        <f>_xlfn.IFNA(IF(INDEX(#REF!,MATCH(Project[[#This Row],[Student No.]:[Student No.]], #REF!,0))&gt;0,"Yes",""),"")</f>
        <v>#REF!</v>
      </c>
      <c r="L166" s="142" t="e">
        <f>_xlfn.IFNA(IF(INDEX(#REF!,MATCH(Project[[#This Row],[Student No.]:[Student No.]], #REF!,0))="Code contribution less than 35%","Yes",""),"")</f>
        <v>#REF!</v>
      </c>
      <c r="M166"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66" s="152"/>
      <c r="O166"/>
      <c r="P166"/>
      <c r="Q166"/>
    </row>
    <row r="167" spans="1:17">
      <c r="A167" s="139" t="s">
        <v>438</v>
      </c>
      <c r="B167" s="140" t="s">
        <v>610</v>
      </c>
      <c r="C167" s="141" t="str">
        <f>IF(ISNUMBER(Project[[#This Row],[Mark after capping]]),IF(Project[[#This Row],[Mark after capping]]&lt;0,0,IF(Project[[#This Row],[Mark after capping]]&gt;100,100,Project[[#This Row],[Mark after capping]]/$M$3*100)),"")</f>
        <v/>
      </c>
      <c r="D167" s="142" t="e">
        <f>_xlfn.IFNA(INDEX(#REF!,MATCH(Project[[#This Row],[Student No.]:[Student No.]], #REF!,0)),"")</f>
        <v>#REF!</v>
      </c>
      <c r="E167" s="142" t="e">
        <f>_xlfn.IFNA(INDEX(#REF!,MATCH(Project[[#This Row],[Student No.]], #REF!,0)),"")</f>
        <v>#REF!</v>
      </c>
      <c r="F167" s="142" t="e">
        <f>_xlfn.IFNA(INDEX(#REF!,MATCH(Project[[#This Row],[Student No.]], #REF!,0)),"")</f>
        <v>#REF!</v>
      </c>
      <c r="G167" s="142" t="e">
        <f>_xlfn.IFNA(INDEX(#REF!,MATCH(Project[[#This Row],[Student No.]:[Student No.]], #REF!,0)),"")</f>
        <v>#REF!</v>
      </c>
      <c r="H167" s="142" t="e">
        <f>_xlfn.IFNA(INDEX(#REF!,MATCH(Project[[#This Row],[Student No.]:[Student No.]], #REF!,0)),"")</f>
        <v>#REF!</v>
      </c>
      <c r="I167" s="142" t="e">
        <f>_xlfn.IFNA(INDEX(#REF!,MATCH(Project[[#This Row],[Student No.]:[Student No.]], #REF!,0)),"")</f>
        <v>#REF!</v>
      </c>
      <c r="J167" s="159" t="e">
        <f>SUM(Project[[#This Row],[Discretionary Mark]:[Mark from ratings]])</f>
        <v>#REF!</v>
      </c>
      <c r="K167" s="159" t="e">
        <f>_xlfn.IFNA(IF(INDEX(#REF!,MATCH(Project[[#This Row],[Student No.]:[Student No.]], #REF!,0))&gt;0,"Yes",""),"")</f>
        <v>#REF!</v>
      </c>
      <c r="L167" s="142" t="e">
        <f>_xlfn.IFNA(IF(INDEX(#REF!,MATCH(Project[[#This Row],[Student No.]:[Student No.]], #REF!,0))="Code contribution less than 35%","Yes",""),"")</f>
        <v>#REF!</v>
      </c>
      <c r="M167"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67" s="152"/>
      <c r="O167"/>
      <c r="P167"/>
      <c r="Q167"/>
    </row>
    <row r="168" spans="1:17">
      <c r="A168" s="139" t="s">
        <v>439</v>
      </c>
      <c r="B168" s="140" t="s">
        <v>611</v>
      </c>
      <c r="C168" s="141" t="str">
        <f>IF(ISNUMBER(Project[[#This Row],[Mark after capping]]),IF(Project[[#This Row],[Mark after capping]]&lt;0,0,IF(Project[[#This Row],[Mark after capping]]&gt;100,100,Project[[#This Row],[Mark after capping]]/$M$3*100)),"")</f>
        <v/>
      </c>
      <c r="D168" s="142" t="e">
        <f>_xlfn.IFNA(INDEX(#REF!,MATCH(Project[[#This Row],[Student No.]:[Student No.]], #REF!,0)),"")</f>
        <v>#REF!</v>
      </c>
      <c r="E168" s="142" t="e">
        <f>_xlfn.IFNA(INDEX(#REF!,MATCH(Project[[#This Row],[Student No.]], #REF!,0)),"")</f>
        <v>#REF!</v>
      </c>
      <c r="F168" s="142" t="e">
        <f>_xlfn.IFNA(INDEX(#REF!,MATCH(Project[[#This Row],[Student No.]], #REF!,0)),"")</f>
        <v>#REF!</v>
      </c>
      <c r="G168" s="142" t="e">
        <f>_xlfn.IFNA(INDEX(#REF!,MATCH(Project[[#This Row],[Student No.]:[Student No.]], #REF!,0)),"")</f>
        <v>#REF!</v>
      </c>
      <c r="H168" s="142" t="e">
        <f>_xlfn.IFNA(INDEX(#REF!,MATCH(Project[[#This Row],[Student No.]:[Student No.]], #REF!,0)),"")</f>
        <v>#REF!</v>
      </c>
      <c r="I168" s="142" t="e">
        <f>_xlfn.IFNA(INDEX(#REF!,MATCH(Project[[#This Row],[Student No.]:[Student No.]], #REF!,0)),"")</f>
        <v>#REF!</v>
      </c>
      <c r="J168" s="159" t="e">
        <f>SUM(Project[[#This Row],[Discretionary Mark]:[Mark from ratings]])</f>
        <v>#REF!</v>
      </c>
      <c r="K168" s="159" t="e">
        <f>_xlfn.IFNA(IF(INDEX(#REF!,MATCH(Project[[#This Row],[Student No.]:[Student No.]], #REF!,0))&gt;0,"Yes",""),"")</f>
        <v>#REF!</v>
      </c>
      <c r="L168" s="142" t="e">
        <f>_xlfn.IFNA(IF(INDEX(#REF!,MATCH(Project[[#This Row],[Student No.]:[Student No.]], #REF!,0))="Code contribution less than 35%","Yes",""),"")</f>
        <v>#REF!</v>
      </c>
      <c r="M168"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68" s="152"/>
      <c r="O168"/>
      <c r="P168"/>
      <c r="Q168"/>
    </row>
    <row r="169" spans="1:17">
      <c r="A169" s="139" t="s">
        <v>440</v>
      </c>
      <c r="B169" s="140" t="s">
        <v>612</v>
      </c>
      <c r="C169" s="141" t="str">
        <f>IF(ISNUMBER(Project[[#This Row],[Mark after capping]]),IF(Project[[#This Row],[Mark after capping]]&lt;0,0,IF(Project[[#This Row],[Mark after capping]]&gt;100,100,Project[[#This Row],[Mark after capping]]/$M$3*100)),"")</f>
        <v/>
      </c>
      <c r="D169" s="142" t="e">
        <f>_xlfn.IFNA(INDEX(#REF!,MATCH(Project[[#This Row],[Student No.]:[Student No.]], #REF!,0)),"")</f>
        <v>#REF!</v>
      </c>
      <c r="E169" s="142" t="e">
        <f>_xlfn.IFNA(INDEX(#REF!,MATCH(Project[[#This Row],[Student No.]], #REF!,0)),"")</f>
        <v>#REF!</v>
      </c>
      <c r="F169" s="142" t="e">
        <f>_xlfn.IFNA(INDEX(#REF!,MATCH(Project[[#This Row],[Student No.]], #REF!,0)),"")</f>
        <v>#REF!</v>
      </c>
      <c r="G169" s="142" t="e">
        <f>_xlfn.IFNA(INDEX(#REF!,MATCH(Project[[#This Row],[Student No.]:[Student No.]], #REF!,0)),"")</f>
        <v>#REF!</v>
      </c>
      <c r="H169" s="142" t="e">
        <f>_xlfn.IFNA(INDEX(#REF!,MATCH(Project[[#This Row],[Student No.]:[Student No.]], #REF!,0)),"")</f>
        <v>#REF!</v>
      </c>
      <c r="I169" s="142" t="e">
        <f>_xlfn.IFNA(INDEX(#REF!,MATCH(Project[[#This Row],[Student No.]:[Student No.]], #REF!,0)),"")</f>
        <v>#REF!</v>
      </c>
      <c r="J169" s="159" t="e">
        <f>SUM(Project[[#This Row],[Discretionary Mark]:[Mark from ratings]])</f>
        <v>#REF!</v>
      </c>
      <c r="K169" s="159" t="e">
        <f>_xlfn.IFNA(IF(INDEX(#REF!,MATCH(Project[[#This Row],[Student No.]:[Student No.]], #REF!,0))&gt;0,"Yes",""),"")</f>
        <v>#REF!</v>
      </c>
      <c r="L169" s="142" t="e">
        <f>_xlfn.IFNA(IF(INDEX(#REF!,MATCH(Project[[#This Row],[Student No.]:[Student No.]], #REF!,0))="Code contribution less than 35%","Yes",""),"")</f>
        <v>#REF!</v>
      </c>
      <c r="M169"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69" s="152"/>
      <c r="O169"/>
      <c r="P169"/>
      <c r="Q169"/>
    </row>
    <row r="170" spans="1:17">
      <c r="A170" s="139" t="s">
        <v>441</v>
      </c>
      <c r="B170" s="140" t="s">
        <v>613</v>
      </c>
      <c r="C170" s="141" t="str">
        <f>IF(ISNUMBER(Project[[#This Row],[Mark after capping]]),IF(Project[[#This Row],[Mark after capping]]&lt;0,0,IF(Project[[#This Row],[Mark after capping]]&gt;100,100,Project[[#This Row],[Mark after capping]]/$M$3*100)),"")</f>
        <v/>
      </c>
      <c r="D170" s="142" t="e">
        <f>_xlfn.IFNA(INDEX(#REF!,MATCH(Project[[#This Row],[Student No.]:[Student No.]], #REF!,0)),"")</f>
        <v>#REF!</v>
      </c>
      <c r="E170" s="142" t="e">
        <f>_xlfn.IFNA(INDEX(#REF!,MATCH(Project[[#This Row],[Student No.]], #REF!,0)),"")</f>
        <v>#REF!</v>
      </c>
      <c r="F170" s="142" t="e">
        <f>_xlfn.IFNA(INDEX(#REF!,MATCH(Project[[#This Row],[Student No.]], #REF!,0)),"")</f>
        <v>#REF!</v>
      </c>
      <c r="G170" s="142" t="e">
        <f>_xlfn.IFNA(INDEX(#REF!,MATCH(Project[[#This Row],[Student No.]:[Student No.]], #REF!,0)),"")</f>
        <v>#REF!</v>
      </c>
      <c r="H170" s="142" t="e">
        <f>_xlfn.IFNA(INDEX(#REF!,MATCH(Project[[#This Row],[Student No.]:[Student No.]], #REF!,0)),"")</f>
        <v>#REF!</v>
      </c>
      <c r="I170" s="142" t="e">
        <f>_xlfn.IFNA(INDEX(#REF!,MATCH(Project[[#This Row],[Student No.]:[Student No.]], #REF!,0)),"")</f>
        <v>#REF!</v>
      </c>
      <c r="J170" s="159" t="e">
        <f>SUM(Project[[#This Row],[Discretionary Mark]:[Mark from ratings]])</f>
        <v>#REF!</v>
      </c>
      <c r="K170" s="159" t="e">
        <f>_xlfn.IFNA(IF(INDEX(#REF!,MATCH(Project[[#This Row],[Student No.]:[Student No.]], #REF!,0))&gt;0,"Yes",""),"")</f>
        <v>#REF!</v>
      </c>
      <c r="L170" s="142" t="e">
        <f>_xlfn.IFNA(IF(INDEX(#REF!,MATCH(Project[[#This Row],[Student No.]:[Student No.]], #REF!,0))="Code contribution less than 35%","Yes",""),"")</f>
        <v>#REF!</v>
      </c>
      <c r="M170"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70" s="152"/>
      <c r="O170"/>
      <c r="P170"/>
      <c r="Q170"/>
    </row>
    <row r="171" spans="1:17">
      <c r="A171" s="139" t="s">
        <v>447</v>
      </c>
      <c r="B171" s="140" t="s">
        <v>614</v>
      </c>
      <c r="C171" s="141" t="str">
        <f>IF(ISNUMBER(Project[[#This Row],[Mark after capping]]),IF(Project[[#This Row],[Mark after capping]]&lt;0,0,IF(Project[[#This Row],[Mark after capping]]&gt;100,100,Project[[#This Row],[Mark after capping]]/$M$3*100)),"")</f>
        <v/>
      </c>
      <c r="D171" s="142" t="e">
        <f>_xlfn.IFNA(INDEX(#REF!,MATCH(Project[[#This Row],[Student No.]:[Student No.]], #REF!,0)),"")</f>
        <v>#REF!</v>
      </c>
      <c r="E171" s="142" t="e">
        <f>_xlfn.IFNA(INDEX(#REF!,MATCH(Project[[#This Row],[Student No.]], #REF!,0)),"")</f>
        <v>#REF!</v>
      </c>
      <c r="F171" s="142" t="e">
        <f>_xlfn.IFNA(INDEX(#REF!,MATCH(Project[[#This Row],[Student No.]], #REF!,0)),"")</f>
        <v>#REF!</v>
      </c>
      <c r="G171" s="142" t="e">
        <f>_xlfn.IFNA(INDEX(#REF!,MATCH(Project[[#This Row],[Student No.]:[Student No.]], #REF!,0)),"")</f>
        <v>#REF!</v>
      </c>
      <c r="H171" s="142" t="e">
        <f>_xlfn.IFNA(INDEX(#REF!,MATCH(Project[[#This Row],[Student No.]:[Student No.]], #REF!,0)),"")</f>
        <v>#REF!</v>
      </c>
      <c r="I171" s="142" t="e">
        <f>_xlfn.IFNA(INDEX(#REF!,MATCH(Project[[#This Row],[Student No.]:[Student No.]], #REF!,0)),"")</f>
        <v>#REF!</v>
      </c>
      <c r="J171" s="159" t="e">
        <f>SUM(Project[[#This Row],[Discretionary Mark]:[Mark from ratings]])</f>
        <v>#REF!</v>
      </c>
      <c r="K171" s="159" t="e">
        <f>_xlfn.IFNA(IF(INDEX(#REF!,MATCH(Project[[#This Row],[Student No.]:[Student No.]], #REF!,0))&gt;0,"Yes",""),"")</f>
        <v>#REF!</v>
      </c>
      <c r="L171" s="142" t="e">
        <f>_xlfn.IFNA(IF(INDEX(#REF!,MATCH(Project[[#This Row],[Student No.]:[Student No.]], #REF!,0))="Code contribution less than 35%","Yes",""),"")</f>
        <v>#REF!</v>
      </c>
      <c r="M171" s="159" t="e">
        <f>IF(OR(Project[[#This Row],[Mark capped due to Unacceptable rating]]="Yes",Project[[#This Row],[Mark capped due to contribution &lt; 35%]]="Yes"),IF(Project[[#This Row],[Add discretionary/bonuses/penalties]]&gt;40,40,Project[[#This Row],[Add discretionary/bonuses/penalties]]),Project[[#This Row],[Add discretionary/bonuses/penalties]])</f>
        <v>#REF!</v>
      </c>
      <c r="N171" s="152"/>
      <c r="O171"/>
      <c r="P171"/>
      <c r="Q171"/>
    </row>
  </sheetData>
  <conditionalFormatting sqref="C5:C171">
    <cfRule type="expression" dxfId="137" priority="81">
      <formula>IF(ISNUMBER(C5),OR(C5&lt;0,C5&gt;C$3))</formula>
    </cfRule>
  </conditionalFormatting>
  <dataValidations count="1">
    <dataValidation type="custom" allowBlank="1" showInputMessage="1" showErrorMessage="1" sqref="D8:H171 I15:I171 L8:L171 C5:C171">
      <formula1>OR(AND(ISNUMBER(C5),C5&gt;=0,C5&lt;=C$3),C5="")</formula1>
    </dataValidation>
  </dataValidations>
  <pageMargins left="0.7" right="0.7" top="0.75" bottom="0.75" header="0.3" footer="0.3"/>
  <pageSetup paperSize="9" orientation="portrait"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J179"/>
  <sheetViews>
    <sheetView zoomScale="90" zoomScaleNormal="90" workbookViewId="0">
      <pane xSplit="2" ySplit="6" topLeftCell="C7" activePane="bottomRight" state="frozen"/>
      <selection pane="topRight" activeCell="D1" sqref="D1"/>
      <selection pane="bottomLeft" activeCell="A7" sqref="A7"/>
      <selection pane="bottomRight" activeCell="J16" sqref="J16"/>
    </sheetView>
  </sheetViews>
  <sheetFormatPr defaultColWidth="9.109375" defaultRowHeight="14.4"/>
  <cols>
    <col min="1" max="1" width="11.33203125" customWidth="1"/>
    <col min="2" max="2" width="27" style="210" customWidth="1"/>
    <col min="3" max="3" width="12.6640625" customWidth="1"/>
    <col min="4" max="4" width="10.21875" bestFit="1" customWidth="1"/>
    <col min="5" max="5" width="9.21875" style="2" bestFit="1" customWidth="1"/>
    <col min="6" max="6" width="10.21875" style="2" bestFit="1" customWidth="1"/>
    <col min="7" max="7" width="9.21875" style="2" bestFit="1" customWidth="1"/>
    <col min="8" max="8" width="15.44140625" style="2" customWidth="1"/>
    <col min="9" max="9" width="10.21875" style="2" bestFit="1" customWidth="1"/>
    <col min="10" max="10" width="31.109375" customWidth="1"/>
    <col min="11" max="19" width="12.6640625" bestFit="1" customWidth="1"/>
    <col min="20" max="20" width="12.6640625" customWidth="1"/>
    <col min="21" max="23" width="12.6640625" bestFit="1" customWidth="1"/>
    <col min="24" max="24" width="10.6640625" bestFit="1" customWidth="1"/>
  </cols>
  <sheetData>
    <row r="1" spans="1:10" ht="31.2">
      <c r="A1" s="34" t="s">
        <v>5</v>
      </c>
      <c r="B1" s="20"/>
      <c r="D1" s="2"/>
      <c r="I1"/>
    </row>
    <row r="2" spans="1:10" ht="21">
      <c r="A2" s="9"/>
      <c r="D2" s="2"/>
    </row>
    <row r="3" spans="1:10">
      <c r="A3" s="3" t="s">
        <v>1024</v>
      </c>
      <c r="D3" s="6"/>
      <c r="E3" s="6"/>
      <c r="F3" s="6"/>
      <c r="G3" s="6"/>
      <c r="H3" s="6"/>
      <c r="I3" s="2">
        <f>SUM(D5:G5)</f>
        <v>105</v>
      </c>
      <c r="J3" t="s">
        <v>1228</v>
      </c>
    </row>
    <row r="4" spans="1:10">
      <c r="A4" s="3" t="s">
        <v>268</v>
      </c>
      <c r="D4" s="6"/>
      <c r="E4" s="6"/>
      <c r="F4" s="6"/>
      <c r="G4" s="6"/>
      <c r="H4" s="6"/>
      <c r="I4" s="2">
        <v>10</v>
      </c>
    </row>
    <row r="5" spans="1:10">
      <c r="A5" t="s">
        <v>25</v>
      </c>
      <c r="C5" s="6">
        <v>100</v>
      </c>
      <c r="D5" s="6">
        <v>35</v>
      </c>
      <c r="E5" s="6">
        <v>16</v>
      </c>
      <c r="F5" s="6">
        <v>24</v>
      </c>
      <c r="G5" s="6">
        <v>30</v>
      </c>
      <c r="H5" s="6">
        <f>SUM(E$5:G$5)</f>
        <v>70</v>
      </c>
      <c r="I5" s="2">
        <f>I3-I4</f>
        <v>95</v>
      </c>
    </row>
    <row r="6" spans="1:10">
      <c r="A6" s="5" t="s">
        <v>617</v>
      </c>
      <c r="B6" s="1" t="s">
        <v>1010</v>
      </c>
      <c r="C6" s="151" t="s">
        <v>29</v>
      </c>
      <c r="D6" s="26" t="s">
        <v>1039</v>
      </c>
      <c r="E6" s="26" t="s">
        <v>1</v>
      </c>
      <c r="F6" s="26" t="s">
        <v>2</v>
      </c>
      <c r="G6" s="26" t="s">
        <v>3</v>
      </c>
      <c r="H6" s="26" t="s">
        <v>1025</v>
      </c>
      <c r="I6" s="10" t="s">
        <v>28</v>
      </c>
      <c r="J6" s="32" t="s">
        <v>24</v>
      </c>
    </row>
    <row r="7" spans="1:10">
      <c r="A7" s="25" t="s">
        <v>271</v>
      </c>
      <c r="B7" s="210" t="s">
        <v>1207</v>
      </c>
      <c r="C7" s="11" t="str">
        <f>IF(ISNUMBER(Exam[[#This Row],[Total]]),ROUND(Exam[[#This Row],[Total]]/$I$5*100,0),"")</f>
        <v/>
      </c>
      <c r="D7" s="6" t="str">
        <f>IF(NOT(ISBLANK(Exam[[#This Row],[Student No.]])), _xlfn.IFNA(INDEX(exam_mcq[LenientTotalMark],MATCH(Exam[[#This Row],[Student No.]],exam_mcq[StudentNumberText],0)), ""),  "No student!")</f>
        <v/>
      </c>
      <c r="E7" s="6"/>
      <c r="F7" s="6"/>
      <c r="G7" s="6"/>
      <c r="H7" s="6" t="str">
        <f>IF(NOT(Exam[[#This Row],[Student No.]]=""),(IF(COUNTBLANK(Exam[[#This Row],[Q2]:[Q4]])=0,SUM(Exam[[#This Row],[Q2]:[Q4]]),"")),"")</f>
        <v/>
      </c>
      <c r="I7" s="6" t="str">
        <f>IF(NOT(Exam[[#This Row],[Student No.]]=""),(IF(COUNTBLANK(Exam[[#This Row],[MCQ]:[Q4]])=0,SUM(Exam[[#This Row],[MCQ]:[Q4]]),"")),"")</f>
        <v/>
      </c>
      <c r="J7" s="3" t="s">
        <v>1027</v>
      </c>
    </row>
    <row r="8" spans="1:10">
      <c r="A8" s="25" t="s">
        <v>272</v>
      </c>
      <c r="B8" s="210" t="s">
        <v>1157</v>
      </c>
      <c r="C8" s="11">
        <f>IF(ISNUMBER(Exam[[#This Row],[Total]]),ROUND(Exam[[#This Row],[Total]]/$I$5*100,0),"")</f>
        <v>46</v>
      </c>
      <c r="D8" s="6">
        <f>IF(NOT(ISBLANK(Exam[[#This Row],[Student No.]])), _xlfn.IFNA(INDEX(exam_mcq[LenientTotalMark],MATCH(Exam[[#This Row],[Student No.]],exam_mcq[StudentNumberText],0)), ""),  "No student!")</f>
        <v>18</v>
      </c>
      <c r="E8" s="6">
        <v>14</v>
      </c>
      <c r="F8" s="6">
        <v>9</v>
      </c>
      <c r="G8" s="6">
        <v>3</v>
      </c>
      <c r="H8" s="6">
        <f>IF(NOT(Exam[[#This Row],[Student No.]]=""),(IF(COUNTBLANK(Exam[[#This Row],[Q2]:[Q4]])=0,SUM(Exam[[#This Row],[Q2]:[Q4]]),"")),"")</f>
        <v>26</v>
      </c>
      <c r="I8" s="6">
        <f>IF(NOT(Exam[[#This Row],[Student No.]]=""),(IF(COUNTBLANK(Exam[[#This Row],[MCQ]:[Q4]])=0,SUM(Exam[[#This Row],[MCQ]:[Q4]]),"")),"")</f>
        <v>44</v>
      </c>
      <c r="J8" s="3"/>
    </row>
    <row r="9" spans="1:10">
      <c r="A9" s="25" t="s">
        <v>273</v>
      </c>
      <c r="B9" s="210" t="s">
        <v>1134</v>
      </c>
      <c r="C9" s="11">
        <f>IF(ISNUMBER(Exam[[#This Row],[Total]]),ROUND(Exam[[#This Row],[Total]]/$I$5*100,0),"")</f>
        <v>32</v>
      </c>
      <c r="D9" s="6">
        <f>IF(NOT(ISBLANK(Exam[[#This Row],[Student No.]])), _xlfn.IFNA(INDEX(exam_mcq[LenientTotalMark],MATCH(Exam[[#This Row],[Student No.]],exam_mcq[StudentNumberText],0)), ""),  "No student!")</f>
        <v>14</v>
      </c>
      <c r="E9" s="6">
        <v>5</v>
      </c>
      <c r="F9" s="6">
        <v>10</v>
      </c>
      <c r="G9" s="6">
        <v>1</v>
      </c>
      <c r="H9" s="6">
        <f>IF(NOT(Exam[[#This Row],[Student No.]]=""),(IF(COUNTBLANK(Exam[[#This Row],[Q2]:[Q4]])=0,SUM(Exam[[#This Row],[Q2]:[Q4]]),"")),"")</f>
        <v>16</v>
      </c>
      <c r="I9" s="6">
        <f>IF(NOT(Exam[[#This Row],[Student No.]]=""),(IF(COUNTBLANK(Exam[[#This Row],[MCQ]:[Q4]])=0,SUM(Exam[[#This Row],[MCQ]:[Q4]]),"")),"")</f>
        <v>30</v>
      </c>
      <c r="J9" s="3"/>
    </row>
    <row r="10" spans="1:10">
      <c r="A10" s="25" t="s">
        <v>274</v>
      </c>
      <c r="B10" s="210" t="s">
        <v>1253</v>
      </c>
      <c r="C10" s="11">
        <f>IF(ISNUMBER(Exam[[#This Row],[Total]]),ROUND(Exam[[#This Row],[Total]]/$I$5*100,0),"")</f>
        <v>55</v>
      </c>
      <c r="D10" s="6">
        <f>IF(NOT(ISBLANK(Exam[[#This Row],[Student No.]])), _xlfn.IFNA(INDEX(exam_mcq[LenientTotalMark],MATCH(Exam[[#This Row],[Student No.]],exam_mcq[StudentNumberText],0)), ""),  "No student!")</f>
        <v>21</v>
      </c>
      <c r="E10" s="6">
        <v>0</v>
      </c>
      <c r="F10" s="6">
        <v>22</v>
      </c>
      <c r="G10" s="6">
        <v>9</v>
      </c>
      <c r="H10" s="6">
        <f>IF(NOT(Exam[[#This Row],[Student No.]]=""),(IF(COUNTBLANK(Exam[[#This Row],[Q2]:[Q4]])=0,SUM(Exam[[#This Row],[Q2]:[Q4]]),"")),"")</f>
        <v>31</v>
      </c>
      <c r="I10" s="6">
        <f>IF(NOT(Exam[[#This Row],[Student No.]]=""),(IF(COUNTBLANK(Exam[[#This Row],[MCQ]:[Q4]])=0,SUM(Exam[[#This Row],[MCQ]:[Q4]]),"")),"")</f>
        <v>52</v>
      </c>
      <c r="J10" s="3"/>
    </row>
    <row r="11" spans="1:10">
      <c r="A11" s="25" t="s">
        <v>275</v>
      </c>
      <c r="B11" s="210" t="s">
        <v>1138</v>
      </c>
      <c r="C11" s="11">
        <f>IF(ISNUMBER(Exam[[#This Row],[Total]]),ROUND(Exam[[#This Row],[Total]]/$I$5*100,0),"")</f>
        <v>39</v>
      </c>
      <c r="D11" s="6">
        <f>IF(NOT(ISBLANK(Exam[[#This Row],[Student No.]])), _xlfn.IFNA(INDEX(exam_mcq[LenientTotalMark],MATCH(Exam[[#This Row],[Student No.]],exam_mcq[StudentNumberText],0)), ""),  "No student!")</f>
        <v>23</v>
      </c>
      <c r="E11" s="6">
        <v>2</v>
      </c>
      <c r="F11" s="6">
        <v>7</v>
      </c>
      <c r="G11" s="6">
        <v>5</v>
      </c>
      <c r="H11" s="6">
        <f>IF(NOT(Exam[[#This Row],[Student No.]]=""),(IF(COUNTBLANK(Exam[[#This Row],[Q2]:[Q4]])=0,SUM(Exam[[#This Row],[Q2]:[Q4]]),"")),"")</f>
        <v>14</v>
      </c>
      <c r="I11" s="6">
        <f>IF(NOT(Exam[[#This Row],[Student No.]]=""),(IF(COUNTBLANK(Exam[[#This Row],[MCQ]:[Q4]])=0,SUM(Exam[[#This Row],[MCQ]:[Q4]]),"")),"")</f>
        <v>37</v>
      </c>
      <c r="J11" s="3"/>
    </row>
    <row r="12" spans="1:10">
      <c r="A12" s="14" t="s">
        <v>276</v>
      </c>
      <c r="B12" s="27" t="s">
        <v>1254</v>
      </c>
      <c r="C12" s="28">
        <f>IF(ISNUMBER(Exam[[#This Row],[Total]]),ROUND(Exam[[#This Row],[Total]]/$I$5*100,0),"")</f>
        <v>16</v>
      </c>
      <c r="D12" s="2">
        <f>IF(NOT(ISBLANK(Exam[[#This Row],[Student No.]])), _xlfn.IFNA(INDEX(exam_mcq[LenientTotalMark],MATCH(Exam[[#This Row],[Student No.]],exam_mcq[StudentNumberText],0)), ""),  "No student!")</f>
        <v>15</v>
      </c>
      <c r="E12" s="2">
        <v>0</v>
      </c>
      <c r="F12" s="2">
        <v>0</v>
      </c>
      <c r="G12" s="2">
        <v>0</v>
      </c>
      <c r="H12" s="2">
        <f>IF(NOT(Exam[[#This Row],[Student No.]]=""),(IF(COUNTBLANK(Exam[[#This Row],[Q2]:[Q4]])=0,SUM(Exam[[#This Row],[Q2]:[Q4]]),"")),"")</f>
        <v>0</v>
      </c>
      <c r="I12" s="6">
        <f>IF(NOT(Exam[[#This Row],[Student No.]]=""),(IF(COUNTBLANK(Exam[[#This Row],[MCQ]:[Q4]])=0,SUM(Exam[[#This Row],[MCQ]:[Q4]]),"")),"")</f>
        <v>15</v>
      </c>
      <c r="J12" s="3"/>
    </row>
    <row r="13" spans="1:10">
      <c r="A13" s="14" t="s">
        <v>277</v>
      </c>
      <c r="B13" s="27" t="s">
        <v>1255</v>
      </c>
      <c r="C13" s="28" t="str">
        <f>IF(ISNUMBER(Exam[[#This Row],[Total]]),ROUND(Exam[[#This Row],[Total]]/$I$5*100,0),"")</f>
        <v/>
      </c>
      <c r="D13" s="2" t="str">
        <f>IF(NOT(ISBLANK(Exam[[#This Row],[Student No.]])), _xlfn.IFNA(INDEX(exam_mcq[LenientTotalMark],MATCH(Exam[[#This Row],[Student No.]],exam_mcq[StudentNumberText],0)), ""),  "No student!")</f>
        <v/>
      </c>
      <c r="H13" s="2" t="str">
        <f>IF(NOT(Exam[[#This Row],[Student No.]]=""),(IF(COUNTBLANK(Exam[[#This Row],[Q2]:[Q4]])=0,SUM(Exam[[#This Row],[Q2]:[Q4]]),"")),"")</f>
        <v/>
      </c>
      <c r="I13" s="6" t="str">
        <f>IF(NOT(Exam[[#This Row],[Student No.]]=""),(IF(COUNTBLANK(Exam[[#This Row],[MCQ]:[Q4]])=0,SUM(Exam[[#This Row],[MCQ]:[Q4]]),"")),"")</f>
        <v/>
      </c>
      <c r="J13" s="3" t="s">
        <v>1027</v>
      </c>
    </row>
    <row r="14" spans="1:10">
      <c r="A14" s="14" t="s">
        <v>278</v>
      </c>
      <c r="B14" s="27" t="s">
        <v>1256</v>
      </c>
      <c r="C14" s="28">
        <f>IF(ISNUMBER(Exam[[#This Row],[Total]]),ROUND(Exam[[#This Row],[Total]]/$I$5*100,0),"")</f>
        <v>17</v>
      </c>
      <c r="D14" s="2">
        <f>IF(NOT(ISBLANK(Exam[[#This Row],[Student No.]])), _xlfn.IFNA(INDEX(exam_mcq[LenientTotalMark],MATCH(Exam[[#This Row],[Student No.]],exam_mcq[StudentNumberText],0)), ""),  "No student!")</f>
        <v>14</v>
      </c>
      <c r="E14" s="2">
        <v>0</v>
      </c>
      <c r="F14" s="2">
        <v>0</v>
      </c>
      <c r="G14" s="2">
        <v>2</v>
      </c>
      <c r="H14" s="2">
        <f>IF(NOT(Exam[[#This Row],[Student No.]]=""),(IF(COUNTBLANK(Exam[[#This Row],[Q2]:[Q4]])=0,SUM(Exam[[#This Row],[Q2]:[Q4]]),"")),"")</f>
        <v>2</v>
      </c>
      <c r="I14" s="6">
        <f>IF(NOT(Exam[[#This Row],[Student No.]]=""),(IF(COUNTBLANK(Exam[[#This Row],[MCQ]:[Q4]])=0,SUM(Exam[[#This Row],[MCQ]:[Q4]]),"")),"")</f>
        <v>16</v>
      </c>
      <c r="J14" s="3"/>
    </row>
    <row r="15" spans="1:10">
      <c r="A15" s="14" t="s">
        <v>279</v>
      </c>
      <c r="B15" s="27" t="s">
        <v>1257</v>
      </c>
      <c r="C15" s="28">
        <f>IF(ISNUMBER(Exam[[#This Row],[Total]]),ROUND(Exam[[#This Row],[Total]]/$I$5*100,0),"")</f>
        <v>22</v>
      </c>
      <c r="D15" s="2">
        <f>IF(NOT(ISBLANK(Exam[[#This Row],[Student No.]])), _xlfn.IFNA(INDEX(exam_mcq[LenientTotalMark],MATCH(Exam[[#This Row],[Student No.]],exam_mcq[StudentNumberText],0)), ""),  "No student!")</f>
        <v>13</v>
      </c>
      <c r="E15" s="2">
        <v>0</v>
      </c>
      <c r="F15" s="2">
        <v>6</v>
      </c>
      <c r="G15" s="2">
        <v>2</v>
      </c>
      <c r="H15" s="2">
        <f>IF(NOT(Exam[[#This Row],[Student No.]]=""),(IF(COUNTBLANK(Exam[[#This Row],[Q2]:[Q4]])=0,SUM(Exam[[#This Row],[Q2]:[Q4]]),"")),"")</f>
        <v>8</v>
      </c>
      <c r="I15" s="6">
        <f>IF(NOT(Exam[[#This Row],[Student No.]]=""),(IF(COUNTBLANK(Exam[[#This Row],[MCQ]:[Q4]])=0,SUM(Exam[[#This Row],[MCQ]:[Q4]]),"")),"")</f>
        <v>21</v>
      </c>
      <c r="J15" s="3"/>
    </row>
    <row r="16" spans="1:10">
      <c r="A16" s="14" t="s">
        <v>280</v>
      </c>
      <c r="B16" s="27" t="s">
        <v>1258</v>
      </c>
      <c r="C16" s="28">
        <f>IF(ISNUMBER(Exam[[#This Row],[Total]]),ROUND(Exam[[#This Row],[Total]]/$I$5*100,0),"")</f>
        <v>20</v>
      </c>
      <c r="D16" s="2">
        <f>IF(NOT(ISBLANK(Exam[[#This Row],[Student No.]])), _xlfn.IFNA(INDEX(exam_mcq[LenientTotalMark],MATCH(Exam[[#This Row],[Student No.]],exam_mcq[StudentNumberText],0)), ""),  "No student!")</f>
        <v>15</v>
      </c>
      <c r="E16" s="2">
        <v>0</v>
      </c>
      <c r="F16" s="2">
        <v>2</v>
      </c>
      <c r="G16" s="2">
        <v>2</v>
      </c>
      <c r="H16" s="2">
        <f>IF(NOT(Exam[[#This Row],[Student No.]]=""),(IF(COUNTBLANK(Exam[[#This Row],[Q2]:[Q4]])=0,SUM(Exam[[#This Row],[Q2]:[Q4]]),"")),"")</f>
        <v>4</v>
      </c>
      <c r="I16" s="6">
        <f>IF(NOT(Exam[[#This Row],[Student No.]]=""),(IF(COUNTBLANK(Exam[[#This Row],[MCQ]:[Q4]])=0,SUM(Exam[[#This Row],[MCQ]:[Q4]]),"")),"")</f>
        <v>19</v>
      </c>
      <c r="J16" s="3"/>
    </row>
    <row r="17" spans="1:10">
      <c r="A17" s="14" t="s">
        <v>281</v>
      </c>
      <c r="B17" s="27" t="s">
        <v>1164</v>
      </c>
      <c r="C17" s="28">
        <f>IF(ISNUMBER(Exam[[#This Row],[Total]]),ROUND(Exam[[#This Row],[Total]]/$I$5*100,0),"")</f>
        <v>54</v>
      </c>
      <c r="D17" s="2">
        <f>IF(NOT(ISBLANK(Exam[[#This Row],[Student No.]])), _xlfn.IFNA(INDEX(exam_mcq[LenientTotalMark],MATCH(Exam[[#This Row],[Student No.]],exam_mcq[StudentNumberText],0)), ""),  "No student!")</f>
        <v>15</v>
      </c>
      <c r="E17" s="2">
        <v>10</v>
      </c>
      <c r="F17" s="2">
        <v>17</v>
      </c>
      <c r="G17" s="2">
        <v>9</v>
      </c>
      <c r="H17" s="2">
        <f>IF(NOT(Exam[[#This Row],[Student No.]]=""),(IF(COUNTBLANK(Exam[[#This Row],[Q2]:[Q4]])=0,SUM(Exam[[#This Row],[Q2]:[Q4]]),"")),"")</f>
        <v>36</v>
      </c>
      <c r="I17" s="6">
        <f>IF(NOT(Exam[[#This Row],[Student No.]]=""),(IF(COUNTBLANK(Exam[[#This Row],[MCQ]:[Q4]])=0,SUM(Exam[[#This Row],[MCQ]:[Q4]]),"")),"")</f>
        <v>51</v>
      </c>
      <c r="J17" s="3"/>
    </row>
    <row r="18" spans="1:10">
      <c r="A18" s="14" t="s">
        <v>282</v>
      </c>
      <c r="B18" s="27" t="s">
        <v>1133</v>
      </c>
      <c r="C18" s="28">
        <f>IF(ISNUMBER(Exam[[#This Row],[Total]]),ROUND(Exam[[#This Row],[Total]]/$I$5*100,0),"")</f>
        <v>38</v>
      </c>
      <c r="D18" s="2">
        <f>IF(NOT(ISBLANK(Exam[[#This Row],[Student No.]])), _xlfn.IFNA(INDEX(exam_mcq[LenientTotalMark],MATCH(Exam[[#This Row],[Student No.]],exam_mcq[StudentNumberText],0)), ""),  "No student!")</f>
        <v>12</v>
      </c>
      <c r="E18" s="2">
        <v>10</v>
      </c>
      <c r="F18" s="2">
        <v>10</v>
      </c>
      <c r="G18" s="2">
        <v>4</v>
      </c>
      <c r="H18" s="2">
        <f>IF(NOT(Exam[[#This Row],[Student No.]]=""),(IF(COUNTBLANK(Exam[[#This Row],[Q2]:[Q4]])=0,SUM(Exam[[#This Row],[Q2]:[Q4]]),"")),"")</f>
        <v>24</v>
      </c>
      <c r="I18" s="6">
        <f>IF(NOT(Exam[[#This Row],[Student No.]]=""),(IF(COUNTBLANK(Exam[[#This Row],[MCQ]:[Q4]])=0,SUM(Exam[[#This Row],[MCQ]:[Q4]]),"")),"")</f>
        <v>36</v>
      </c>
      <c r="J18" s="3"/>
    </row>
    <row r="19" spans="1:10">
      <c r="A19" s="14" t="s">
        <v>283</v>
      </c>
      <c r="B19" s="27" t="s">
        <v>1259</v>
      </c>
      <c r="C19" s="28">
        <f>IF(ISNUMBER(Exam[[#This Row],[Total]]),ROUND(Exam[[#This Row],[Total]]/$I$5*100,0),"")</f>
        <v>43</v>
      </c>
      <c r="D19" s="2">
        <f>IF(NOT(ISBLANK(Exam[[#This Row],[Student No.]])), _xlfn.IFNA(INDEX(exam_mcq[LenientTotalMark],MATCH(Exam[[#This Row],[Student No.]],exam_mcq[StudentNumberText],0)), ""),  "No student!")</f>
        <v>14</v>
      </c>
      <c r="E19" s="2">
        <v>3</v>
      </c>
      <c r="F19" s="2">
        <v>13</v>
      </c>
      <c r="G19" s="2">
        <v>11</v>
      </c>
      <c r="H19" s="2">
        <f>IF(NOT(Exam[[#This Row],[Student No.]]=""),(IF(COUNTBLANK(Exam[[#This Row],[Q2]:[Q4]])=0,SUM(Exam[[#This Row],[Q2]:[Q4]]),"")),"")</f>
        <v>27</v>
      </c>
      <c r="I19" s="6">
        <f>IF(NOT(Exam[[#This Row],[Student No.]]=""),(IF(COUNTBLANK(Exam[[#This Row],[MCQ]:[Q4]])=0,SUM(Exam[[#This Row],[MCQ]:[Q4]]),"")),"")</f>
        <v>41</v>
      </c>
      <c r="J19" s="3"/>
    </row>
    <row r="20" spans="1:10">
      <c r="A20" s="14" t="s">
        <v>284</v>
      </c>
      <c r="B20" s="27" t="s">
        <v>1260</v>
      </c>
      <c r="C20" s="28">
        <f>IF(ISNUMBER(Exam[[#This Row],[Total]]),ROUND(Exam[[#This Row],[Total]]/$I$5*100,0),"")</f>
        <v>27</v>
      </c>
      <c r="D20" s="2">
        <f>IF(NOT(ISBLANK(Exam[[#This Row],[Student No.]])), _xlfn.IFNA(INDEX(exam_mcq[LenientTotalMark],MATCH(Exam[[#This Row],[Student No.]],exam_mcq[StudentNumberText],0)), ""),  "No student!")</f>
        <v>13</v>
      </c>
      <c r="E20" s="2">
        <v>0</v>
      </c>
      <c r="F20" s="2">
        <v>10</v>
      </c>
      <c r="G20" s="2">
        <v>3</v>
      </c>
      <c r="H20" s="2">
        <f>IF(NOT(Exam[[#This Row],[Student No.]]=""),(IF(COUNTBLANK(Exam[[#This Row],[Q2]:[Q4]])=0,SUM(Exam[[#This Row],[Q2]:[Q4]]),"")),"")</f>
        <v>13</v>
      </c>
      <c r="I20" s="6">
        <f>IF(NOT(Exam[[#This Row],[Student No.]]=""),(IF(COUNTBLANK(Exam[[#This Row],[MCQ]:[Q4]])=0,SUM(Exam[[#This Row],[MCQ]:[Q4]]),"")),"")</f>
        <v>26</v>
      </c>
      <c r="J20" s="3"/>
    </row>
    <row r="21" spans="1:10">
      <c r="A21" s="14" t="s">
        <v>285</v>
      </c>
      <c r="B21" s="27" t="s">
        <v>1205</v>
      </c>
      <c r="C21" s="28" t="str">
        <f>IF(ISNUMBER(Exam[[#This Row],[Total]]),ROUND(Exam[[#This Row],[Total]]/$I$5*100,0),"")</f>
        <v/>
      </c>
      <c r="D21" s="2" t="str">
        <f>IF(NOT(ISBLANK(Exam[[#This Row],[Student No.]])), _xlfn.IFNA(INDEX(exam_mcq[LenientTotalMark],MATCH(Exam[[#This Row],[Student No.]],exam_mcq[StudentNumberText],0)), ""),  "No student!")</f>
        <v/>
      </c>
      <c r="H21" s="2" t="str">
        <f>IF(NOT(Exam[[#This Row],[Student No.]]=""),(IF(COUNTBLANK(Exam[[#This Row],[Q2]:[Q4]])=0,SUM(Exam[[#This Row],[Q2]:[Q4]]),"")),"")</f>
        <v/>
      </c>
      <c r="I21" s="6" t="str">
        <f>IF(NOT(Exam[[#This Row],[Student No.]]=""),(IF(COUNTBLANK(Exam[[#This Row],[MCQ]:[Q4]])=0,SUM(Exam[[#This Row],[MCQ]:[Q4]]),"")),"")</f>
        <v/>
      </c>
      <c r="J21" s="3" t="s">
        <v>1027</v>
      </c>
    </row>
    <row r="22" spans="1:10">
      <c r="A22" s="14" t="s">
        <v>286</v>
      </c>
      <c r="B22" s="27" t="s">
        <v>1261</v>
      </c>
      <c r="C22" s="28">
        <f>IF(ISNUMBER(Exam[[#This Row],[Total]]),ROUND(Exam[[#This Row],[Total]]/$I$5*100,0),"")</f>
        <v>20</v>
      </c>
      <c r="D22" s="2">
        <f>IF(NOT(ISBLANK(Exam[[#This Row],[Student No.]])), _xlfn.IFNA(INDEX(exam_mcq[LenientTotalMark],MATCH(Exam[[#This Row],[Student No.]],exam_mcq[StudentNumberText],0)), ""),  "No student!")</f>
        <v>10</v>
      </c>
      <c r="E22" s="2">
        <v>2</v>
      </c>
      <c r="F22" s="2">
        <v>4</v>
      </c>
      <c r="G22" s="2">
        <v>3</v>
      </c>
      <c r="H22" s="2">
        <f>IF(NOT(Exam[[#This Row],[Student No.]]=""),(IF(COUNTBLANK(Exam[[#This Row],[Q2]:[Q4]])=0,SUM(Exam[[#This Row],[Q2]:[Q4]]),"")),"")</f>
        <v>9</v>
      </c>
      <c r="I22" s="6">
        <f>IF(NOT(Exam[[#This Row],[Student No.]]=""),(IF(COUNTBLANK(Exam[[#This Row],[MCQ]:[Q4]])=0,SUM(Exam[[#This Row],[MCQ]:[Q4]]),"")),"")</f>
        <v>19</v>
      </c>
      <c r="J22" s="3"/>
    </row>
    <row r="23" spans="1:10">
      <c r="A23" s="14" t="s">
        <v>287</v>
      </c>
      <c r="B23" s="27" t="s">
        <v>1262</v>
      </c>
      <c r="C23" s="28">
        <f>IF(ISNUMBER(Exam[[#This Row],[Total]]),ROUND(Exam[[#This Row],[Total]]/$I$5*100,0),"")</f>
        <v>40</v>
      </c>
      <c r="D23" s="2">
        <f>IF(NOT(ISBLANK(Exam[[#This Row],[Student No.]])), _xlfn.IFNA(INDEX(exam_mcq[LenientTotalMark],MATCH(Exam[[#This Row],[Student No.]],exam_mcq[StudentNumberText],0)), ""),  "No student!")</f>
        <v>15</v>
      </c>
      <c r="E23" s="2">
        <v>9</v>
      </c>
      <c r="F23" s="2">
        <v>8</v>
      </c>
      <c r="G23" s="2">
        <v>6</v>
      </c>
      <c r="H23" s="2">
        <f>IF(NOT(Exam[[#This Row],[Student No.]]=""),(IF(COUNTBLANK(Exam[[#This Row],[Q2]:[Q4]])=0,SUM(Exam[[#This Row],[Q2]:[Q4]]),"")),"")</f>
        <v>23</v>
      </c>
      <c r="I23" s="6">
        <f>IF(NOT(Exam[[#This Row],[Student No.]]=""),(IF(COUNTBLANK(Exam[[#This Row],[MCQ]:[Q4]])=0,SUM(Exam[[#This Row],[MCQ]:[Q4]]),"")),"")</f>
        <v>38</v>
      </c>
      <c r="J23" s="3"/>
    </row>
    <row r="24" spans="1:10">
      <c r="A24" s="14" t="s">
        <v>288</v>
      </c>
      <c r="B24" s="27" t="s">
        <v>1263</v>
      </c>
      <c r="C24" s="28">
        <f>IF(ISNUMBER(Exam[[#This Row],[Total]]),ROUND(Exam[[#This Row],[Total]]/$I$5*100,0),"")</f>
        <v>48</v>
      </c>
      <c r="D24" s="2">
        <f>IF(NOT(ISBLANK(Exam[[#This Row],[Student No.]])), _xlfn.IFNA(INDEX(exam_mcq[LenientTotalMark],MATCH(Exam[[#This Row],[Student No.]],exam_mcq[StudentNumberText],0)), ""),  "No student!")</f>
        <v>17</v>
      </c>
      <c r="E24" s="2">
        <v>2</v>
      </c>
      <c r="F24" s="2">
        <v>14</v>
      </c>
      <c r="G24" s="2">
        <v>13</v>
      </c>
      <c r="H24" s="2">
        <f>IF(NOT(Exam[[#This Row],[Student No.]]=""),(IF(COUNTBLANK(Exam[[#This Row],[Q2]:[Q4]])=0,SUM(Exam[[#This Row],[Q2]:[Q4]]),"")),"")</f>
        <v>29</v>
      </c>
      <c r="I24" s="6">
        <f>IF(NOT(Exam[[#This Row],[Student No.]]=""),(IF(COUNTBLANK(Exam[[#This Row],[MCQ]:[Q4]])=0,SUM(Exam[[#This Row],[MCQ]:[Q4]]),"")),"")</f>
        <v>46</v>
      </c>
      <c r="J24" s="3"/>
    </row>
    <row r="25" spans="1:10">
      <c r="A25" s="14" t="s">
        <v>289</v>
      </c>
      <c r="B25" s="27" t="s">
        <v>1204</v>
      </c>
      <c r="C25" s="28" t="str">
        <f>IF(ISNUMBER(Exam[[#This Row],[Total]]),ROUND(Exam[[#This Row],[Total]]/$I$5*100,0),"")</f>
        <v/>
      </c>
      <c r="D25" s="2" t="str">
        <f>IF(NOT(ISBLANK(Exam[[#This Row],[Student No.]])), _xlfn.IFNA(INDEX(exam_mcq[LenientTotalMark],MATCH(Exam[[#This Row],[Student No.]],exam_mcq[StudentNumberText],0)), ""),  "No student!")</f>
        <v/>
      </c>
      <c r="H25" s="2" t="str">
        <f>IF(NOT(Exam[[#This Row],[Student No.]]=""),(IF(COUNTBLANK(Exam[[#This Row],[Q2]:[Q4]])=0,SUM(Exam[[#This Row],[Q2]:[Q4]]),"")),"")</f>
        <v/>
      </c>
      <c r="I25" s="6" t="str">
        <f>IF(NOT(Exam[[#This Row],[Student No.]]=""),(IF(COUNTBLANK(Exam[[#This Row],[MCQ]:[Q4]])=0,SUM(Exam[[#This Row],[MCQ]:[Q4]]),"")),"")</f>
        <v/>
      </c>
      <c r="J25" s="3" t="s">
        <v>1026</v>
      </c>
    </row>
    <row r="26" spans="1:10">
      <c r="A26" s="14" t="s">
        <v>290</v>
      </c>
      <c r="B26" s="27" t="s">
        <v>1100</v>
      </c>
      <c r="C26" s="28">
        <f>IF(ISNUMBER(Exam[[#This Row],[Total]]),ROUND(Exam[[#This Row],[Total]]/$I$5*100,0),"")</f>
        <v>34</v>
      </c>
      <c r="D26" s="2">
        <f>IF(NOT(ISBLANK(Exam[[#This Row],[Student No.]])), _xlfn.IFNA(INDEX(exam_mcq[LenientTotalMark],MATCH(Exam[[#This Row],[Student No.]],exam_mcq[StudentNumberText],0)), ""),  "No student!")</f>
        <v>22</v>
      </c>
      <c r="E26" s="2">
        <v>2</v>
      </c>
      <c r="F26" s="2">
        <v>4</v>
      </c>
      <c r="G26" s="2">
        <v>4</v>
      </c>
      <c r="H26" s="2">
        <f>IF(NOT(Exam[[#This Row],[Student No.]]=""),(IF(COUNTBLANK(Exam[[#This Row],[Q2]:[Q4]])=0,SUM(Exam[[#This Row],[Q2]:[Q4]]),"")),"")</f>
        <v>10</v>
      </c>
      <c r="I26" s="6">
        <f>IF(NOT(Exam[[#This Row],[Student No.]]=""),(IF(COUNTBLANK(Exam[[#This Row],[MCQ]:[Q4]])=0,SUM(Exam[[#This Row],[MCQ]:[Q4]]),"")),"")</f>
        <v>32</v>
      </c>
      <c r="J26" s="3"/>
    </row>
    <row r="27" spans="1:10">
      <c r="A27" s="14" t="s">
        <v>291</v>
      </c>
      <c r="B27" s="27" t="s">
        <v>1264</v>
      </c>
      <c r="C27" s="28">
        <f>IF(ISNUMBER(Exam[[#This Row],[Total]]),ROUND(Exam[[#This Row],[Total]]/$I$5*100,0),"")</f>
        <v>54</v>
      </c>
      <c r="D27" s="2">
        <f>IF(NOT(ISBLANK(Exam[[#This Row],[Student No.]])), _xlfn.IFNA(INDEX(exam_mcq[LenientTotalMark],MATCH(Exam[[#This Row],[Student No.]],exam_mcq[StudentNumberText],0)), ""),  "No student!")</f>
        <v>21</v>
      </c>
      <c r="E27" s="2">
        <v>11</v>
      </c>
      <c r="F27" s="2">
        <v>19</v>
      </c>
      <c r="G27" s="2">
        <v>0</v>
      </c>
      <c r="H27" s="6">
        <f>IF(NOT(Exam[[#This Row],[Student No.]]=""),(IF(COUNTBLANK(Exam[[#This Row],[Q2]:[Q4]])=0,SUM(Exam[[#This Row],[Q2]:[Q4]]),"")),"")</f>
        <v>30</v>
      </c>
      <c r="I27" s="6">
        <f>IF(NOT(Exam[[#This Row],[Student No.]]=""),(IF(COUNTBLANK(Exam[[#This Row],[MCQ]:[Q4]])=0,SUM(Exam[[#This Row],[MCQ]:[Q4]]),"")),"")</f>
        <v>51</v>
      </c>
      <c r="J27" s="3"/>
    </row>
    <row r="28" spans="1:10">
      <c r="A28" s="14" t="s">
        <v>292</v>
      </c>
      <c r="B28" s="27" t="s">
        <v>1265</v>
      </c>
      <c r="C28" s="28">
        <f>IF(ISNUMBER(Exam[[#This Row],[Total]]),ROUND(Exam[[#This Row],[Total]]/$I$5*100,0),"")</f>
        <v>4</v>
      </c>
      <c r="D28" s="2">
        <f>IF(NOT(ISBLANK(Exam[[#This Row],[Student No.]])), _xlfn.IFNA(INDEX(exam_mcq[LenientTotalMark],MATCH(Exam[[#This Row],[Student No.]],exam_mcq[StudentNumberText],0)), ""),  "No student!")</f>
        <v>4</v>
      </c>
      <c r="E28" s="2">
        <v>0</v>
      </c>
      <c r="F28" s="2">
        <v>0</v>
      </c>
      <c r="G28" s="2">
        <v>0</v>
      </c>
      <c r="H28" s="2">
        <f>IF(NOT(Exam[[#This Row],[Student No.]]=""),(IF(COUNTBLANK(Exam[[#This Row],[Q2]:[Q4]])=0,SUM(Exam[[#This Row],[Q2]:[Q4]]),"")),"")</f>
        <v>0</v>
      </c>
      <c r="I28" s="6">
        <f>IF(NOT(Exam[[#This Row],[Student No.]]=""),(IF(COUNTBLANK(Exam[[#This Row],[MCQ]:[Q4]])=0,SUM(Exam[[#This Row],[MCQ]:[Q4]]),"")),"")</f>
        <v>4</v>
      </c>
      <c r="J28" s="3"/>
    </row>
    <row r="29" spans="1:10">
      <c r="A29" s="14" t="s">
        <v>293</v>
      </c>
      <c r="B29" s="27" t="s">
        <v>1203</v>
      </c>
      <c r="C29" s="28" t="str">
        <f>IF(ISNUMBER(Exam[[#This Row],[Total]]),ROUND(Exam[[#This Row],[Total]]/$I$5*100,0),"")</f>
        <v/>
      </c>
      <c r="D29" s="2" t="str">
        <f>IF(NOT(ISBLANK(Exam[[#This Row],[Student No.]])), _xlfn.IFNA(INDEX(exam_mcq[LenientTotalMark],MATCH(Exam[[#This Row],[Student No.]],exam_mcq[StudentNumberText],0)), ""),  "No student!")</f>
        <v/>
      </c>
      <c r="H29" s="2" t="str">
        <f>IF(NOT(Exam[[#This Row],[Student No.]]=""),(IF(COUNTBLANK(Exam[[#This Row],[Q2]:[Q4]])=0,SUM(Exam[[#This Row],[Q2]:[Q4]]),"")),"")</f>
        <v/>
      </c>
      <c r="I29" s="6" t="str">
        <f>IF(NOT(Exam[[#This Row],[Student No.]]=""),(IF(COUNTBLANK(Exam[[#This Row],[MCQ]:[Q4]])=0,SUM(Exam[[#This Row],[MCQ]:[Q4]]),"")),"")</f>
        <v/>
      </c>
      <c r="J29" s="3" t="s">
        <v>1027</v>
      </c>
    </row>
    <row r="30" spans="1:10">
      <c r="A30" s="14" t="s">
        <v>294</v>
      </c>
      <c r="B30" s="27" t="s">
        <v>1140</v>
      </c>
      <c r="C30" s="28">
        <f>IF(ISNUMBER(Exam[[#This Row],[Total]]),ROUND(Exam[[#This Row],[Total]]/$I$5*100,0),"")</f>
        <v>48</v>
      </c>
      <c r="D30" s="2">
        <f>IF(NOT(ISBLANK(Exam[[#This Row],[Student No.]])), _xlfn.IFNA(INDEX(exam_mcq[LenientTotalMark],MATCH(Exam[[#This Row],[Student No.]],exam_mcq[StudentNumberText],0)), ""),  "No student!")</f>
        <v>16</v>
      </c>
      <c r="E30" s="2">
        <v>2</v>
      </c>
      <c r="F30" s="2">
        <v>15</v>
      </c>
      <c r="G30" s="2">
        <v>13</v>
      </c>
      <c r="H30" s="2">
        <f>IF(NOT(Exam[[#This Row],[Student No.]]=""),(IF(COUNTBLANK(Exam[[#This Row],[Q2]:[Q4]])=0,SUM(Exam[[#This Row],[Q2]:[Q4]]),"")),"")</f>
        <v>30</v>
      </c>
      <c r="I30" s="6">
        <f>IF(NOT(Exam[[#This Row],[Student No.]]=""),(IF(COUNTBLANK(Exam[[#This Row],[MCQ]:[Q4]])=0,SUM(Exam[[#This Row],[MCQ]:[Q4]]),"")),"")</f>
        <v>46</v>
      </c>
      <c r="J30" s="3"/>
    </row>
    <row r="31" spans="1:10">
      <c r="A31" s="14" t="s">
        <v>295</v>
      </c>
      <c r="B31" s="27" t="s">
        <v>1266</v>
      </c>
      <c r="C31" s="28" t="str">
        <f>IF(ISNUMBER(Exam[[#This Row],[Total]]),ROUND(Exam[[#This Row],[Total]]/$I$5*100,0),"")</f>
        <v/>
      </c>
      <c r="D31" s="2" t="str">
        <f>IF(NOT(ISBLANK(Exam[[#This Row],[Student No.]])), _xlfn.IFNA(INDEX(exam_mcq[LenientTotalMark],MATCH(Exam[[#This Row],[Student No.]],exam_mcq[StudentNumberText],0)), ""),  "No student!")</f>
        <v/>
      </c>
      <c r="H31" s="2" t="str">
        <f>IF(NOT(Exam[[#This Row],[Student No.]]=""),(IF(COUNTBLANK(Exam[[#This Row],[Q2]:[Q4]])=0,SUM(Exam[[#This Row],[Q2]:[Q4]]),"")),"")</f>
        <v/>
      </c>
      <c r="I31" s="6" t="str">
        <f>IF(NOT(Exam[[#This Row],[Student No.]]=""),(IF(COUNTBLANK(Exam[[#This Row],[MCQ]:[Q4]])=0,SUM(Exam[[#This Row],[MCQ]:[Q4]]),"")),"")</f>
        <v/>
      </c>
      <c r="J31" s="3" t="s">
        <v>1027</v>
      </c>
    </row>
    <row r="32" spans="1:10">
      <c r="A32" s="14" t="s">
        <v>296</v>
      </c>
      <c r="B32" s="27" t="s">
        <v>1267</v>
      </c>
      <c r="C32" s="28">
        <f>IF(ISNUMBER(Exam[[#This Row],[Total]]),ROUND(Exam[[#This Row],[Total]]/$I$5*100,0),"")</f>
        <v>58</v>
      </c>
      <c r="D32" s="2">
        <f>IF(NOT(ISBLANK(Exam[[#This Row],[Student No.]])), _xlfn.IFNA(INDEX(exam_mcq[LenientTotalMark],MATCH(Exam[[#This Row],[Student No.]],exam_mcq[StudentNumberText],0)), ""),  "No student!")</f>
        <v>24</v>
      </c>
      <c r="E32" s="2">
        <v>2</v>
      </c>
      <c r="F32" s="2">
        <v>16</v>
      </c>
      <c r="G32" s="2">
        <v>13</v>
      </c>
      <c r="H32" s="2">
        <f>IF(NOT(Exam[[#This Row],[Student No.]]=""),(IF(COUNTBLANK(Exam[[#This Row],[Q2]:[Q4]])=0,SUM(Exam[[#This Row],[Q2]:[Q4]]),"")),"")</f>
        <v>31</v>
      </c>
      <c r="I32" s="6">
        <f>IF(NOT(Exam[[#This Row],[Student No.]]=""),(IF(COUNTBLANK(Exam[[#This Row],[MCQ]:[Q4]])=0,SUM(Exam[[#This Row],[MCQ]:[Q4]]),"")),"")</f>
        <v>55</v>
      </c>
      <c r="J32" s="3"/>
    </row>
    <row r="33" spans="1:10">
      <c r="A33" s="14" t="s">
        <v>297</v>
      </c>
      <c r="B33" s="27" t="s">
        <v>1268</v>
      </c>
      <c r="C33" s="28">
        <f>IF(ISNUMBER(Exam[[#This Row],[Total]]),ROUND(Exam[[#This Row],[Total]]/$I$5*100,0),"")</f>
        <v>37</v>
      </c>
      <c r="D33" s="2">
        <f>IF(NOT(ISBLANK(Exam[[#This Row],[Student No.]])), _xlfn.IFNA(INDEX(exam_mcq[LenientTotalMark],MATCH(Exam[[#This Row],[Student No.]],exam_mcq[StudentNumberText],0)), ""),  "No student!")</f>
        <v>10</v>
      </c>
      <c r="E33" s="2">
        <v>3</v>
      </c>
      <c r="F33" s="2">
        <v>13</v>
      </c>
      <c r="G33" s="2">
        <v>9</v>
      </c>
      <c r="H33" s="2">
        <f>IF(NOT(Exam[[#This Row],[Student No.]]=""),(IF(COUNTBLANK(Exam[[#This Row],[Q2]:[Q4]])=0,SUM(Exam[[#This Row],[Q2]:[Q4]]),"")),"")</f>
        <v>25</v>
      </c>
      <c r="I33" s="6">
        <f>IF(NOT(Exam[[#This Row],[Student No.]]=""),(IF(COUNTBLANK(Exam[[#This Row],[MCQ]:[Q4]])=0,SUM(Exam[[#This Row],[MCQ]:[Q4]]),"")),"")</f>
        <v>35</v>
      </c>
      <c r="J33" s="3"/>
    </row>
    <row r="34" spans="1:10">
      <c r="A34" s="14" t="s">
        <v>298</v>
      </c>
      <c r="B34" s="27" t="s">
        <v>1131</v>
      </c>
      <c r="C34" s="28">
        <f>IF(ISNUMBER(Exam[[#This Row],[Total]]),ROUND(Exam[[#This Row],[Total]]/$I$5*100,0),"")</f>
        <v>39</v>
      </c>
      <c r="D34" s="2">
        <f>IF(NOT(ISBLANK(Exam[[#This Row],[Student No.]])), _xlfn.IFNA(INDEX(exam_mcq[LenientTotalMark],MATCH(Exam[[#This Row],[Student No.]],exam_mcq[StudentNumberText],0)), ""),  "No student!")</f>
        <v>19</v>
      </c>
      <c r="E34" s="2">
        <v>4</v>
      </c>
      <c r="F34" s="2">
        <v>13</v>
      </c>
      <c r="G34" s="2">
        <v>1</v>
      </c>
      <c r="H34" s="2">
        <f>IF(NOT(Exam[[#This Row],[Student No.]]=""),(IF(COUNTBLANK(Exam[[#This Row],[Q2]:[Q4]])=0,SUM(Exam[[#This Row],[Q2]:[Q4]]),"")),"")</f>
        <v>18</v>
      </c>
      <c r="I34" s="6">
        <f>IF(NOT(Exam[[#This Row],[Student No.]]=""),(IF(COUNTBLANK(Exam[[#This Row],[MCQ]:[Q4]])=0,SUM(Exam[[#This Row],[MCQ]:[Q4]]),"")),"")</f>
        <v>37</v>
      </c>
      <c r="J34" s="3"/>
    </row>
    <row r="35" spans="1:10">
      <c r="A35" s="14" t="s">
        <v>299</v>
      </c>
      <c r="B35" s="27" t="s">
        <v>1269</v>
      </c>
      <c r="C35" s="28">
        <f>IF(ISNUMBER(Exam[[#This Row],[Total]]),ROUND(Exam[[#This Row],[Total]]/$I$5*100,0),"")</f>
        <v>13</v>
      </c>
      <c r="D35" s="2">
        <f>IF(NOT(ISBLANK(Exam[[#This Row],[Student No.]])), _xlfn.IFNA(INDEX(exam_mcq[LenientTotalMark],MATCH(Exam[[#This Row],[Student No.]],exam_mcq[StudentNumberText],0)), ""),  "No student!")</f>
        <v>0</v>
      </c>
      <c r="E35" s="2">
        <v>2</v>
      </c>
      <c r="F35" s="2">
        <v>8</v>
      </c>
      <c r="G35" s="2">
        <v>2</v>
      </c>
      <c r="H35" s="2">
        <f>IF(NOT(Exam[[#This Row],[Student No.]]=""),(IF(COUNTBLANK(Exam[[#This Row],[Q2]:[Q4]])=0,SUM(Exam[[#This Row],[Q2]:[Q4]]),"")),"")</f>
        <v>12</v>
      </c>
      <c r="I35" s="6">
        <f>IF(NOT(Exam[[#This Row],[Student No.]]=""),(IF(COUNTBLANK(Exam[[#This Row],[MCQ]:[Q4]])=0,SUM(Exam[[#This Row],[MCQ]:[Q4]]),"")),"")</f>
        <v>12</v>
      </c>
      <c r="J35" s="3"/>
    </row>
    <row r="36" spans="1:10">
      <c r="A36" s="14" t="s">
        <v>300</v>
      </c>
      <c r="B36" s="27" t="s">
        <v>1270</v>
      </c>
      <c r="C36" s="28">
        <f>IF(ISNUMBER(Exam[[#This Row],[Total]]),ROUND(Exam[[#This Row],[Total]]/$I$5*100,0),"")</f>
        <v>47</v>
      </c>
      <c r="D36" s="2">
        <f>IF(NOT(ISBLANK(Exam[[#This Row],[Student No.]])), _xlfn.IFNA(INDEX(exam_mcq[LenientTotalMark],MATCH(Exam[[#This Row],[Student No.]],exam_mcq[StudentNumberText],0)), ""),  "No student!")</f>
        <v>17</v>
      </c>
      <c r="E36" s="2">
        <v>4</v>
      </c>
      <c r="F36" s="2">
        <v>16</v>
      </c>
      <c r="G36" s="2">
        <v>8</v>
      </c>
      <c r="H36" s="2">
        <f>IF(NOT(Exam[[#This Row],[Student No.]]=""),(IF(COUNTBLANK(Exam[[#This Row],[Q2]:[Q4]])=0,SUM(Exam[[#This Row],[Q2]:[Q4]]),"")),"")</f>
        <v>28</v>
      </c>
      <c r="I36" s="6">
        <f>IF(NOT(Exam[[#This Row],[Student No.]]=""),(IF(COUNTBLANK(Exam[[#This Row],[MCQ]:[Q4]])=0,SUM(Exam[[#This Row],[MCQ]:[Q4]]),"")),"")</f>
        <v>45</v>
      </c>
      <c r="J36" s="3"/>
    </row>
    <row r="37" spans="1:10">
      <c r="A37" s="14" t="s">
        <v>301</v>
      </c>
      <c r="B37" s="27" t="s">
        <v>1075</v>
      </c>
      <c r="C37" s="28">
        <f>IF(ISNUMBER(Exam[[#This Row],[Total]]),ROUND(Exam[[#This Row],[Total]]/$I$5*100,0),"")</f>
        <v>31</v>
      </c>
      <c r="D37" s="2">
        <f>IF(NOT(ISBLANK(Exam[[#This Row],[Student No.]])), _xlfn.IFNA(INDEX(exam_mcq[LenientTotalMark],MATCH(Exam[[#This Row],[Student No.]],exam_mcq[StudentNumberText],0)), ""),  "No student!")</f>
        <v>18</v>
      </c>
      <c r="E37" s="2">
        <v>2</v>
      </c>
      <c r="F37" s="2">
        <v>4</v>
      </c>
      <c r="G37" s="2">
        <v>5</v>
      </c>
      <c r="H37" s="2">
        <f>IF(NOT(Exam[[#This Row],[Student No.]]=""),(IF(COUNTBLANK(Exam[[#This Row],[Q2]:[Q4]])=0,SUM(Exam[[#This Row],[Q2]:[Q4]]),"")),"")</f>
        <v>11</v>
      </c>
      <c r="I37" s="6">
        <f>IF(NOT(Exam[[#This Row],[Student No.]]=""),(IF(COUNTBLANK(Exam[[#This Row],[MCQ]:[Q4]])=0,SUM(Exam[[#This Row],[MCQ]:[Q4]]),"")),"")</f>
        <v>29</v>
      </c>
      <c r="J37" s="3"/>
    </row>
    <row r="38" spans="1:10">
      <c r="A38" s="14" t="s">
        <v>302</v>
      </c>
      <c r="B38" s="27" t="s">
        <v>1271</v>
      </c>
      <c r="C38" s="28">
        <f>IF(ISNUMBER(Exam[[#This Row],[Total]]),ROUND(Exam[[#This Row],[Total]]/$I$5*100,0),"")</f>
        <v>29</v>
      </c>
      <c r="D38" s="2">
        <f>IF(NOT(ISBLANK(Exam[[#This Row],[Student No.]])), _xlfn.IFNA(INDEX(exam_mcq[LenientTotalMark],MATCH(Exam[[#This Row],[Student No.]],exam_mcq[StudentNumberText],0)), ""),  "No student!")</f>
        <v>14</v>
      </c>
      <c r="E38" s="2">
        <v>0</v>
      </c>
      <c r="F38" s="2">
        <v>12</v>
      </c>
      <c r="G38" s="2">
        <v>2</v>
      </c>
      <c r="H38" s="2">
        <f>IF(NOT(Exam[[#This Row],[Student No.]]=""),(IF(COUNTBLANK(Exam[[#This Row],[Q2]:[Q4]])=0,SUM(Exam[[#This Row],[Q2]:[Q4]]),"")),"")</f>
        <v>14</v>
      </c>
      <c r="I38" s="6">
        <f>IF(NOT(Exam[[#This Row],[Student No.]]=""),(IF(COUNTBLANK(Exam[[#This Row],[MCQ]:[Q4]])=0,SUM(Exam[[#This Row],[MCQ]:[Q4]]),"")),"")</f>
        <v>28</v>
      </c>
      <c r="J38" s="3"/>
    </row>
    <row r="39" spans="1:10">
      <c r="A39" s="14" t="s">
        <v>303</v>
      </c>
      <c r="B39" s="27" t="s">
        <v>1099</v>
      </c>
      <c r="C39" s="28">
        <f>IF(ISNUMBER(Exam[[#This Row],[Total]]),ROUND(Exam[[#This Row],[Total]]/$I$5*100,0),"")</f>
        <v>24</v>
      </c>
      <c r="D39" s="2">
        <f>IF(NOT(ISBLANK(Exam[[#This Row],[Student No.]])), _xlfn.IFNA(INDEX(exam_mcq[LenientTotalMark],MATCH(Exam[[#This Row],[Student No.]],exam_mcq[StudentNumberText],0)), ""),  "No student!")</f>
        <v>9</v>
      </c>
      <c r="E39" s="2">
        <v>1</v>
      </c>
      <c r="F39" s="2">
        <v>9</v>
      </c>
      <c r="G39" s="2">
        <v>4</v>
      </c>
      <c r="H39" s="2">
        <f>IF(NOT(Exam[[#This Row],[Student No.]]=""),(IF(COUNTBLANK(Exam[[#This Row],[Q2]:[Q4]])=0,SUM(Exam[[#This Row],[Q2]:[Q4]]),"")),"")</f>
        <v>14</v>
      </c>
      <c r="I39" s="6">
        <f>IF(NOT(Exam[[#This Row],[Student No.]]=""),(IF(COUNTBLANK(Exam[[#This Row],[MCQ]:[Q4]])=0,SUM(Exam[[#This Row],[MCQ]:[Q4]]),"")),"")</f>
        <v>23</v>
      </c>
      <c r="J39" s="3"/>
    </row>
    <row r="40" spans="1:10">
      <c r="A40" s="14" t="s">
        <v>304</v>
      </c>
      <c r="B40" s="27" t="s">
        <v>1272</v>
      </c>
      <c r="C40" s="28">
        <f>IF(ISNUMBER(Exam[[#This Row],[Total]]),ROUND(Exam[[#This Row],[Total]]/$I$5*100,0),"")</f>
        <v>61</v>
      </c>
      <c r="D40" s="2">
        <f>IF(NOT(ISBLANK(Exam[[#This Row],[Student No.]])), _xlfn.IFNA(INDEX(exam_mcq[LenientTotalMark],MATCH(Exam[[#This Row],[Student No.]],exam_mcq[StudentNumberText],0)), ""),  "No student!")</f>
        <v>12</v>
      </c>
      <c r="E40" s="2">
        <v>2</v>
      </c>
      <c r="F40" s="2">
        <v>22</v>
      </c>
      <c r="G40" s="2">
        <v>22</v>
      </c>
      <c r="H40" s="2">
        <f>IF(NOT(Exam[[#This Row],[Student No.]]=""),(IF(COUNTBLANK(Exam[[#This Row],[Q2]:[Q4]])=0,SUM(Exam[[#This Row],[Q2]:[Q4]]),"")),"")</f>
        <v>46</v>
      </c>
      <c r="I40" s="6">
        <f>IF(NOT(Exam[[#This Row],[Student No.]]=""),(IF(COUNTBLANK(Exam[[#This Row],[MCQ]:[Q4]])=0,SUM(Exam[[#This Row],[MCQ]:[Q4]]),"")),"")</f>
        <v>58</v>
      </c>
      <c r="J40" s="3"/>
    </row>
    <row r="41" spans="1:10">
      <c r="A41" s="14" t="s">
        <v>305</v>
      </c>
      <c r="B41" s="27" t="s">
        <v>1273</v>
      </c>
      <c r="C41" s="28">
        <f>IF(ISNUMBER(Exam[[#This Row],[Total]]),ROUND(Exam[[#This Row],[Total]]/$I$5*100,0),"")</f>
        <v>66</v>
      </c>
      <c r="D41" s="2">
        <f>IF(NOT(ISBLANK(Exam[[#This Row],[Student No.]])), _xlfn.IFNA(INDEX(exam_mcq[LenientTotalMark],MATCH(Exam[[#This Row],[Student No.]],exam_mcq[StudentNumberText],0)), ""),  "No student!")</f>
        <v>21</v>
      </c>
      <c r="E41" s="2">
        <v>16</v>
      </c>
      <c r="F41" s="2">
        <v>18</v>
      </c>
      <c r="G41" s="2">
        <v>8</v>
      </c>
      <c r="H41" s="2">
        <f>IF(NOT(Exam[[#This Row],[Student No.]]=""),(IF(COUNTBLANK(Exam[[#This Row],[Q2]:[Q4]])=0,SUM(Exam[[#This Row],[Q2]:[Q4]]),"")),"")</f>
        <v>42</v>
      </c>
      <c r="I41" s="6">
        <f>IF(NOT(Exam[[#This Row],[Student No.]]=""),(IF(COUNTBLANK(Exam[[#This Row],[MCQ]:[Q4]])=0,SUM(Exam[[#This Row],[MCQ]:[Q4]]),"")),"")</f>
        <v>63</v>
      </c>
      <c r="J41" s="3"/>
    </row>
    <row r="42" spans="1:10">
      <c r="A42" s="14" t="s">
        <v>306</v>
      </c>
      <c r="B42" s="27" t="s">
        <v>1121</v>
      </c>
      <c r="C42" s="28">
        <f>IF(ISNUMBER(Exam[[#This Row],[Total]]),ROUND(Exam[[#This Row],[Total]]/$I$5*100,0),"")</f>
        <v>20</v>
      </c>
      <c r="D42" s="2">
        <f>IF(NOT(ISBLANK(Exam[[#This Row],[Student No.]])), _xlfn.IFNA(INDEX(exam_mcq[LenientTotalMark],MATCH(Exam[[#This Row],[Student No.]],exam_mcq[StudentNumberText],0)), ""),  "No student!")</f>
        <v>10</v>
      </c>
      <c r="E42" s="2">
        <v>3</v>
      </c>
      <c r="F42" s="2">
        <v>5</v>
      </c>
      <c r="G42" s="2">
        <v>1</v>
      </c>
      <c r="H42" s="2">
        <f>IF(NOT(Exam[[#This Row],[Student No.]]=""),(IF(COUNTBLANK(Exam[[#This Row],[Q2]:[Q4]])=0,SUM(Exam[[#This Row],[Q2]:[Q4]]),"")),"")</f>
        <v>9</v>
      </c>
      <c r="I42" s="6">
        <f>IF(NOT(Exam[[#This Row],[Student No.]]=""),(IF(COUNTBLANK(Exam[[#This Row],[MCQ]:[Q4]])=0,SUM(Exam[[#This Row],[MCQ]:[Q4]]),"")),"")</f>
        <v>19</v>
      </c>
      <c r="J42" s="3"/>
    </row>
    <row r="43" spans="1:10">
      <c r="A43" s="14" t="s">
        <v>307</v>
      </c>
      <c r="B43" s="27" t="s">
        <v>1274</v>
      </c>
      <c r="C43" s="28">
        <f>IF(ISNUMBER(Exam[[#This Row],[Total]]),ROUND(Exam[[#This Row],[Total]]/$I$5*100,0),"")</f>
        <v>55</v>
      </c>
      <c r="D43" s="2">
        <f>IF(NOT(ISBLANK(Exam[[#This Row],[Student No.]])), _xlfn.IFNA(INDEX(exam_mcq[LenientTotalMark],MATCH(Exam[[#This Row],[Student No.]],exam_mcq[StudentNumberText],0)), ""),  "No student!")</f>
        <v>20</v>
      </c>
      <c r="E43" s="2">
        <v>6</v>
      </c>
      <c r="F43" s="2">
        <v>22</v>
      </c>
      <c r="G43" s="2">
        <v>4</v>
      </c>
      <c r="H43" s="2">
        <f>IF(NOT(Exam[[#This Row],[Student No.]]=""),(IF(COUNTBLANK(Exam[[#This Row],[Q2]:[Q4]])=0,SUM(Exam[[#This Row],[Q2]:[Q4]]),"")),"")</f>
        <v>32</v>
      </c>
      <c r="I43" s="6">
        <f>IF(NOT(Exam[[#This Row],[Student No.]]=""),(IF(COUNTBLANK(Exam[[#This Row],[MCQ]:[Q4]])=0,SUM(Exam[[#This Row],[MCQ]:[Q4]]),"")),"")</f>
        <v>52</v>
      </c>
      <c r="J43" s="3"/>
    </row>
    <row r="44" spans="1:10">
      <c r="A44" s="14" t="s">
        <v>308</v>
      </c>
      <c r="B44" s="27" t="s">
        <v>1275</v>
      </c>
      <c r="C44" s="28">
        <f>IF(ISNUMBER(Exam[[#This Row],[Total]]),ROUND(Exam[[#This Row],[Total]]/$I$5*100,0),"")</f>
        <v>36</v>
      </c>
      <c r="D44" s="2">
        <f>IF(NOT(ISBLANK(Exam[[#This Row],[Student No.]])), _xlfn.IFNA(INDEX(exam_mcq[LenientTotalMark],MATCH(Exam[[#This Row],[Student No.]],exam_mcq[StudentNumberText],0)), ""),  "No student!")</f>
        <v>15</v>
      </c>
      <c r="E44" s="2">
        <v>0</v>
      </c>
      <c r="F44" s="2">
        <v>19</v>
      </c>
      <c r="G44" s="2">
        <v>0</v>
      </c>
      <c r="H44" s="2">
        <f>IF(NOT(Exam[[#This Row],[Student No.]]=""),(IF(COUNTBLANK(Exam[[#This Row],[Q2]:[Q4]])=0,SUM(Exam[[#This Row],[Q2]:[Q4]]),"")),"")</f>
        <v>19</v>
      </c>
      <c r="I44" s="6">
        <f>IF(NOT(Exam[[#This Row],[Student No.]]=""),(IF(COUNTBLANK(Exam[[#This Row],[MCQ]:[Q4]])=0,SUM(Exam[[#This Row],[MCQ]:[Q4]]),"")),"")</f>
        <v>34</v>
      </c>
      <c r="J44" s="3"/>
    </row>
    <row r="45" spans="1:10">
      <c r="A45" s="14" t="s">
        <v>309</v>
      </c>
      <c r="B45" s="27" t="s">
        <v>1276</v>
      </c>
      <c r="C45" s="28" t="str">
        <f>IF(ISNUMBER(Exam[[#This Row],[Total]]),ROUND(Exam[[#This Row],[Total]]/$I$5*100,0),"")</f>
        <v/>
      </c>
      <c r="D45" s="2" t="str">
        <f>IF(NOT(ISBLANK(Exam[[#This Row],[Student No.]])), _xlfn.IFNA(INDEX(exam_mcq[LenientTotalMark],MATCH(Exam[[#This Row],[Student No.]],exam_mcq[StudentNumberText],0)), ""),  "No student!")</f>
        <v/>
      </c>
      <c r="H45" s="2" t="str">
        <f>IF(NOT(Exam[[#This Row],[Student No.]]=""),(IF(COUNTBLANK(Exam[[#This Row],[Q2]:[Q4]])=0,SUM(Exam[[#This Row],[Q2]:[Q4]]),"")),"")</f>
        <v/>
      </c>
      <c r="I45" s="6" t="str">
        <f>IF(NOT(Exam[[#This Row],[Student No.]]=""),(IF(COUNTBLANK(Exam[[#This Row],[MCQ]:[Q4]])=0,SUM(Exam[[#This Row],[MCQ]:[Q4]]),"")),"")</f>
        <v/>
      </c>
      <c r="J45" s="3" t="s">
        <v>1026</v>
      </c>
    </row>
    <row r="46" spans="1:10">
      <c r="A46" s="14" t="s">
        <v>310</v>
      </c>
      <c r="B46" s="27" t="s">
        <v>1169</v>
      </c>
      <c r="C46" s="28">
        <f>IF(ISNUMBER(Exam[[#This Row],[Total]]),ROUND(Exam[[#This Row],[Total]]/$I$5*100,0),"")</f>
        <v>66</v>
      </c>
      <c r="D46" s="2">
        <f>IF(NOT(ISBLANK(Exam[[#This Row],[Student No.]])), _xlfn.IFNA(INDEX(exam_mcq[LenientTotalMark],MATCH(Exam[[#This Row],[Student No.]],exam_mcq[StudentNumberText],0)), ""),  "No student!")</f>
        <v>23</v>
      </c>
      <c r="E46" s="2">
        <v>2</v>
      </c>
      <c r="F46" s="2">
        <v>23</v>
      </c>
      <c r="G46" s="2">
        <v>15</v>
      </c>
      <c r="H46" s="2">
        <f>IF(NOT(Exam[[#This Row],[Student No.]]=""),(IF(COUNTBLANK(Exam[[#This Row],[Q2]:[Q4]])=0,SUM(Exam[[#This Row],[Q2]:[Q4]]),"")),"")</f>
        <v>40</v>
      </c>
      <c r="I46" s="6">
        <f>IF(NOT(Exam[[#This Row],[Student No.]]=""),(IF(COUNTBLANK(Exam[[#This Row],[MCQ]:[Q4]])=0,SUM(Exam[[#This Row],[MCQ]:[Q4]]),"")),"")</f>
        <v>63</v>
      </c>
      <c r="J46" s="3"/>
    </row>
    <row r="47" spans="1:10">
      <c r="A47" s="14" t="s">
        <v>311</v>
      </c>
      <c r="B47" s="27" t="s">
        <v>1277</v>
      </c>
      <c r="C47" s="28">
        <f>IF(ISNUMBER(Exam[[#This Row],[Total]]),ROUND(Exam[[#This Row],[Total]]/$I$5*100,0),"")</f>
        <v>51</v>
      </c>
      <c r="D47" s="2">
        <f>IF(NOT(ISBLANK(Exam[[#This Row],[Student No.]])), _xlfn.IFNA(INDEX(exam_mcq[LenientTotalMark],MATCH(Exam[[#This Row],[Student No.]],exam_mcq[StudentNumberText],0)), ""),  "No student!")</f>
        <v>18</v>
      </c>
      <c r="E47" s="2">
        <v>2</v>
      </c>
      <c r="F47" s="2">
        <v>15</v>
      </c>
      <c r="G47" s="2">
        <v>13</v>
      </c>
      <c r="H47" s="2">
        <f>IF(NOT(Exam[[#This Row],[Student No.]]=""),(IF(COUNTBLANK(Exam[[#This Row],[Q2]:[Q4]])=0,SUM(Exam[[#This Row],[Q2]:[Q4]]),"")),"")</f>
        <v>30</v>
      </c>
      <c r="I47" s="6">
        <f>IF(NOT(Exam[[#This Row],[Student No.]]=""),(IF(COUNTBLANK(Exam[[#This Row],[MCQ]:[Q4]])=0,SUM(Exam[[#This Row],[MCQ]:[Q4]]),"")),"")</f>
        <v>48</v>
      </c>
      <c r="J47" s="3"/>
    </row>
    <row r="48" spans="1:10">
      <c r="A48" s="14" t="s">
        <v>312</v>
      </c>
      <c r="B48" s="27" t="s">
        <v>1130</v>
      </c>
      <c r="C48" s="28">
        <f>IF(ISNUMBER(Exam[[#This Row],[Total]]),ROUND(Exam[[#This Row],[Total]]/$I$5*100,0),"")</f>
        <v>37</v>
      </c>
      <c r="D48" s="2">
        <f>IF(NOT(ISBLANK(Exam[[#This Row],[Student No.]])), _xlfn.IFNA(INDEX(exam_mcq[LenientTotalMark],MATCH(Exam[[#This Row],[Student No.]],exam_mcq[StudentNumberText],0)), ""),  "No student!")</f>
        <v>15</v>
      </c>
      <c r="E48" s="2">
        <v>1</v>
      </c>
      <c r="F48" s="2">
        <v>10</v>
      </c>
      <c r="G48" s="2">
        <v>9</v>
      </c>
      <c r="H48" s="2">
        <f>IF(NOT(Exam[[#This Row],[Student No.]]=""),(IF(COUNTBLANK(Exam[[#This Row],[Q2]:[Q4]])=0,SUM(Exam[[#This Row],[Q2]:[Q4]]),"")),"")</f>
        <v>20</v>
      </c>
      <c r="I48" s="6">
        <f>IF(NOT(Exam[[#This Row],[Student No.]]=""),(IF(COUNTBLANK(Exam[[#This Row],[MCQ]:[Q4]])=0,SUM(Exam[[#This Row],[MCQ]:[Q4]]),"")),"")</f>
        <v>35</v>
      </c>
      <c r="J48" s="3"/>
    </row>
    <row r="49" spans="1:10">
      <c r="A49" s="14" t="s">
        <v>313</v>
      </c>
      <c r="B49" s="27" t="s">
        <v>1278</v>
      </c>
      <c r="C49" s="28">
        <f>IF(ISNUMBER(Exam[[#This Row],[Total]]),ROUND(Exam[[#This Row],[Total]]/$I$5*100,0),"")</f>
        <v>42</v>
      </c>
      <c r="D49" s="2">
        <f>IF(NOT(ISBLANK(Exam[[#This Row],[Student No.]])), _xlfn.IFNA(INDEX(exam_mcq[LenientTotalMark],MATCH(Exam[[#This Row],[Student No.]],exam_mcq[StudentNumberText],0)), ""),  "No student!")</f>
        <v>13</v>
      </c>
      <c r="E49" s="2">
        <v>3</v>
      </c>
      <c r="F49" s="2">
        <v>19</v>
      </c>
      <c r="G49" s="2">
        <v>5</v>
      </c>
      <c r="H49" s="2">
        <f>IF(NOT(Exam[[#This Row],[Student No.]]=""),(IF(COUNTBLANK(Exam[[#This Row],[Q2]:[Q4]])=0,SUM(Exam[[#This Row],[Q2]:[Q4]]),"")),"")</f>
        <v>27</v>
      </c>
      <c r="I49" s="6">
        <f>IF(NOT(Exam[[#This Row],[Student No.]]=""),(IF(COUNTBLANK(Exam[[#This Row],[MCQ]:[Q4]])=0,SUM(Exam[[#This Row],[MCQ]:[Q4]]),"")),"")</f>
        <v>40</v>
      </c>
      <c r="J49" s="3"/>
    </row>
    <row r="50" spans="1:10">
      <c r="A50" s="14" t="s">
        <v>314</v>
      </c>
      <c r="B50" s="27" t="s">
        <v>1279</v>
      </c>
      <c r="C50" s="28">
        <f>IF(ISNUMBER(Exam[[#This Row],[Total]]),ROUND(Exam[[#This Row],[Total]]/$I$5*100,0),"")</f>
        <v>38</v>
      </c>
      <c r="D50" s="2">
        <f>IF(NOT(ISBLANK(Exam[[#This Row],[Student No.]])), _xlfn.IFNA(INDEX(exam_mcq[LenientTotalMark],MATCH(Exam[[#This Row],[Student No.]],exam_mcq[StudentNumberText],0)), ""),  "No student!")</f>
        <v>14</v>
      </c>
      <c r="E50" s="2">
        <v>0</v>
      </c>
      <c r="F50" s="2">
        <v>17</v>
      </c>
      <c r="G50" s="2">
        <v>5</v>
      </c>
      <c r="H50" s="2">
        <f>IF(NOT(Exam[[#This Row],[Student No.]]=""),(IF(COUNTBLANK(Exam[[#This Row],[Q2]:[Q4]])=0,SUM(Exam[[#This Row],[Q2]:[Q4]]),"")),"")</f>
        <v>22</v>
      </c>
      <c r="I50" s="6">
        <f>IF(NOT(Exam[[#This Row],[Student No.]]=""),(IF(COUNTBLANK(Exam[[#This Row],[MCQ]:[Q4]])=0,SUM(Exam[[#This Row],[MCQ]:[Q4]]),"")),"")</f>
        <v>36</v>
      </c>
      <c r="J50" s="3"/>
    </row>
    <row r="51" spans="1:10">
      <c r="A51" s="14" t="s">
        <v>315</v>
      </c>
      <c r="B51" s="27" t="s">
        <v>1113</v>
      </c>
      <c r="C51" s="28">
        <f>IF(ISNUMBER(Exam[[#This Row],[Total]]),ROUND(Exam[[#This Row],[Total]]/$I$5*100,0),"")</f>
        <v>17</v>
      </c>
      <c r="D51" s="2">
        <f>IF(NOT(ISBLANK(Exam[[#This Row],[Student No.]])), _xlfn.IFNA(INDEX(exam_mcq[LenientTotalMark],MATCH(Exam[[#This Row],[Student No.]],exam_mcq[StudentNumberText],0)), ""),  "No student!")</f>
        <v>16</v>
      </c>
      <c r="E51" s="2">
        <v>0</v>
      </c>
      <c r="F51" s="2">
        <v>0</v>
      </c>
      <c r="G51" s="2">
        <v>0</v>
      </c>
      <c r="H51" s="2">
        <f>IF(NOT(Exam[[#This Row],[Student No.]]=""),(IF(COUNTBLANK(Exam[[#This Row],[Q2]:[Q4]])=0,SUM(Exam[[#This Row],[Q2]:[Q4]]),"")),"")</f>
        <v>0</v>
      </c>
      <c r="I51" s="6">
        <f>IF(NOT(Exam[[#This Row],[Student No.]]=""),(IF(COUNTBLANK(Exam[[#This Row],[MCQ]:[Q4]])=0,SUM(Exam[[#This Row],[MCQ]:[Q4]]),"")),"")</f>
        <v>16</v>
      </c>
      <c r="J51" s="3"/>
    </row>
    <row r="52" spans="1:10">
      <c r="A52" s="14" t="s">
        <v>316</v>
      </c>
      <c r="B52" s="27" t="s">
        <v>1280</v>
      </c>
      <c r="C52" s="28">
        <f>IF(ISNUMBER(Exam[[#This Row],[Total]]),ROUND(Exam[[#This Row],[Total]]/$I$5*100,0),"")</f>
        <v>7</v>
      </c>
      <c r="D52" s="2">
        <f>IF(NOT(ISBLANK(Exam[[#This Row],[Student No.]])), _xlfn.IFNA(INDEX(exam_mcq[LenientTotalMark],MATCH(Exam[[#This Row],[Student No.]],exam_mcq[StudentNumberText],0)), ""),  "No student!")</f>
        <v>6</v>
      </c>
      <c r="E52" s="2">
        <v>0</v>
      </c>
      <c r="F52" s="2">
        <v>1</v>
      </c>
      <c r="G52" s="2">
        <v>0</v>
      </c>
      <c r="H52" s="2">
        <f>IF(NOT(Exam[[#This Row],[Student No.]]=""),(IF(COUNTBLANK(Exam[[#This Row],[Q2]:[Q4]])=0,SUM(Exam[[#This Row],[Q2]:[Q4]]),"")),"")</f>
        <v>1</v>
      </c>
      <c r="I52" s="6">
        <f>IF(NOT(Exam[[#This Row],[Student No.]]=""),(IF(COUNTBLANK(Exam[[#This Row],[MCQ]:[Q4]])=0,SUM(Exam[[#This Row],[MCQ]:[Q4]]),"")),"")</f>
        <v>7</v>
      </c>
      <c r="J52" s="3"/>
    </row>
    <row r="53" spans="1:10">
      <c r="A53" s="14" t="s">
        <v>317</v>
      </c>
      <c r="B53" s="27" t="s">
        <v>1281</v>
      </c>
      <c r="C53" s="28">
        <f>IF(ISNUMBER(Exam[[#This Row],[Total]]),ROUND(Exam[[#This Row],[Total]]/$I$5*100,0),"")</f>
        <v>46</v>
      </c>
      <c r="D53" s="2">
        <f>IF(NOT(ISBLANK(Exam[[#This Row],[Student No.]])), _xlfn.IFNA(INDEX(exam_mcq[LenientTotalMark],MATCH(Exam[[#This Row],[Student No.]],exam_mcq[StudentNumberText],0)), ""),  "No student!")</f>
        <v>18</v>
      </c>
      <c r="E53" s="2">
        <v>4</v>
      </c>
      <c r="F53" s="2">
        <v>17</v>
      </c>
      <c r="G53" s="2">
        <v>5</v>
      </c>
      <c r="H53" s="2">
        <f>IF(NOT(Exam[[#This Row],[Student No.]]=""),(IF(COUNTBLANK(Exam[[#This Row],[Q2]:[Q4]])=0,SUM(Exam[[#This Row],[Q2]:[Q4]]),"")),"")</f>
        <v>26</v>
      </c>
      <c r="I53" s="6">
        <f>IF(NOT(Exam[[#This Row],[Student No.]]=""),(IF(COUNTBLANK(Exam[[#This Row],[MCQ]:[Q4]])=0,SUM(Exam[[#This Row],[MCQ]:[Q4]]),"")),"")</f>
        <v>44</v>
      </c>
      <c r="J53" s="3"/>
    </row>
    <row r="54" spans="1:10">
      <c r="A54" s="14" t="s">
        <v>318</v>
      </c>
      <c r="B54" s="27" t="s">
        <v>1282</v>
      </c>
      <c r="C54" s="28">
        <f>IF(ISNUMBER(Exam[[#This Row],[Total]]),ROUND(Exam[[#This Row],[Total]]/$I$5*100,0),"")</f>
        <v>48</v>
      </c>
      <c r="D54" s="2">
        <f>IF(NOT(ISBLANK(Exam[[#This Row],[Student No.]])), _xlfn.IFNA(INDEX(exam_mcq[LenientTotalMark],MATCH(Exam[[#This Row],[Student No.]],exam_mcq[StudentNumberText],0)), ""),  "No student!")</f>
        <v>19</v>
      </c>
      <c r="E54" s="2">
        <v>2</v>
      </c>
      <c r="F54" s="2">
        <v>17</v>
      </c>
      <c r="G54" s="2">
        <v>8</v>
      </c>
      <c r="H54" s="2">
        <f>IF(NOT(Exam[[#This Row],[Student No.]]=""),(IF(COUNTBLANK(Exam[[#This Row],[Q2]:[Q4]])=0,SUM(Exam[[#This Row],[Q2]:[Q4]]),"")),"")</f>
        <v>27</v>
      </c>
      <c r="I54" s="6">
        <f>IF(NOT(Exam[[#This Row],[Student No.]]=""),(IF(COUNTBLANK(Exam[[#This Row],[MCQ]:[Q4]])=0,SUM(Exam[[#This Row],[MCQ]:[Q4]]),"")),"")</f>
        <v>46</v>
      </c>
      <c r="J54" s="3"/>
    </row>
    <row r="55" spans="1:10">
      <c r="A55" s="14" t="s">
        <v>319</v>
      </c>
      <c r="B55" s="27" t="s">
        <v>1112</v>
      </c>
      <c r="C55" s="28">
        <f>IF(ISNUMBER(Exam[[#This Row],[Total]]),ROUND(Exam[[#This Row],[Total]]/$I$5*100,0),"")</f>
        <v>27</v>
      </c>
      <c r="D55" s="2">
        <f>IF(NOT(ISBLANK(Exam[[#This Row],[Student No.]])), _xlfn.IFNA(INDEX(exam_mcq[LenientTotalMark],MATCH(Exam[[#This Row],[Student No.]],exam_mcq[StudentNumberText],0)), ""),  "No student!")</f>
        <v>17</v>
      </c>
      <c r="E55" s="2">
        <v>4</v>
      </c>
      <c r="F55" s="2">
        <v>4</v>
      </c>
      <c r="G55" s="2">
        <v>1</v>
      </c>
      <c r="H55" s="2">
        <f>IF(NOT(Exam[[#This Row],[Student No.]]=""),(IF(COUNTBLANK(Exam[[#This Row],[Q2]:[Q4]])=0,SUM(Exam[[#This Row],[Q2]:[Q4]]),"")),"")</f>
        <v>9</v>
      </c>
      <c r="I55" s="6">
        <f>IF(NOT(Exam[[#This Row],[Student No.]]=""),(IF(COUNTBLANK(Exam[[#This Row],[MCQ]:[Q4]])=0,SUM(Exam[[#This Row],[MCQ]:[Q4]]),"")),"")</f>
        <v>26</v>
      </c>
      <c r="J55" s="3"/>
    </row>
    <row r="56" spans="1:10">
      <c r="A56" s="14" t="s">
        <v>320</v>
      </c>
      <c r="B56" s="27" t="s">
        <v>1283</v>
      </c>
      <c r="C56" s="28">
        <f>IF(ISNUMBER(Exam[[#This Row],[Total]]),ROUND(Exam[[#This Row],[Total]]/$I$5*100,0),"")</f>
        <v>60</v>
      </c>
      <c r="D56" s="2">
        <f>IF(NOT(ISBLANK(Exam[[#This Row],[Student No.]])), _xlfn.IFNA(INDEX(exam_mcq[LenientTotalMark],MATCH(Exam[[#This Row],[Student No.]],exam_mcq[StudentNumberText],0)), ""),  "No student!")</f>
        <v>17</v>
      </c>
      <c r="E56" s="2">
        <v>16</v>
      </c>
      <c r="F56" s="2">
        <v>12</v>
      </c>
      <c r="G56" s="2">
        <v>12</v>
      </c>
      <c r="H56" s="2">
        <f>IF(NOT(Exam[[#This Row],[Student No.]]=""),(IF(COUNTBLANK(Exam[[#This Row],[Q2]:[Q4]])=0,SUM(Exam[[#This Row],[Q2]:[Q4]]),"")),"")</f>
        <v>40</v>
      </c>
      <c r="I56" s="6">
        <f>IF(NOT(Exam[[#This Row],[Student No.]]=""),(IF(COUNTBLANK(Exam[[#This Row],[MCQ]:[Q4]])=0,SUM(Exam[[#This Row],[MCQ]:[Q4]]),"")),"")</f>
        <v>57</v>
      </c>
      <c r="J56" s="3"/>
    </row>
    <row r="57" spans="1:10">
      <c r="A57" s="14" t="s">
        <v>321</v>
      </c>
      <c r="B57" s="27" t="s">
        <v>1284</v>
      </c>
      <c r="C57" s="28">
        <f>IF(ISNUMBER(Exam[[#This Row],[Total]]),ROUND(Exam[[#This Row],[Total]]/$I$5*100,0),"")</f>
        <v>74</v>
      </c>
      <c r="D57" s="2">
        <f>IF(NOT(ISBLANK(Exam[[#This Row],[Student No.]])), _xlfn.IFNA(INDEX(exam_mcq[LenientTotalMark],MATCH(Exam[[#This Row],[Student No.]],exam_mcq[StudentNumberText],0)), ""),  "No student!")</f>
        <v>18</v>
      </c>
      <c r="E57" s="2">
        <v>12</v>
      </c>
      <c r="F57" s="2">
        <v>22</v>
      </c>
      <c r="G57" s="2">
        <v>18</v>
      </c>
      <c r="H57" s="2">
        <f>IF(NOT(Exam[[#This Row],[Student No.]]=""),(IF(COUNTBLANK(Exam[[#This Row],[Q2]:[Q4]])=0,SUM(Exam[[#This Row],[Q2]:[Q4]]),"")),"")</f>
        <v>52</v>
      </c>
      <c r="I57" s="6">
        <f>IF(NOT(Exam[[#This Row],[Student No.]]=""),(IF(COUNTBLANK(Exam[[#This Row],[MCQ]:[Q4]])=0,SUM(Exam[[#This Row],[MCQ]:[Q4]]),"")),"")</f>
        <v>70</v>
      </c>
      <c r="J57" s="3"/>
    </row>
    <row r="58" spans="1:10">
      <c r="A58" s="14" t="s">
        <v>323</v>
      </c>
      <c r="B58" s="27" t="s">
        <v>1286</v>
      </c>
      <c r="C58" s="28">
        <f>IF(ISNUMBER(Exam[[#This Row],[Total]]),ROUND(Exam[[#This Row],[Total]]/$I$5*100,0),"")</f>
        <v>55</v>
      </c>
      <c r="D58" s="2">
        <f>IF(NOT(ISBLANK(Exam[[#This Row],[Student No.]])), _xlfn.IFNA(INDEX(exam_mcq[LenientTotalMark],MATCH(Exam[[#This Row],[Student No.]],exam_mcq[StudentNumberText],0)), ""),  "No student!")</f>
        <v>22</v>
      </c>
      <c r="E58" s="2">
        <v>3</v>
      </c>
      <c r="F58" s="2">
        <v>18</v>
      </c>
      <c r="G58" s="2">
        <v>9</v>
      </c>
      <c r="H58" s="2">
        <f>IF(NOT(Exam[[#This Row],[Student No.]]=""),(IF(COUNTBLANK(Exam[[#This Row],[Q2]:[Q4]])=0,SUM(Exam[[#This Row],[Q2]:[Q4]]),"")),"")</f>
        <v>30</v>
      </c>
      <c r="I58" s="6">
        <f>IF(NOT(Exam[[#This Row],[Student No.]]=""),(IF(COUNTBLANK(Exam[[#This Row],[MCQ]:[Q4]])=0,SUM(Exam[[#This Row],[MCQ]:[Q4]]),"")),"")</f>
        <v>52</v>
      </c>
      <c r="J58" s="3"/>
    </row>
    <row r="59" spans="1:10">
      <c r="A59" s="14" t="s">
        <v>322</v>
      </c>
      <c r="B59" s="27" t="s">
        <v>1285</v>
      </c>
      <c r="C59" s="28">
        <f>IF(ISNUMBER(Exam[[#This Row],[Total]]),ROUND(Exam[[#This Row],[Total]]/$I$5*100,0),"")</f>
        <v>54</v>
      </c>
      <c r="D59" s="2">
        <f>IF(NOT(ISBLANK(Exam[[#This Row],[Student No.]])), _xlfn.IFNA(INDEX(exam_mcq[LenientTotalMark],MATCH(Exam[[#This Row],[Student No.]],exam_mcq[StudentNumberText],0)), ""),  "No student!")</f>
        <v>22</v>
      </c>
      <c r="E59" s="2">
        <v>9</v>
      </c>
      <c r="F59" s="2">
        <v>11</v>
      </c>
      <c r="G59" s="2">
        <v>9</v>
      </c>
      <c r="H59" s="2">
        <f>IF(NOT(Exam[[#This Row],[Student No.]]=""),(IF(COUNTBLANK(Exam[[#This Row],[Q2]:[Q4]])=0,SUM(Exam[[#This Row],[Q2]:[Q4]]),"")),"")</f>
        <v>29</v>
      </c>
      <c r="I59" s="6">
        <f>IF(NOT(Exam[[#This Row],[Student No.]]=""),(IF(COUNTBLANK(Exam[[#This Row],[MCQ]:[Q4]])=0,SUM(Exam[[#This Row],[MCQ]:[Q4]]),"")),"")</f>
        <v>51</v>
      </c>
      <c r="J59" s="3"/>
    </row>
    <row r="60" spans="1:10">
      <c r="A60" s="14" t="s">
        <v>324</v>
      </c>
      <c r="B60" s="27" t="s">
        <v>1287</v>
      </c>
      <c r="C60" s="28">
        <f>IF(ISNUMBER(Exam[[#This Row],[Total]]),ROUND(Exam[[#This Row],[Total]]/$I$5*100,0),"")</f>
        <v>28</v>
      </c>
      <c r="D60" s="2">
        <f>IF(NOT(ISBLANK(Exam[[#This Row],[Student No.]])), _xlfn.IFNA(INDEX(exam_mcq[LenientTotalMark],MATCH(Exam[[#This Row],[Student No.]],exam_mcq[StudentNumberText],0)), ""),  "No student!")</f>
        <v>17</v>
      </c>
      <c r="E60" s="2">
        <v>0</v>
      </c>
      <c r="F60" s="2">
        <v>10</v>
      </c>
      <c r="G60" s="2">
        <v>0</v>
      </c>
      <c r="H60" s="2">
        <f>IF(NOT(Exam[[#This Row],[Student No.]]=""),(IF(COUNTBLANK(Exam[[#This Row],[Q2]:[Q4]])=0,SUM(Exam[[#This Row],[Q2]:[Q4]]),"")),"")</f>
        <v>10</v>
      </c>
      <c r="I60" s="6">
        <f>IF(NOT(Exam[[#This Row],[Student No.]]=""),(IF(COUNTBLANK(Exam[[#This Row],[MCQ]:[Q4]])=0,SUM(Exam[[#This Row],[MCQ]:[Q4]]),"")),"")</f>
        <v>27</v>
      </c>
      <c r="J60" s="3"/>
    </row>
    <row r="61" spans="1:10">
      <c r="A61" s="14" t="s">
        <v>325</v>
      </c>
      <c r="B61" s="27" t="s">
        <v>1053</v>
      </c>
      <c r="C61" s="28">
        <f>IF(ISNUMBER(Exam[[#This Row],[Total]]),ROUND(Exam[[#This Row],[Total]]/$I$5*100,0),"")</f>
        <v>16</v>
      </c>
      <c r="D61" s="2">
        <f>IF(NOT(ISBLANK(Exam[[#This Row],[Student No.]])), _xlfn.IFNA(INDEX(exam_mcq[LenientTotalMark],MATCH(Exam[[#This Row],[Student No.]],exam_mcq[StudentNumberText],0)), ""),  "No student!")</f>
        <v>10</v>
      </c>
      <c r="E61" s="2">
        <v>2</v>
      </c>
      <c r="F61" s="2">
        <v>3</v>
      </c>
      <c r="G61" s="2">
        <v>0</v>
      </c>
      <c r="H61" s="2">
        <f>IF(NOT(Exam[[#This Row],[Student No.]]=""),(IF(COUNTBLANK(Exam[[#This Row],[Q2]:[Q4]])=0,SUM(Exam[[#This Row],[Q2]:[Q4]]),"")),"")</f>
        <v>5</v>
      </c>
      <c r="I61" s="6">
        <f>IF(NOT(Exam[[#This Row],[Student No.]]=""),(IF(COUNTBLANK(Exam[[#This Row],[MCQ]:[Q4]])=0,SUM(Exam[[#This Row],[MCQ]:[Q4]]),"")),"")</f>
        <v>15</v>
      </c>
      <c r="J61" s="3"/>
    </row>
    <row r="62" spans="1:10">
      <c r="A62" s="14" t="s">
        <v>326</v>
      </c>
      <c r="B62" s="27" t="s">
        <v>1288</v>
      </c>
      <c r="C62" s="28">
        <f>IF(ISNUMBER(Exam[[#This Row],[Total]]),ROUND(Exam[[#This Row],[Total]]/$I$5*100,0),"")</f>
        <v>26</v>
      </c>
      <c r="D62" s="2">
        <f>IF(NOT(ISBLANK(Exam[[#This Row],[Student No.]])), _xlfn.IFNA(INDEX(exam_mcq[LenientTotalMark],MATCH(Exam[[#This Row],[Student No.]],exam_mcq[StudentNumberText],0)), ""),  "No student!")</f>
        <v>14</v>
      </c>
      <c r="E62" s="2">
        <v>0</v>
      </c>
      <c r="F62" s="2">
        <v>10</v>
      </c>
      <c r="G62" s="2">
        <v>1</v>
      </c>
      <c r="H62" s="2">
        <f>IF(NOT(Exam[[#This Row],[Student No.]]=""),(IF(COUNTBLANK(Exam[[#This Row],[Q2]:[Q4]])=0,SUM(Exam[[#This Row],[Q2]:[Q4]]),"")),"")</f>
        <v>11</v>
      </c>
      <c r="I62" s="6">
        <f>IF(NOT(Exam[[#This Row],[Student No.]]=""),(IF(COUNTBLANK(Exam[[#This Row],[MCQ]:[Q4]])=0,SUM(Exam[[#This Row],[MCQ]:[Q4]]),"")),"")</f>
        <v>25</v>
      </c>
      <c r="J62" s="3"/>
    </row>
    <row r="63" spans="1:10">
      <c r="A63" s="14" t="s">
        <v>327</v>
      </c>
      <c r="B63" s="27" t="s">
        <v>1289</v>
      </c>
      <c r="C63" s="28">
        <f>IF(ISNUMBER(Exam[[#This Row],[Total]]),ROUND(Exam[[#This Row],[Total]]/$I$5*100,0),"")</f>
        <v>14</v>
      </c>
      <c r="D63" s="2">
        <f>IF(NOT(ISBLANK(Exam[[#This Row],[Student No.]])), _xlfn.IFNA(INDEX(exam_mcq[LenientTotalMark],MATCH(Exam[[#This Row],[Student No.]],exam_mcq[StudentNumberText],0)), ""),  "No student!")</f>
        <v>12</v>
      </c>
      <c r="E63" s="2">
        <v>0</v>
      </c>
      <c r="F63" s="2">
        <v>1</v>
      </c>
      <c r="G63" s="2">
        <v>0</v>
      </c>
      <c r="H63" s="2">
        <f>IF(NOT(Exam[[#This Row],[Student No.]]=""),(IF(COUNTBLANK(Exam[[#This Row],[Q2]:[Q4]])=0,SUM(Exam[[#This Row],[Q2]:[Q4]]),"")),"")</f>
        <v>1</v>
      </c>
      <c r="I63" s="6">
        <f>IF(NOT(Exam[[#This Row],[Student No.]]=""),(IF(COUNTBLANK(Exam[[#This Row],[MCQ]:[Q4]])=0,SUM(Exam[[#This Row],[MCQ]:[Q4]]),"")),"")</f>
        <v>13</v>
      </c>
      <c r="J63" s="3"/>
    </row>
    <row r="64" spans="1:10">
      <c r="A64" s="14" t="s">
        <v>328</v>
      </c>
      <c r="B64" s="27" t="s">
        <v>1290</v>
      </c>
      <c r="C64" s="28">
        <f>IF(ISNUMBER(Exam[[#This Row],[Total]]),ROUND(Exam[[#This Row],[Total]]/$I$5*100,0),"")</f>
        <v>29</v>
      </c>
      <c r="D64" s="2">
        <f>IF(NOT(ISBLANK(Exam[[#This Row],[Student No.]])), _xlfn.IFNA(INDEX(exam_mcq[LenientTotalMark],MATCH(Exam[[#This Row],[Student No.]],exam_mcq[StudentNumberText],0)), ""),  "No student!")</f>
        <v>11</v>
      </c>
      <c r="E64" s="2">
        <v>2</v>
      </c>
      <c r="F64" s="2">
        <v>15</v>
      </c>
      <c r="G64" s="2">
        <v>0</v>
      </c>
      <c r="H64" s="2">
        <f>IF(NOT(Exam[[#This Row],[Student No.]]=""),(IF(COUNTBLANK(Exam[[#This Row],[Q2]:[Q4]])=0,SUM(Exam[[#This Row],[Q2]:[Q4]]),"")),"")</f>
        <v>17</v>
      </c>
      <c r="I64" s="6">
        <f>IF(NOT(Exam[[#This Row],[Student No.]]=""),(IF(COUNTBLANK(Exam[[#This Row],[MCQ]:[Q4]])=0,SUM(Exam[[#This Row],[MCQ]:[Q4]]),"")),"")</f>
        <v>28</v>
      </c>
      <c r="J64" s="3"/>
    </row>
    <row r="65" spans="1:10">
      <c r="A65" s="162" t="s">
        <v>329</v>
      </c>
      <c r="B65" s="163" t="s">
        <v>1291</v>
      </c>
      <c r="C65" s="28" t="str">
        <f>IF(ISNUMBER(Exam[[#This Row],[Total]]),ROUND(Exam[[#This Row],[Total]]/$I$5*100,0),"")</f>
        <v/>
      </c>
      <c r="D65" s="2" t="str">
        <f>IF(NOT(ISBLANK(Exam[[#This Row],[Student No.]])), _xlfn.IFNA(INDEX(exam_mcq[LenientTotalMark],MATCH(Exam[[#This Row],[Student No.]],exam_mcq[StudentNumberText],0)), ""),  "No student!")</f>
        <v/>
      </c>
      <c r="H65" s="2" t="str">
        <f>IF(NOT(Exam[[#This Row],[Student No.]]=""),(IF(COUNTBLANK(Exam[[#This Row],[Q2]:[Q4]])=0,SUM(Exam[[#This Row],[Q2]:[Q4]]),"")),"")</f>
        <v/>
      </c>
      <c r="I65" s="6" t="str">
        <f>IF(NOT(Exam[[#This Row],[Student No.]]=""),(IF(COUNTBLANK(Exam[[#This Row],[MCQ]:[Q4]])=0,SUM(Exam[[#This Row],[MCQ]:[Q4]]),"")),"")</f>
        <v/>
      </c>
      <c r="J65" s="3" t="s">
        <v>1038</v>
      </c>
    </row>
    <row r="66" spans="1:10">
      <c r="A66" s="14" t="s">
        <v>330</v>
      </c>
      <c r="B66" s="27" t="s">
        <v>1292</v>
      </c>
      <c r="C66" s="28">
        <f>IF(ISNUMBER(Exam[[#This Row],[Total]]),ROUND(Exam[[#This Row],[Total]]/$I$5*100,0),"")</f>
        <v>20</v>
      </c>
      <c r="D66" s="2">
        <f>IF(NOT(ISBLANK(Exam[[#This Row],[Student No.]])), _xlfn.IFNA(INDEX(exam_mcq[LenientTotalMark],MATCH(Exam[[#This Row],[Student No.]],exam_mcq[StudentNumberText],0)), ""),  "No student!")</f>
        <v>14</v>
      </c>
      <c r="E66" s="2">
        <v>2</v>
      </c>
      <c r="F66" s="2">
        <v>3</v>
      </c>
      <c r="G66" s="2">
        <v>0</v>
      </c>
      <c r="H66" s="2">
        <f>IF(NOT(Exam[[#This Row],[Student No.]]=""),(IF(COUNTBLANK(Exam[[#This Row],[Q2]:[Q4]])=0,SUM(Exam[[#This Row],[Q2]:[Q4]]),"")),"")</f>
        <v>5</v>
      </c>
      <c r="I66" s="6">
        <f>IF(NOT(Exam[[#This Row],[Student No.]]=""),(IF(COUNTBLANK(Exam[[#This Row],[MCQ]:[Q4]])=0,SUM(Exam[[#This Row],[MCQ]:[Q4]]),"")),"")</f>
        <v>19</v>
      </c>
      <c r="J66" s="3"/>
    </row>
    <row r="67" spans="1:10">
      <c r="A67" s="14" t="s">
        <v>331</v>
      </c>
      <c r="B67" s="27" t="s">
        <v>1126</v>
      </c>
      <c r="C67" s="28">
        <f>IF(ISNUMBER(Exam[[#This Row],[Total]]),ROUND(Exam[[#This Row],[Total]]/$I$5*100,0),"")</f>
        <v>40</v>
      </c>
      <c r="D67" s="2">
        <f>IF(NOT(ISBLANK(Exam[[#This Row],[Student No.]])), _xlfn.IFNA(INDEX(exam_mcq[LenientTotalMark],MATCH(Exam[[#This Row],[Student No.]],exam_mcq[StudentNumberText],0)), ""),  "No student!")</f>
        <v>13</v>
      </c>
      <c r="E67" s="2">
        <v>4</v>
      </c>
      <c r="F67" s="2">
        <v>14</v>
      </c>
      <c r="G67" s="2">
        <v>7</v>
      </c>
      <c r="H67" s="2">
        <f>IF(NOT(Exam[[#This Row],[Student No.]]=""),(IF(COUNTBLANK(Exam[[#This Row],[Q2]:[Q4]])=0,SUM(Exam[[#This Row],[Q2]:[Q4]]),"")),"")</f>
        <v>25</v>
      </c>
      <c r="I67" s="6">
        <f>IF(NOT(Exam[[#This Row],[Student No.]]=""),(IF(COUNTBLANK(Exam[[#This Row],[MCQ]:[Q4]])=0,SUM(Exam[[#This Row],[MCQ]:[Q4]]),"")),"")</f>
        <v>38</v>
      </c>
      <c r="J67" s="3"/>
    </row>
    <row r="68" spans="1:10">
      <c r="A68" s="14" t="s">
        <v>332</v>
      </c>
      <c r="B68" s="27" t="s">
        <v>1201</v>
      </c>
      <c r="C68" s="28" t="str">
        <f>IF(ISNUMBER(Exam[[#This Row],[Total]]),ROUND(Exam[[#This Row],[Total]]/$I$5*100,0),"")</f>
        <v/>
      </c>
      <c r="D68" s="2" t="str">
        <f>IF(NOT(ISBLANK(Exam[[#This Row],[Student No.]])), _xlfn.IFNA(INDEX(exam_mcq[LenientTotalMark],MATCH(Exam[[#This Row],[Student No.]],exam_mcq[StudentNumberText],0)), ""),  "No student!")</f>
        <v/>
      </c>
      <c r="H68" s="2" t="str">
        <f>IF(NOT(Exam[[#This Row],[Student No.]]=""),(IF(COUNTBLANK(Exam[[#This Row],[Q2]:[Q4]])=0,SUM(Exam[[#This Row],[Q2]:[Q4]]),"")),"")</f>
        <v/>
      </c>
      <c r="I68" s="6" t="str">
        <f>IF(NOT(Exam[[#This Row],[Student No.]]=""),(IF(COUNTBLANK(Exam[[#This Row],[MCQ]:[Q4]])=0,SUM(Exam[[#This Row],[MCQ]:[Q4]]),"")),"")</f>
        <v/>
      </c>
      <c r="J68" s="3" t="s">
        <v>1026</v>
      </c>
    </row>
    <row r="69" spans="1:10">
      <c r="A69" s="14" t="s">
        <v>333</v>
      </c>
      <c r="B69" s="27" t="s">
        <v>1293</v>
      </c>
      <c r="C69" s="28">
        <f>IF(ISNUMBER(Exam[[#This Row],[Total]]),ROUND(Exam[[#This Row],[Total]]/$I$5*100,0),"")</f>
        <v>32</v>
      </c>
      <c r="D69" s="2">
        <f>IF(NOT(ISBLANK(Exam[[#This Row],[Student No.]])), _xlfn.IFNA(INDEX(exam_mcq[LenientTotalMark],MATCH(Exam[[#This Row],[Student No.]],exam_mcq[StudentNumberText],0)), ""),  "No student!")</f>
        <v>7</v>
      </c>
      <c r="E69" s="2">
        <v>0</v>
      </c>
      <c r="F69" s="2">
        <v>14</v>
      </c>
      <c r="G69" s="2">
        <v>9</v>
      </c>
      <c r="H69" s="2">
        <f>IF(NOT(Exam[[#This Row],[Student No.]]=""),(IF(COUNTBLANK(Exam[[#This Row],[Q2]:[Q4]])=0,SUM(Exam[[#This Row],[Q2]:[Q4]]),"")),"")</f>
        <v>23</v>
      </c>
      <c r="I69" s="6">
        <f>IF(NOT(Exam[[#This Row],[Student No.]]=""),(IF(COUNTBLANK(Exam[[#This Row],[MCQ]:[Q4]])=0,SUM(Exam[[#This Row],[MCQ]:[Q4]]),"")),"")</f>
        <v>30</v>
      </c>
      <c r="J69" s="3"/>
    </row>
    <row r="70" spans="1:10">
      <c r="A70" s="14" t="s">
        <v>334</v>
      </c>
      <c r="B70" s="27" t="s">
        <v>1111</v>
      </c>
      <c r="C70" s="28">
        <f>IF(ISNUMBER(Exam[[#This Row],[Total]]),ROUND(Exam[[#This Row],[Total]]/$I$5*100,0),"")</f>
        <v>41</v>
      </c>
      <c r="D70" s="2">
        <f>IF(NOT(ISBLANK(Exam[[#This Row],[Student No.]])), _xlfn.IFNA(INDEX(exam_mcq[LenientTotalMark],MATCH(Exam[[#This Row],[Student No.]],exam_mcq[StudentNumberText],0)), ""),  "No student!")</f>
        <v>15</v>
      </c>
      <c r="E70" s="2">
        <v>3</v>
      </c>
      <c r="F70" s="2">
        <v>15</v>
      </c>
      <c r="G70" s="2">
        <v>6</v>
      </c>
      <c r="H70" s="2">
        <f>IF(NOT(Exam[[#This Row],[Student No.]]=""),(IF(COUNTBLANK(Exam[[#This Row],[Q2]:[Q4]])=0,SUM(Exam[[#This Row],[Q2]:[Q4]]),"")),"")</f>
        <v>24</v>
      </c>
      <c r="I70" s="6">
        <f>IF(NOT(Exam[[#This Row],[Student No.]]=""),(IF(COUNTBLANK(Exam[[#This Row],[MCQ]:[Q4]])=0,SUM(Exam[[#This Row],[MCQ]:[Q4]]),"")),"")</f>
        <v>39</v>
      </c>
      <c r="J70" s="3"/>
    </row>
    <row r="71" spans="1:10">
      <c r="A71" s="14" t="s">
        <v>335</v>
      </c>
      <c r="B71" s="27" t="s">
        <v>1294</v>
      </c>
      <c r="C71" s="28">
        <f>IF(ISNUMBER(Exam[[#This Row],[Total]]),ROUND(Exam[[#This Row],[Total]]/$I$5*100,0),"")</f>
        <v>60</v>
      </c>
      <c r="D71" s="2">
        <f>IF(NOT(ISBLANK(Exam[[#This Row],[Student No.]])), _xlfn.IFNA(INDEX(exam_mcq[LenientTotalMark],MATCH(Exam[[#This Row],[Student No.]],exam_mcq[StudentNumberText],0)), ""),  "No student!")</f>
        <v>13</v>
      </c>
      <c r="E71" s="2">
        <v>8</v>
      </c>
      <c r="F71" s="2">
        <v>19</v>
      </c>
      <c r="G71" s="2">
        <v>17</v>
      </c>
      <c r="H71" s="2">
        <f>IF(NOT(Exam[[#This Row],[Student No.]]=""),(IF(COUNTBLANK(Exam[[#This Row],[Q2]:[Q4]])=0,SUM(Exam[[#This Row],[Q2]:[Q4]]),"")),"")</f>
        <v>44</v>
      </c>
      <c r="I71" s="6">
        <f>IF(NOT(Exam[[#This Row],[Student No.]]=""),(IF(COUNTBLANK(Exam[[#This Row],[MCQ]:[Q4]])=0,SUM(Exam[[#This Row],[MCQ]:[Q4]]),"")),"")</f>
        <v>57</v>
      </c>
      <c r="J71" s="3"/>
    </row>
    <row r="72" spans="1:10">
      <c r="A72" s="14" t="s">
        <v>336</v>
      </c>
      <c r="B72" s="27" t="s">
        <v>1295</v>
      </c>
      <c r="C72" s="28">
        <f>IF(ISNUMBER(Exam[[#This Row],[Total]]),ROUND(Exam[[#This Row],[Total]]/$I$5*100,0),"")</f>
        <v>12</v>
      </c>
      <c r="D72" s="2">
        <f>IF(NOT(ISBLANK(Exam[[#This Row],[Student No.]])), _xlfn.IFNA(INDEX(exam_mcq[LenientTotalMark],MATCH(Exam[[#This Row],[Student No.]],exam_mcq[StudentNumberText],0)), ""),  "No student!")</f>
        <v>7</v>
      </c>
      <c r="E72" s="2">
        <v>0</v>
      </c>
      <c r="F72" s="2">
        <v>3</v>
      </c>
      <c r="G72" s="2">
        <v>1</v>
      </c>
      <c r="H72" s="2">
        <f>IF(NOT(Exam[[#This Row],[Student No.]]=""),(IF(COUNTBLANK(Exam[[#This Row],[Q2]:[Q4]])=0,SUM(Exam[[#This Row],[Q2]:[Q4]]),"")),"")</f>
        <v>4</v>
      </c>
      <c r="I72" s="6">
        <f>IF(NOT(Exam[[#This Row],[Student No.]]=""),(IF(COUNTBLANK(Exam[[#This Row],[MCQ]:[Q4]])=0,SUM(Exam[[#This Row],[MCQ]:[Q4]]),"")),"")</f>
        <v>11</v>
      </c>
      <c r="J72" s="3"/>
    </row>
    <row r="73" spans="1:10">
      <c r="A73" s="14" t="s">
        <v>337</v>
      </c>
      <c r="B73" s="27" t="s">
        <v>1057</v>
      </c>
      <c r="C73" s="28">
        <f>IF(ISNUMBER(Exam[[#This Row],[Total]]),ROUND(Exam[[#This Row],[Total]]/$I$5*100,0),"")</f>
        <v>24</v>
      </c>
      <c r="D73" s="2">
        <f>IF(NOT(ISBLANK(Exam[[#This Row],[Student No.]])), _xlfn.IFNA(INDEX(exam_mcq[LenientTotalMark],MATCH(Exam[[#This Row],[Student No.]],exam_mcq[StudentNumberText],0)), ""),  "No student!")</f>
        <v>15</v>
      </c>
      <c r="E73" s="2">
        <v>2</v>
      </c>
      <c r="F73" s="2">
        <v>4</v>
      </c>
      <c r="G73" s="2">
        <v>2</v>
      </c>
      <c r="H73" s="2">
        <f>IF(NOT(Exam[[#This Row],[Student No.]]=""),(IF(COUNTBLANK(Exam[[#This Row],[Q2]:[Q4]])=0,SUM(Exam[[#This Row],[Q2]:[Q4]]),"")),"")</f>
        <v>8</v>
      </c>
      <c r="I73" s="6">
        <f>IF(NOT(Exam[[#This Row],[Student No.]]=""),(IF(COUNTBLANK(Exam[[#This Row],[MCQ]:[Q4]])=0,SUM(Exam[[#This Row],[MCQ]:[Q4]]),"")),"")</f>
        <v>23</v>
      </c>
      <c r="J73" s="3"/>
    </row>
    <row r="74" spans="1:10">
      <c r="A74" s="14" t="s">
        <v>338</v>
      </c>
      <c r="B74" s="27" t="s">
        <v>1148</v>
      </c>
      <c r="C74" s="28">
        <f>IF(ISNUMBER(Exam[[#This Row],[Total]]),ROUND(Exam[[#This Row],[Total]]/$I$5*100,0),"")</f>
        <v>52</v>
      </c>
      <c r="D74" s="2">
        <f>IF(NOT(ISBLANK(Exam[[#This Row],[Student No.]])), _xlfn.IFNA(INDEX(exam_mcq[LenientTotalMark],MATCH(Exam[[#This Row],[Student No.]],exam_mcq[StudentNumberText],0)), ""),  "No student!")</f>
        <v>18</v>
      </c>
      <c r="E74" s="2">
        <v>0</v>
      </c>
      <c r="F74" s="2">
        <v>21</v>
      </c>
      <c r="G74" s="2">
        <v>10</v>
      </c>
      <c r="H74" s="2">
        <f>IF(NOT(Exam[[#This Row],[Student No.]]=""),(IF(COUNTBLANK(Exam[[#This Row],[Q2]:[Q4]])=0,SUM(Exam[[#This Row],[Q2]:[Q4]]),"")),"")</f>
        <v>31</v>
      </c>
      <c r="I74" s="6">
        <f>IF(NOT(Exam[[#This Row],[Student No.]]=""),(IF(COUNTBLANK(Exam[[#This Row],[MCQ]:[Q4]])=0,SUM(Exam[[#This Row],[MCQ]:[Q4]]),"")),"")</f>
        <v>49</v>
      </c>
      <c r="J74" s="3"/>
    </row>
    <row r="75" spans="1:10">
      <c r="A75" s="14" t="s">
        <v>339</v>
      </c>
      <c r="B75" s="27" t="s">
        <v>1200</v>
      </c>
      <c r="C75" s="28" t="str">
        <f>IF(ISNUMBER(Exam[[#This Row],[Total]]),ROUND(Exam[[#This Row],[Total]]/$I$5*100,0),"")</f>
        <v/>
      </c>
      <c r="D75" s="2" t="str">
        <f>IF(NOT(ISBLANK(Exam[[#This Row],[Student No.]])), _xlfn.IFNA(INDEX(exam_mcq[LenientTotalMark],MATCH(Exam[[#This Row],[Student No.]],exam_mcq[StudentNumberText],0)), ""),  "No student!")</f>
        <v/>
      </c>
      <c r="H75" s="2" t="str">
        <f>IF(NOT(Exam[[#This Row],[Student No.]]=""),(IF(COUNTBLANK(Exam[[#This Row],[Q2]:[Q4]])=0,SUM(Exam[[#This Row],[Q2]:[Q4]]),"")),"")</f>
        <v/>
      </c>
      <c r="I75" s="6" t="str">
        <f>IF(NOT(Exam[[#This Row],[Student No.]]=""),(IF(COUNTBLANK(Exam[[#This Row],[MCQ]:[Q4]])=0,SUM(Exam[[#This Row],[MCQ]:[Q4]]),"")),"")</f>
        <v/>
      </c>
      <c r="J75" s="3" t="s">
        <v>1027</v>
      </c>
    </row>
    <row r="76" spans="1:10">
      <c r="A76" s="14" t="s">
        <v>340</v>
      </c>
      <c r="B76" s="27" t="s">
        <v>1092</v>
      </c>
      <c r="C76" s="28">
        <f>IF(ISNUMBER(Exam[[#This Row],[Total]]),ROUND(Exam[[#This Row],[Total]]/$I$5*100,0),"")</f>
        <v>23</v>
      </c>
      <c r="D76" s="2">
        <f>IF(NOT(ISBLANK(Exam[[#This Row],[Student No.]])), _xlfn.IFNA(INDEX(exam_mcq[LenientTotalMark],MATCH(Exam[[#This Row],[Student No.]],exam_mcq[StudentNumberText],0)), ""),  "No student!")</f>
        <v>7</v>
      </c>
      <c r="E76" s="2">
        <v>2</v>
      </c>
      <c r="F76" s="2">
        <v>8</v>
      </c>
      <c r="G76" s="2">
        <v>5</v>
      </c>
      <c r="H76" s="2">
        <f>IF(NOT(Exam[[#This Row],[Student No.]]=""),(IF(COUNTBLANK(Exam[[#This Row],[Q2]:[Q4]])=0,SUM(Exam[[#This Row],[Q2]:[Q4]]),"")),"")</f>
        <v>15</v>
      </c>
      <c r="I76" s="6">
        <f>IF(NOT(Exam[[#This Row],[Student No.]]=""),(IF(COUNTBLANK(Exam[[#This Row],[MCQ]:[Q4]])=0,SUM(Exam[[#This Row],[MCQ]:[Q4]]),"")),"")</f>
        <v>22</v>
      </c>
      <c r="J76" s="3"/>
    </row>
    <row r="77" spans="1:10">
      <c r="A77" s="14" t="s">
        <v>341</v>
      </c>
      <c r="B77" s="27" t="s">
        <v>1073</v>
      </c>
      <c r="C77" s="28">
        <f>IF(ISNUMBER(Exam[[#This Row],[Total]]),ROUND(Exam[[#This Row],[Total]]/$I$5*100,0),"")</f>
        <v>35</v>
      </c>
      <c r="D77" s="2">
        <f>IF(NOT(ISBLANK(Exam[[#This Row],[Student No.]])), _xlfn.IFNA(INDEX(exam_mcq[LenientTotalMark],MATCH(Exam[[#This Row],[Student No.]],exam_mcq[StudentNumberText],0)), ""),  "No student!")</f>
        <v>18</v>
      </c>
      <c r="E77" s="2">
        <v>2</v>
      </c>
      <c r="F77" s="2">
        <v>9</v>
      </c>
      <c r="G77" s="2">
        <v>4</v>
      </c>
      <c r="H77" s="2">
        <f>IF(NOT(Exam[[#This Row],[Student No.]]=""),(IF(COUNTBLANK(Exam[[#This Row],[Q2]:[Q4]])=0,SUM(Exam[[#This Row],[Q2]:[Q4]]),"")),"")</f>
        <v>15</v>
      </c>
      <c r="I77" s="6">
        <f>IF(NOT(Exam[[#This Row],[Student No.]]=""),(IF(COUNTBLANK(Exam[[#This Row],[MCQ]:[Q4]])=0,SUM(Exam[[#This Row],[MCQ]:[Q4]]),"")),"")</f>
        <v>33</v>
      </c>
      <c r="J77" s="3"/>
    </row>
    <row r="78" spans="1:10">
      <c r="A78" s="14" t="s">
        <v>342</v>
      </c>
      <c r="B78" s="27" t="s">
        <v>1052</v>
      </c>
      <c r="C78" s="28">
        <f>IF(ISNUMBER(Exam[[#This Row],[Total]]),ROUND(Exam[[#This Row],[Total]]/$I$5*100,0),"")</f>
        <v>27</v>
      </c>
      <c r="D78" s="2">
        <f>IF(NOT(ISBLANK(Exam[[#This Row],[Student No.]])), _xlfn.IFNA(INDEX(exam_mcq[LenientTotalMark],MATCH(Exam[[#This Row],[Student No.]],exam_mcq[StudentNumberText],0)), ""),  "No student!")</f>
        <v>9</v>
      </c>
      <c r="E78" s="2">
        <v>2</v>
      </c>
      <c r="F78" s="2">
        <v>13</v>
      </c>
      <c r="G78" s="2">
        <v>2</v>
      </c>
      <c r="H78" s="2">
        <f>IF(NOT(Exam[[#This Row],[Student No.]]=""),(IF(COUNTBLANK(Exam[[#This Row],[Q2]:[Q4]])=0,SUM(Exam[[#This Row],[Q2]:[Q4]]),"")),"")</f>
        <v>17</v>
      </c>
      <c r="I78" s="6">
        <f>IF(NOT(Exam[[#This Row],[Student No.]]=""),(IF(COUNTBLANK(Exam[[#This Row],[MCQ]:[Q4]])=0,SUM(Exam[[#This Row],[MCQ]:[Q4]]),"")),"")</f>
        <v>26</v>
      </c>
      <c r="J78" s="3"/>
    </row>
    <row r="79" spans="1:10">
      <c r="A79" s="14" t="s">
        <v>343</v>
      </c>
      <c r="B79" s="27" t="s">
        <v>1047</v>
      </c>
      <c r="C79" s="28">
        <f>IF(ISNUMBER(Exam[[#This Row],[Total]]),ROUND(Exam[[#This Row],[Total]]/$I$5*100,0),"")</f>
        <v>7</v>
      </c>
      <c r="D79" s="2">
        <f>IF(NOT(ISBLANK(Exam[[#This Row],[Student No.]])), _xlfn.IFNA(INDEX(exam_mcq[LenientTotalMark],MATCH(Exam[[#This Row],[Student No.]],exam_mcq[StudentNumberText],0)), ""),  "No student!")</f>
        <v>5</v>
      </c>
      <c r="E79" s="2">
        <v>1</v>
      </c>
      <c r="F79" s="2">
        <v>0</v>
      </c>
      <c r="G79" s="2">
        <v>1</v>
      </c>
      <c r="H79" s="2">
        <f>IF(NOT(Exam[[#This Row],[Student No.]]=""),(IF(COUNTBLANK(Exam[[#This Row],[Q2]:[Q4]])=0,SUM(Exam[[#This Row],[Q2]:[Q4]]),"")),"")</f>
        <v>2</v>
      </c>
      <c r="I79" s="6">
        <f>IF(NOT(Exam[[#This Row],[Student No.]]=""),(IF(COUNTBLANK(Exam[[#This Row],[MCQ]:[Q4]])=0,SUM(Exam[[#This Row],[MCQ]:[Q4]]),"")),"")</f>
        <v>7</v>
      </c>
      <c r="J79" s="3"/>
    </row>
    <row r="80" spans="1:10">
      <c r="A80" s="14" t="s">
        <v>344</v>
      </c>
      <c r="B80" s="27" t="s">
        <v>1296</v>
      </c>
      <c r="C80" s="28" t="str">
        <f>IF(ISNUMBER(Exam[[#This Row],[Total]]),ROUND(Exam[[#This Row],[Total]]/$I$5*100,0),"")</f>
        <v/>
      </c>
      <c r="D80" s="2" t="str">
        <f>IF(NOT(ISBLANK(Exam[[#This Row],[Student No.]])), _xlfn.IFNA(INDEX(exam_mcq[LenientTotalMark],MATCH(Exam[[#This Row],[Student No.]],exam_mcq[StudentNumberText],0)), ""),  "No student!")</f>
        <v/>
      </c>
      <c r="H80" s="2" t="str">
        <f>IF(NOT(Exam[[#This Row],[Student No.]]=""),(IF(COUNTBLANK(Exam[[#This Row],[Q2]:[Q4]])=0,SUM(Exam[[#This Row],[Q2]:[Q4]]),"")),"")</f>
        <v/>
      </c>
      <c r="I80" s="6" t="str">
        <f>IF(NOT(Exam[[#This Row],[Student No.]]=""),(IF(COUNTBLANK(Exam[[#This Row],[MCQ]:[Q4]])=0,SUM(Exam[[#This Row],[MCQ]:[Q4]]),"")),"")</f>
        <v/>
      </c>
      <c r="J80" s="3" t="s">
        <v>1027</v>
      </c>
    </row>
    <row r="81" spans="1:10">
      <c r="A81" s="14" t="s">
        <v>345</v>
      </c>
      <c r="B81" s="27" t="s">
        <v>1091</v>
      </c>
      <c r="C81" s="28">
        <f>IF(ISNUMBER(Exam[[#This Row],[Total]]),ROUND(Exam[[#This Row],[Total]]/$I$5*100,0),"")</f>
        <v>27</v>
      </c>
      <c r="D81" s="2">
        <f>IF(NOT(ISBLANK(Exam[[#This Row],[Student No.]])), _xlfn.IFNA(INDEX(exam_mcq[LenientTotalMark],MATCH(Exam[[#This Row],[Student No.]],exam_mcq[StudentNumberText],0)), ""),  "No student!")</f>
        <v>17</v>
      </c>
      <c r="E81" s="2">
        <v>2</v>
      </c>
      <c r="F81" s="2">
        <v>3</v>
      </c>
      <c r="G81" s="2">
        <v>4</v>
      </c>
      <c r="H81" s="2">
        <f>IF(NOT(Exam[[#This Row],[Student No.]]=""),(IF(COUNTBLANK(Exam[[#This Row],[Q2]:[Q4]])=0,SUM(Exam[[#This Row],[Q2]:[Q4]]),"")),"")</f>
        <v>9</v>
      </c>
      <c r="I81" s="6">
        <f>IF(NOT(Exam[[#This Row],[Student No.]]=""),(IF(COUNTBLANK(Exam[[#This Row],[MCQ]:[Q4]])=0,SUM(Exam[[#This Row],[MCQ]:[Q4]]),"")),"")</f>
        <v>26</v>
      </c>
      <c r="J81" s="3"/>
    </row>
    <row r="82" spans="1:10">
      <c r="A82" s="14" t="s">
        <v>346</v>
      </c>
      <c r="B82" s="27" t="s">
        <v>1297</v>
      </c>
      <c r="C82" s="28">
        <f>IF(ISNUMBER(Exam[[#This Row],[Total]]),ROUND(Exam[[#This Row],[Total]]/$I$5*100,0),"")</f>
        <v>25</v>
      </c>
      <c r="D82" s="2">
        <f>IF(NOT(ISBLANK(Exam[[#This Row],[Student No.]])), _xlfn.IFNA(INDEX(exam_mcq[LenientTotalMark],MATCH(Exam[[#This Row],[Student No.]],exam_mcq[StudentNumberText],0)), ""),  "No student!")</f>
        <v>14</v>
      </c>
      <c r="E82" s="2">
        <v>3</v>
      </c>
      <c r="F82" s="2">
        <v>6</v>
      </c>
      <c r="G82" s="2">
        <v>1</v>
      </c>
      <c r="H82" s="2">
        <f>IF(NOT(Exam[[#This Row],[Student No.]]=""),(IF(COUNTBLANK(Exam[[#This Row],[Q2]:[Q4]])=0,SUM(Exam[[#This Row],[Q2]:[Q4]]),"")),"")</f>
        <v>10</v>
      </c>
      <c r="I82" s="6">
        <f>IF(NOT(Exam[[#This Row],[Student No.]]=""),(IF(COUNTBLANK(Exam[[#This Row],[MCQ]:[Q4]])=0,SUM(Exam[[#This Row],[MCQ]:[Q4]]),"")),"")</f>
        <v>24</v>
      </c>
      <c r="J82" s="3"/>
    </row>
    <row r="83" spans="1:10">
      <c r="A83" s="14" t="s">
        <v>347</v>
      </c>
      <c r="B83" s="27" t="s">
        <v>1061</v>
      </c>
      <c r="C83" s="28">
        <f>IF(ISNUMBER(Exam[[#This Row],[Total]]),ROUND(Exam[[#This Row],[Total]]/$I$5*100,0),"")</f>
        <v>22</v>
      </c>
      <c r="D83" s="2">
        <f>IF(NOT(ISBLANK(Exam[[#This Row],[Student No.]])), _xlfn.IFNA(INDEX(exam_mcq[LenientTotalMark],MATCH(Exam[[#This Row],[Student No.]],exam_mcq[StudentNumberText],0)), ""),  "No student!")</f>
        <v>16</v>
      </c>
      <c r="E83" s="2">
        <v>0</v>
      </c>
      <c r="F83" s="2">
        <v>5</v>
      </c>
      <c r="G83" s="2">
        <v>0</v>
      </c>
      <c r="H83" s="2">
        <f>IF(NOT(Exam[[#This Row],[Student No.]]=""),(IF(COUNTBLANK(Exam[[#This Row],[Q2]:[Q4]])=0,SUM(Exam[[#This Row],[Q2]:[Q4]]),"")),"")</f>
        <v>5</v>
      </c>
      <c r="I83" s="6">
        <f>IF(NOT(Exam[[#This Row],[Student No.]]=""),(IF(COUNTBLANK(Exam[[#This Row],[MCQ]:[Q4]])=0,SUM(Exam[[#This Row],[MCQ]:[Q4]]),"")),"")</f>
        <v>21</v>
      </c>
      <c r="J83" s="3"/>
    </row>
    <row r="84" spans="1:10">
      <c r="A84" s="14" t="s">
        <v>348</v>
      </c>
      <c r="B84" s="27" t="s">
        <v>1141</v>
      </c>
      <c r="C84" s="28">
        <f>IF(ISNUMBER(Exam[[#This Row],[Total]]),ROUND(Exam[[#This Row],[Total]]/$I$5*100,0),"")</f>
        <v>46</v>
      </c>
      <c r="D84" s="2">
        <f>IF(NOT(ISBLANK(Exam[[#This Row],[Student No.]])), _xlfn.IFNA(INDEX(exam_mcq[LenientTotalMark],MATCH(Exam[[#This Row],[Student No.]],exam_mcq[StudentNumberText],0)), ""),  "No student!")</f>
        <v>9</v>
      </c>
      <c r="E84" s="2">
        <v>0</v>
      </c>
      <c r="F84" s="2">
        <v>21</v>
      </c>
      <c r="G84" s="2">
        <v>14</v>
      </c>
      <c r="H84" s="2">
        <f>IF(NOT(Exam[[#This Row],[Student No.]]=""),(IF(COUNTBLANK(Exam[[#This Row],[Q2]:[Q4]])=0,SUM(Exam[[#This Row],[Q2]:[Q4]]),"")),"")</f>
        <v>35</v>
      </c>
      <c r="I84" s="6">
        <f>IF(NOT(Exam[[#This Row],[Student No.]]=""),(IF(COUNTBLANK(Exam[[#This Row],[MCQ]:[Q4]])=0,SUM(Exam[[#This Row],[MCQ]:[Q4]]),"")),"")</f>
        <v>44</v>
      </c>
      <c r="J84" s="3"/>
    </row>
    <row r="85" spans="1:10">
      <c r="A85" s="14" t="s">
        <v>349</v>
      </c>
      <c r="B85" s="27" t="s">
        <v>1298</v>
      </c>
      <c r="C85" s="28">
        <f>IF(ISNUMBER(Exam[[#This Row],[Total]]),ROUND(Exam[[#This Row],[Total]]/$I$5*100,0),"")</f>
        <v>48</v>
      </c>
      <c r="D85" s="2">
        <f>IF(NOT(ISBLANK(Exam[[#This Row],[Student No.]])), _xlfn.IFNA(INDEX(exam_mcq[LenientTotalMark],MATCH(Exam[[#This Row],[Student No.]],exam_mcq[StudentNumberText],0)), ""),  "No student!")</f>
        <v>18</v>
      </c>
      <c r="E85" s="2">
        <v>0</v>
      </c>
      <c r="F85" s="2">
        <v>23</v>
      </c>
      <c r="G85" s="2">
        <v>5</v>
      </c>
      <c r="H85" s="2">
        <f>IF(NOT(Exam[[#This Row],[Student No.]]=""),(IF(COUNTBLANK(Exam[[#This Row],[Q2]:[Q4]])=0,SUM(Exam[[#This Row],[Q2]:[Q4]]),"")),"")</f>
        <v>28</v>
      </c>
      <c r="I85" s="6">
        <f>IF(NOT(Exam[[#This Row],[Student No.]]=""),(IF(COUNTBLANK(Exam[[#This Row],[MCQ]:[Q4]])=0,SUM(Exam[[#This Row],[MCQ]:[Q4]]),"")),"")</f>
        <v>46</v>
      </c>
      <c r="J85" s="3"/>
    </row>
    <row r="86" spans="1:10">
      <c r="A86" s="162" t="s">
        <v>350</v>
      </c>
      <c r="B86" s="163" t="s">
        <v>1299</v>
      </c>
      <c r="C86" s="28" t="str">
        <f>IF(ISNUMBER(Exam[[#This Row],[Total]]),ROUND(Exam[[#This Row],[Total]]/$I$5*100,0),"")</f>
        <v/>
      </c>
      <c r="D86" s="2" t="str">
        <f>IF(NOT(ISBLANK(Exam[[#This Row],[Student No.]])), _xlfn.IFNA(INDEX(exam_mcq[LenientTotalMark],MATCH(Exam[[#This Row],[Student No.]],exam_mcq[StudentNumberText],0)), ""),  "No student!")</f>
        <v/>
      </c>
      <c r="H86" s="2" t="str">
        <f>IF(NOT(Exam[[#This Row],[Student No.]]=""),(IF(COUNTBLANK(Exam[[#This Row],[Q2]:[Q4]])=0,SUM(Exam[[#This Row],[Q2]:[Q4]]),"")),"")</f>
        <v/>
      </c>
      <c r="I86" s="6" t="str">
        <f>IF(NOT(Exam[[#This Row],[Student No.]]=""),(IF(COUNTBLANK(Exam[[#This Row],[MCQ]:[Q4]])=0,SUM(Exam[[#This Row],[MCQ]:[Q4]]),"")),"")</f>
        <v/>
      </c>
      <c r="J86" s="3" t="s">
        <v>1038</v>
      </c>
    </row>
    <row r="87" spans="1:10">
      <c r="A87" s="14" t="s">
        <v>351</v>
      </c>
      <c r="B87" s="27" t="s">
        <v>1082</v>
      </c>
      <c r="C87" s="28">
        <f>IF(ISNUMBER(Exam[[#This Row],[Total]]),ROUND(Exam[[#This Row],[Total]]/$I$5*100,0),"")</f>
        <v>25</v>
      </c>
      <c r="D87" s="2">
        <f>IF(NOT(ISBLANK(Exam[[#This Row],[Student No.]])), _xlfn.IFNA(INDEX(exam_mcq[LenientTotalMark],MATCH(Exam[[#This Row],[Student No.]],exam_mcq[StudentNumberText],0)), ""),  "No student!")</f>
        <v>14</v>
      </c>
      <c r="E87" s="2">
        <v>2</v>
      </c>
      <c r="F87" s="2">
        <v>5</v>
      </c>
      <c r="G87" s="2">
        <v>3</v>
      </c>
      <c r="H87" s="2">
        <f>IF(NOT(Exam[[#This Row],[Student No.]]=""),(IF(COUNTBLANK(Exam[[#This Row],[Q2]:[Q4]])=0,SUM(Exam[[#This Row],[Q2]:[Q4]]),"")),"")</f>
        <v>10</v>
      </c>
      <c r="I87" s="6">
        <f>IF(NOT(Exam[[#This Row],[Student No.]]=""),(IF(COUNTBLANK(Exam[[#This Row],[MCQ]:[Q4]])=0,SUM(Exam[[#This Row],[MCQ]:[Q4]]),"")),"")</f>
        <v>24</v>
      </c>
      <c r="J87" s="3"/>
    </row>
    <row r="88" spans="1:10">
      <c r="A88" s="14" t="s">
        <v>352</v>
      </c>
      <c r="B88" s="27" t="s">
        <v>1300</v>
      </c>
      <c r="C88" s="28">
        <f>IF(ISNUMBER(Exam[[#This Row],[Total]]),ROUND(Exam[[#This Row],[Total]]/$I$5*100,0),"")</f>
        <v>44</v>
      </c>
      <c r="D88" s="2">
        <f>IF(NOT(ISBLANK(Exam[[#This Row],[Student No.]])), _xlfn.IFNA(INDEX(exam_mcq[LenientTotalMark],MATCH(Exam[[#This Row],[Student No.]],exam_mcq[StudentNumberText],0)), ""),  "No student!")</f>
        <v>17</v>
      </c>
      <c r="E88" s="2">
        <v>0</v>
      </c>
      <c r="F88" s="2">
        <v>16</v>
      </c>
      <c r="G88" s="2">
        <v>9</v>
      </c>
      <c r="H88" s="2">
        <f>IF(NOT(Exam[[#This Row],[Student No.]]=""),(IF(COUNTBLANK(Exam[[#This Row],[Q2]:[Q4]])=0,SUM(Exam[[#This Row],[Q2]:[Q4]]),"")),"")</f>
        <v>25</v>
      </c>
      <c r="I88" s="6">
        <f>IF(NOT(Exam[[#This Row],[Student No.]]=""),(IF(COUNTBLANK(Exam[[#This Row],[MCQ]:[Q4]])=0,SUM(Exam[[#This Row],[MCQ]:[Q4]]),"")),"")</f>
        <v>42</v>
      </c>
      <c r="J88" s="3"/>
    </row>
    <row r="89" spans="1:10">
      <c r="A89" s="14" t="s">
        <v>353</v>
      </c>
      <c r="B89" s="27" t="s">
        <v>1301</v>
      </c>
      <c r="C89" s="28">
        <f>IF(ISNUMBER(Exam[[#This Row],[Total]]),ROUND(Exam[[#This Row],[Total]]/$I$5*100,0),"")</f>
        <v>45</v>
      </c>
      <c r="D89" s="2">
        <f>IF(NOT(ISBLANK(Exam[[#This Row],[Student No.]])), _xlfn.IFNA(INDEX(exam_mcq[LenientTotalMark],MATCH(Exam[[#This Row],[Student No.]],exam_mcq[StudentNumberText],0)), ""),  "No student!")</f>
        <v>11</v>
      </c>
      <c r="E89" s="2">
        <v>2</v>
      </c>
      <c r="F89" s="2">
        <v>24</v>
      </c>
      <c r="G89" s="2">
        <v>6</v>
      </c>
      <c r="H89" s="2">
        <f>IF(NOT(Exam[[#This Row],[Student No.]]=""),(IF(COUNTBLANK(Exam[[#This Row],[Q2]:[Q4]])=0,SUM(Exam[[#This Row],[Q2]:[Q4]]),"")),"")</f>
        <v>32</v>
      </c>
      <c r="I89" s="6">
        <f>IF(NOT(Exam[[#This Row],[Student No.]]=""),(IF(COUNTBLANK(Exam[[#This Row],[MCQ]:[Q4]])=0,SUM(Exam[[#This Row],[MCQ]:[Q4]]),"")),"")</f>
        <v>43</v>
      </c>
      <c r="J89" s="3"/>
    </row>
    <row r="90" spans="1:10">
      <c r="A90" s="14" t="s">
        <v>354</v>
      </c>
      <c r="B90" s="27" t="s">
        <v>1108</v>
      </c>
      <c r="C90" s="28">
        <f>IF(ISNUMBER(Exam[[#This Row],[Total]]),ROUND(Exam[[#This Row],[Total]]/$I$5*100,0),"")</f>
        <v>33</v>
      </c>
      <c r="D90" s="2">
        <f>IF(NOT(ISBLANK(Exam[[#This Row],[Student No.]])), _xlfn.IFNA(INDEX(exam_mcq[LenientTotalMark],MATCH(Exam[[#This Row],[Student No.]],exam_mcq[StudentNumberText],0)), ""),  "No student!")</f>
        <v>12</v>
      </c>
      <c r="E90" s="2">
        <v>1</v>
      </c>
      <c r="F90" s="2">
        <v>11</v>
      </c>
      <c r="G90" s="2">
        <v>7</v>
      </c>
      <c r="H90" s="2">
        <f>IF(NOT(Exam[[#This Row],[Student No.]]=""),(IF(COUNTBLANK(Exam[[#This Row],[Q2]:[Q4]])=0,SUM(Exam[[#This Row],[Q2]:[Q4]]),"")),"")</f>
        <v>19</v>
      </c>
      <c r="I90" s="6">
        <f>IF(NOT(Exam[[#This Row],[Student No.]]=""),(IF(COUNTBLANK(Exam[[#This Row],[MCQ]:[Q4]])=0,SUM(Exam[[#This Row],[MCQ]:[Q4]]),"")),"")</f>
        <v>31</v>
      </c>
      <c r="J90" s="3"/>
    </row>
    <row r="91" spans="1:10">
      <c r="A91" s="14" t="s">
        <v>355</v>
      </c>
      <c r="B91" s="27" t="s">
        <v>1136</v>
      </c>
      <c r="C91" s="28">
        <f>IF(ISNUMBER(Exam[[#This Row],[Total]]),ROUND(Exam[[#This Row],[Total]]/$I$5*100,0),"")</f>
        <v>42</v>
      </c>
      <c r="D91" s="2">
        <f>IF(NOT(ISBLANK(Exam[[#This Row],[Student No.]])), _xlfn.IFNA(INDEX(exam_mcq[LenientTotalMark],MATCH(Exam[[#This Row],[Student No.]],exam_mcq[StudentNumberText],0)), ""),  "No student!")</f>
        <v>14</v>
      </c>
      <c r="E91" s="2">
        <v>0</v>
      </c>
      <c r="F91" s="2">
        <v>18</v>
      </c>
      <c r="G91" s="2">
        <v>8</v>
      </c>
      <c r="H91" s="2">
        <f>IF(NOT(Exam[[#This Row],[Student No.]]=""),(IF(COUNTBLANK(Exam[[#This Row],[Q2]:[Q4]])=0,SUM(Exam[[#This Row],[Q2]:[Q4]]),"")),"")</f>
        <v>26</v>
      </c>
      <c r="I91" s="6">
        <f>IF(NOT(Exam[[#This Row],[Student No.]]=""),(IF(COUNTBLANK(Exam[[#This Row],[MCQ]:[Q4]])=0,SUM(Exam[[#This Row],[MCQ]:[Q4]]),"")),"")</f>
        <v>40</v>
      </c>
      <c r="J91" s="3"/>
    </row>
    <row r="92" spans="1:10">
      <c r="A92" s="14" t="s">
        <v>356</v>
      </c>
      <c r="B92" s="27" t="s">
        <v>1162</v>
      </c>
      <c r="C92" s="28">
        <f>IF(ISNUMBER(Exam[[#This Row],[Total]]),ROUND(Exam[[#This Row],[Total]]/$I$5*100,0),"")</f>
        <v>65</v>
      </c>
      <c r="D92" s="2">
        <f>IF(NOT(ISBLANK(Exam[[#This Row],[Student No.]])), _xlfn.IFNA(INDEX(exam_mcq[LenientTotalMark],MATCH(Exam[[#This Row],[Student No.]],exam_mcq[StudentNumberText],0)), ""),  "No student!")</f>
        <v>16</v>
      </c>
      <c r="E92" s="2">
        <v>3</v>
      </c>
      <c r="F92" s="2">
        <v>24</v>
      </c>
      <c r="G92" s="2">
        <v>19</v>
      </c>
      <c r="H92" s="2">
        <f>IF(NOT(Exam[[#This Row],[Student No.]]=""),(IF(COUNTBLANK(Exam[[#This Row],[Q2]:[Q4]])=0,SUM(Exam[[#This Row],[Q2]:[Q4]]),"")),"")</f>
        <v>46</v>
      </c>
      <c r="I92" s="6">
        <f>IF(NOT(Exam[[#This Row],[Student No.]]=""),(IF(COUNTBLANK(Exam[[#This Row],[MCQ]:[Q4]])=0,SUM(Exam[[#This Row],[MCQ]:[Q4]]),"")),"")</f>
        <v>62</v>
      </c>
      <c r="J92" s="3"/>
    </row>
    <row r="93" spans="1:10">
      <c r="A93" s="14" t="s">
        <v>357</v>
      </c>
      <c r="B93" s="27" t="s">
        <v>1302</v>
      </c>
      <c r="C93" s="28">
        <f>IF(ISNUMBER(Exam[[#This Row],[Total]]),ROUND(Exam[[#This Row],[Total]]/$I$5*100,0),"")</f>
        <v>2</v>
      </c>
      <c r="D93" s="2">
        <f>IF(NOT(ISBLANK(Exam[[#This Row],[Student No.]])), _xlfn.IFNA(INDEX(exam_mcq[LenientTotalMark],MATCH(Exam[[#This Row],[Student No.]],exam_mcq[StudentNumberText],0)), ""),  "No student!")</f>
        <v>2</v>
      </c>
      <c r="E93" s="2">
        <v>0</v>
      </c>
      <c r="F93" s="2">
        <v>0</v>
      </c>
      <c r="G93" s="2">
        <v>0</v>
      </c>
      <c r="H93" s="2">
        <f>IF(NOT(Exam[[#This Row],[Student No.]]=""),(IF(COUNTBLANK(Exam[[#This Row],[Q2]:[Q4]])=0,SUM(Exam[[#This Row],[Q2]:[Q4]]),"")),"")</f>
        <v>0</v>
      </c>
      <c r="I93" s="6">
        <f>IF(NOT(Exam[[#This Row],[Student No.]]=""),(IF(COUNTBLANK(Exam[[#This Row],[MCQ]:[Q4]])=0,SUM(Exam[[#This Row],[MCQ]:[Q4]]),"")),"")</f>
        <v>2</v>
      </c>
      <c r="J93" s="3"/>
    </row>
    <row r="94" spans="1:10">
      <c r="A94" s="14" t="s">
        <v>358</v>
      </c>
      <c r="B94" s="27" t="s">
        <v>1303</v>
      </c>
      <c r="C94" s="28" t="str">
        <f>IF(ISNUMBER(Exam[[#This Row],[Total]]),ROUND(Exam[[#This Row],[Total]]/$I$5*100,0),"")</f>
        <v/>
      </c>
      <c r="D94" s="2" t="str">
        <f>IF(NOT(ISBLANK(Exam[[#This Row],[Student No.]])), _xlfn.IFNA(INDEX(exam_mcq[LenientTotalMark],MATCH(Exam[[#This Row],[Student No.]],exam_mcq[StudentNumberText],0)), ""),  "No student!")</f>
        <v/>
      </c>
      <c r="H94" s="2" t="str">
        <f>IF(NOT(Exam[[#This Row],[Student No.]]=""),(IF(COUNTBLANK(Exam[[#This Row],[Q2]:[Q4]])=0,SUM(Exam[[#This Row],[Q2]:[Q4]]),"")),"")</f>
        <v/>
      </c>
      <c r="I94" s="6" t="str">
        <f>IF(NOT(Exam[[#This Row],[Student No.]]=""),(IF(COUNTBLANK(Exam[[#This Row],[MCQ]:[Q4]])=0,SUM(Exam[[#This Row],[MCQ]:[Q4]]),"")),"")</f>
        <v/>
      </c>
      <c r="J94" s="3" t="s">
        <v>1027</v>
      </c>
    </row>
    <row r="95" spans="1:10">
      <c r="A95" s="14" t="s">
        <v>359</v>
      </c>
      <c r="B95" s="27" t="s">
        <v>1304</v>
      </c>
      <c r="C95" s="28" t="str">
        <f>IF(ISNUMBER(Exam[[#This Row],[Total]]),ROUND(Exam[[#This Row],[Total]]/$I$5*100,0),"")</f>
        <v/>
      </c>
      <c r="D95" s="2" t="str">
        <f>IF(NOT(ISBLANK(Exam[[#This Row],[Student No.]])), _xlfn.IFNA(INDEX(exam_mcq[LenientTotalMark],MATCH(Exam[[#This Row],[Student No.]],exam_mcq[StudentNumberText],0)), ""),  "No student!")</f>
        <v/>
      </c>
      <c r="H95" s="2" t="str">
        <f>IF(NOT(Exam[[#This Row],[Student No.]]=""),(IF(COUNTBLANK(Exam[[#This Row],[Q2]:[Q4]])=0,SUM(Exam[[#This Row],[Q2]:[Q4]]),"")),"")</f>
        <v/>
      </c>
      <c r="I95" s="6" t="str">
        <f>IF(NOT(Exam[[#This Row],[Student No.]]=""),(IF(COUNTBLANK(Exam[[#This Row],[MCQ]:[Q4]])=0,SUM(Exam[[#This Row],[MCQ]:[Q4]]),"")),"")</f>
        <v/>
      </c>
      <c r="J95" s="3" t="s">
        <v>1027</v>
      </c>
    </row>
    <row r="96" spans="1:10">
      <c r="A96" s="14" t="s">
        <v>360</v>
      </c>
      <c r="B96" s="27" t="s">
        <v>1079</v>
      </c>
      <c r="C96" s="28">
        <f>IF(ISNUMBER(Exam[[#This Row],[Total]]),ROUND(Exam[[#This Row],[Total]]/$I$5*100,0),"")</f>
        <v>17</v>
      </c>
      <c r="D96" s="2">
        <f>IF(NOT(ISBLANK(Exam[[#This Row],[Student No.]])), _xlfn.IFNA(INDEX(exam_mcq[LenientTotalMark],MATCH(Exam[[#This Row],[Student No.]],exam_mcq[StudentNumberText],0)), ""),  "No student!")</f>
        <v>10</v>
      </c>
      <c r="E96" s="2">
        <v>0</v>
      </c>
      <c r="F96" s="2">
        <v>4</v>
      </c>
      <c r="G96" s="2">
        <v>2</v>
      </c>
      <c r="H96" s="2">
        <f>IF(NOT(Exam[[#This Row],[Student No.]]=""),(IF(COUNTBLANK(Exam[[#This Row],[Q2]:[Q4]])=0,SUM(Exam[[#This Row],[Q2]:[Q4]]),"")),"")</f>
        <v>6</v>
      </c>
      <c r="I96" s="6">
        <f>IF(NOT(Exam[[#This Row],[Student No.]]=""),(IF(COUNTBLANK(Exam[[#This Row],[MCQ]:[Q4]])=0,SUM(Exam[[#This Row],[MCQ]:[Q4]]),"")),"")</f>
        <v>16</v>
      </c>
      <c r="J96" s="3"/>
    </row>
    <row r="97" spans="1:10">
      <c r="A97" s="14" t="s">
        <v>361</v>
      </c>
      <c r="B97" s="27" t="s">
        <v>1305</v>
      </c>
      <c r="C97" s="28" t="str">
        <f>IF(ISNUMBER(Exam[[#This Row],[Total]]),ROUND(Exam[[#This Row],[Total]]/$I$5*100,0),"")</f>
        <v/>
      </c>
      <c r="D97" s="2" t="str">
        <f>IF(NOT(ISBLANK(Exam[[#This Row],[Student No.]])), _xlfn.IFNA(INDEX(exam_mcq[LenientTotalMark],MATCH(Exam[[#This Row],[Student No.]],exam_mcq[StudentNumberText],0)), ""),  "No student!")</f>
        <v/>
      </c>
      <c r="H97" s="2" t="str">
        <f>IF(NOT(Exam[[#This Row],[Student No.]]=""),(IF(COUNTBLANK(Exam[[#This Row],[Q2]:[Q4]])=0,SUM(Exam[[#This Row],[Q2]:[Q4]]),"")),"")</f>
        <v/>
      </c>
      <c r="I97" s="6" t="str">
        <f>IF(NOT(Exam[[#This Row],[Student No.]]=""),(IF(COUNTBLANK(Exam[[#This Row],[MCQ]:[Q4]])=0,SUM(Exam[[#This Row],[MCQ]:[Q4]]),"")),"")</f>
        <v/>
      </c>
      <c r="J97" s="3" t="s">
        <v>1027</v>
      </c>
    </row>
    <row r="98" spans="1:10">
      <c r="A98" s="14" t="s">
        <v>362</v>
      </c>
      <c r="B98" s="27" t="s">
        <v>1306</v>
      </c>
      <c r="C98" s="28" t="str">
        <f>IF(ISNUMBER(Exam[[#This Row],[Total]]),ROUND(Exam[[#This Row],[Total]]/$I$5*100,0),"")</f>
        <v/>
      </c>
      <c r="D98" s="2" t="str">
        <f>IF(NOT(ISBLANK(Exam[[#This Row],[Student No.]])), _xlfn.IFNA(INDEX(exam_mcq[LenientTotalMark],MATCH(Exam[[#This Row],[Student No.]],exam_mcq[StudentNumberText],0)), ""),  "No student!")</f>
        <v/>
      </c>
      <c r="H98" s="2" t="str">
        <f>IF(NOT(Exam[[#This Row],[Student No.]]=""),(IF(COUNTBLANK(Exam[[#This Row],[Q2]:[Q4]])=0,SUM(Exam[[#This Row],[Q2]:[Q4]]),"")),"")</f>
        <v/>
      </c>
      <c r="I98" s="6" t="str">
        <f>IF(NOT(Exam[[#This Row],[Student No.]]=""),(IF(COUNTBLANK(Exam[[#This Row],[MCQ]:[Q4]])=0,SUM(Exam[[#This Row],[MCQ]:[Q4]]),"")),"")</f>
        <v/>
      </c>
      <c r="J98" s="3" t="s">
        <v>1027</v>
      </c>
    </row>
    <row r="99" spans="1:10">
      <c r="A99" s="14" t="s">
        <v>363</v>
      </c>
      <c r="B99" s="27" t="s">
        <v>1307</v>
      </c>
      <c r="C99" s="28" t="str">
        <f>IF(ISNUMBER(Exam[[#This Row],[Total]]),ROUND(Exam[[#This Row],[Total]]/$I$5*100,0),"")</f>
        <v/>
      </c>
      <c r="D99" s="2" t="str">
        <f>IF(NOT(ISBLANK(Exam[[#This Row],[Student No.]])), _xlfn.IFNA(INDEX(exam_mcq[LenientTotalMark],MATCH(Exam[[#This Row],[Student No.]],exam_mcq[StudentNumberText],0)), ""),  "No student!")</f>
        <v/>
      </c>
      <c r="H99" s="2" t="str">
        <f>IF(NOT(Exam[[#This Row],[Student No.]]=""),(IF(COUNTBLANK(Exam[[#This Row],[Q2]:[Q4]])=0,SUM(Exam[[#This Row],[Q2]:[Q4]]),"")),"")</f>
        <v/>
      </c>
      <c r="I99" s="6" t="str">
        <f>IF(NOT(Exam[[#This Row],[Student No.]]=""),(IF(COUNTBLANK(Exam[[#This Row],[MCQ]:[Q4]])=0,SUM(Exam[[#This Row],[MCQ]:[Q4]]),"")),"")</f>
        <v/>
      </c>
      <c r="J99" s="3" t="s">
        <v>1027</v>
      </c>
    </row>
    <row r="100" spans="1:10">
      <c r="A100" s="14" t="s">
        <v>364</v>
      </c>
      <c r="B100" s="27" t="s">
        <v>1308</v>
      </c>
      <c r="C100" s="28" t="str">
        <f>IF(ISNUMBER(Exam[[#This Row],[Total]]),ROUND(Exam[[#This Row],[Total]]/$I$5*100,0),"")</f>
        <v/>
      </c>
      <c r="D100" s="2" t="str">
        <f>IF(NOT(ISBLANK(Exam[[#This Row],[Student No.]])), _xlfn.IFNA(INDEX(exam_mcq[LenientTotalMark],MATCH(Exam[[#This Row],[Student No.]],exam_mcq[StudentNumberText],0)), ""),  "No student!")</f>
        <v/>
      </c>
      <c r="H100" s="2" t="str">
        <f>IF(NOT(Exam[[#This Row],[Student No.]]=""),(IF(COUNTBLANK(Exam[[#This Row],[Q2]:[Q4]])=0,SUM(Exam[[#This Row],[Q2]:[Q4]]),"")),"")</f>
        <v/>
      </c>
      <c r="I100" s="6" t="str">
        <f>IF(NOT(Exam[[#This Row],[Student No.]]=""),(IF(COUNTBLANK(Exam[[#This Row],[MCQ]:[Q4]])=0,SUM(Exam[[#This Row],[MCQ]:[Q4]]),"")),"")</f>
        <v/>
      </c>
      <c r="J100" s="3" t="s">
        <v>1027</v>
      </c>
    </row>
    <row r="101" spans="1:10">
      <c r="A101" s="14" t="s">
        <v>365</v>
      </c>
      <c r="B101" s="27" t="s">
        <v>1309</v>
      </c>
      <c r="C101" s="28">
        <f>IF(ISNUMBER(Exam[[#This Row],[Total]]),ROUND(Exam[[#This Row],[Total]]/$I$5*100,0),"")</f>
        <v>24</v>
      </c>
      <c r="D101" s="2">
        <f>IF(NOT(ISBLANK(Exam[[#This Row],[Student No.]])), _xlfn.IFNA(INDEX(exam_mcq[LenientTotalMark],MATCH(Exam[[#This Row],[Student No.]],exam_mcq[StudentNumberText],0)), ""),  "No student!")</f>
        <v>17</v>
      </c>
      <c r="E101" s="2">
        <v>0</v>
      </c>
      <c r="F101" s="2">
        <v>4</v>
      </c>
      <c r="G101" s="2">
        <v>2</v>
      </c>
      <c r="H101" s="2">
        <f>IF(NOT(Exam[[#This Row],[Student No.]]=""),(IF(COUNTBLANK(Exam[[#This Row],[Q2]:[Q4]])=0,SUM(Exam[[#This Row],[Q2]:[Q4]]),"")),"")</f>
        <v>6</v>
      </c>
      <c r="I101" s="6">
        <f>IF(NOT(Exam[[#This Row],[Student No.]]=""),(IF(COUNTBLANK(Exam[[#This Row],[MCQ]:[Q4]])=0,SUM(Exam[[#This Row],[MCQ]:[Q4]]),"")),"")</f>
        <v>23</v>
      </c>
      <c r="J101" s="3"/>
    </row>
    <row r="102" spans="1:10">
      <c r="A102" s="14" t="s">
        <v>366</v>
      </c>
      <c r="B102" s="27" t="s">
        <v>1098</v>
      </c>
      <c r="C102" s="28">
        <f>IF(ISNUMBER(Exam[[#This Row],[Total]]),ROUND(Exam[[#This Row],[Total]]/$I$5*100,0),"")</f>
        <v>25</v>
      </c>
      <c r="D102" s="2">
        <f>IF(NOT(ISBLANK(Exam[[#This Row],[Student No.]])), _xlfn.IFNA(INDEX(exam_mcq[LenientTotalMark],MATCH(Exam[[#This Row],[Student No.]],exam_mcq[StudentNumberText],0)), ""),  "No student!")</f>
        <v>9</v>
      </c>
      <c r="E102" s="2">
        <v>7</v>
      </c>
      <c r="F102" s="2">
        <v>2</v>
      </c>
      <c r="G102" s="2">
        <v>6</v>
      </c>
      <c r="H102" s="2">
        <f>IF(NOT(Exam[[#This Row],[Student No.]]=""),(IF(COUNTBLANK(Exam[[#This Row],[Q2]:[Q4]])=0,SUM(Exam[[#This Row],[Q2]:[Q4]]),"")),"")</f>
        <v>15</v>
      </c>
      <c r="I102" s="6">
        <f>IF(NOT(Exam[[#This Row],[Student No.]]=""),(IF(COUNTBLANK(Exam[[#This Row],[MCQ]:[Q4]])=0,SUM(Exam[[#This Row],[MCQ]:[Q4]]),"")),"")</f>
        <v>24</v>
      </c>
      <c r="J102" s="3"/>
    </row>
    <row r="103" spans="1:10">
      <c r="A103" s="14" t="s">
        <v>367</v>
      </c>
      <c r="B103" s="27" t="s">
        <v>1090</v>
      </c>
      <c r="C103" s="28">
        <f>IF(ISNUMBER(Exam[[#This Row],[Total]]),ROUND(Exam[[#This Row],[Total]]/$I$5*100,0),"")</f>
        <v>23</v>
      </c>
      <c r="D103" s="2">
        <f>IF(NOT(ISBLANK(Exam[[#This Row],[Student No.]])), _xlfn.IFNA(INDEX(exam_mcq[LenientTotalMark],MATCH(Exam[[#This Row],[Student No.]],exam_mcq[StudentNumberText],0)), ""),  "No student!")</f>
        <v>8</v>
      </c>
      <c r="E103" s="2">
        <v>0</v>
      </c>
      <c r="F103" s="2">
        <v>13</v>
      </c>
      <c r="G103" s="2">
        <v>1</v>
      </c>
      <c r="H103" s="2">
        <f>IF(NOT(Exam[[#This Row],[Student No.]]=""),(IF(COUNTBLANK(Exam[[#This Row],[Q2]:[Q4]])=0,SUM(Exam[[#This Row],[Q2]:[Q4]]),"")),"")</f>
        <v>14</v>
      </c>
      <c r="I103" s="6">
        <f>IF(NOT(Exam[[#This Row],[Student No.]]=""),(IF(COUNTBLANK(Exam[[#This Row],[MCQ]:[Q4]])=0,SUM(Exam[[#This Row],[MCQ]:[Q4]]),"")),"")</f>
        <v>22</v>
      </c>
      <c r="J103" s="3"/>
    </row>
    <row r="104" spans="1:10">
      <c r="A104" s="14" t="s">
        <v>368</v>
      </c>
      <c r="B104" s="27" t="s">
        <v>1310</v>
      </c>
      <c r="C104" s="28">
        <f>IF(ISNUMBER(Exam[[#This Row],[Total]]),ROUND(Exam[[#This Row],[Total]]/$I$5*100,0),"")</f>
        <v>31</v>
      </c>
      <c r="D104" s="2">
        <f>IF(NOT(ISBLANK(Exam[[#This Row],[Student No.]])), _xlfn.IFNA(INDEX(exam_mcq[LenientTotalMark],MATCH(Exam[[#This Row],[Student No.]],exam_mcq[StudentNumberText],0)), ""),  "No student!")</f>
        <v>16</v>
      </c>
      <c r="E104" s="2">
        <v>2</v>
      </c>
      <c r="F104" s="2">
        <v>6</v>
      </c>
      <c r="G104" s="2">
        <v>5</v>
      </c>
      <c r="H104" s="2">
        <f>IF(NOT(Exam[[#This Row],[Student No.]]=""),(IF(COUNTBLANK(Exam[[#This Row],[Q2]:[Q4]])=0,SUM(Exam[[#This Row],[Q2]:[Q4]]),"")),"")</f>
        <v>13</v>
      </c>
      <c r="I104" s="6">
        <f>IF(NOT(Exam[[#This Row],[Student No.]]=""),(IF(COUNTBLANK(Exam[[#This Row],[MCQ]:[Q4]])=0,SUM(Exam[[#This Row],[MCQ]:[Q4]]),"")),"")</f>
        <v>29</v>
      </c>
      <c r="J104" s="3"/>
    </row>
    <row r="105" spans="1:10">
      <c r="A105" s="14" t="s">
        <v>369</v>
      </c>
      <c r="B105" s="27" t="s">
        <v>1311</v>
      </c>
      <c r="C105" s="28" t="str">
        <f>IF(ISNUMBER(Exam[[#This Row],[Total]]),ROUND(Exam[[#This Row],[Total]]/$I$5*100,0),"")</f>
        <v/>
      </c>
      <c r="D105" s="2" t="str">
        <f>IF(NOT(ISBLANK(Exam[[#This Row],[Student No.]])), _xlfn.IFNA(INDEX(exam_mcq[LenientTotalMark],MATCH(Exam[[#This Row],[Student No.]],exam_mcq[StudentNumberText],0)), ""),  "No student!")</f>
        <v/>
      </c>
      <c r="H105" s="2" t="str">
        <f>IF(NOT(Exam[[#This Row],[Student No.]]=""),(IF(COUNTBLANK(Exam[[#This Row],[Q2]:[Q4]])=0,SUM(Exam[[#This Row],[Q2]:[Q4]]),"")),"")</f>
        <v/>
      </c>
      <c r="I105" s="6" t="str">
        <f>IF(NOT(Exam[[#This Row],[Student No.]]=""),(IF(COUNTBLANK(Exam[[#This Row],[MCQ]:[Q4]])=0,SUM(Exam[[#This Row],[MCQ]:[Q4]]),"")),"")</f>
        <v/>
      </c>
      <c r="J105" s="3" t="s">
        <v>1027</v>
      </c>
    </row>
    <row r="106" spans="1:10">
      <c r="A106" s="14" t="s">
        <v>370</v>
      </c>
      <c r="B106" s="27" t="s">
        <v>1312</v>
      </c>
      <c r="C106" s="28">
        <f>IF(ISNUMBER(Exam[[#This Row],[Total]]),ROUND(Exam[[#This Row],[Total]]/$I$5*100,0),"")</f>
        <v>21</v>
      </c>
      <c r="D106" s="2">
        <f>IF(NOT(ISBLANK(Exam[[#This Row],[Student No.]])), _xlfn.IFNA(INDEX(exam_mcq[LenientTotalMark],MATCH(Exam[[#This Row],[Student No.]],exam_mcq[StudentNumberText],0)), ""),  "No student!")</f>
        <v>18</v>
      </c>
      <c r="E106" s="2">
        <v>0</v>
      </c>
      <c r="F106" s="2">
        <v>2</v>
      </c>
      <c r="G106" s="2">
        <v>0</v>
      </c>
      <c r="H106" s="2">
        <f>IF(NOT(Exam[[#This Row],[Student No.]]=""),(IF(COUNTBLANK(Exam[[#This Row],[Q2]:[Q4]])=0,SUM(Exam[[#This Row],[Q2]:[Q4]]),"")),"")</f>
        <v>2</v>
      </c>
      <c r="I106" s="6">
        <f>IF(NOT(Exam[[#This Row],[Student No.]]=""),(IF(COUNTBLANK(Exam[[#This Row],[MCQ]:[Q4]])=0,SUM(Exam[[#This Row],[MCQ]:[Q4]]),"")),"")</f>
        <v>20</v>
      </c>
      <c r="J106" s="3"/>
    </row>
    <row r="107" spans="1:10">
      <c r="A107" s="14" t="s">
        <v>371</v>
      </c>
      <c r="B107" s="27" t="s">
        <v>1313</v>
      </c>
      <c r="C107" s="28" t="str">
        <f>IF(ISNUMBER(Exam[[#This Row],[Total]]),ROUND(Exam[[#This Row],[Total]]/$I$5*100,0),"")</f>
        <v/>
      </c>
      <c r="D107" s="2" t="str">
        <f>IF(NOT(ISBLANK(Exam[[#This Row],[Student No.]])), _xlfn.IFNA(INDEX(exam_mcq[LenientTotalMark],MATCH(Exam[[#This Row],[Student No.]],exam_mcq[StudentNumberText],0)), ""),  "No student!")</f>
        <v/>
      </c>
      <c r="H107" s="2" t="str">
        <f>IF(NOT(Exam[[#This Row],[Student No.]]=""),(IF(COUNTBLANK(Exam[[#This Row],[Q2]:[Q4]])=0,SUM(Exam[[#This Row],[Q2]:[Q4]]),"")),"")</f>
        <v/>
      </c>
      <c r="I107" s="6" t="str">
        <f>IF(NOT(Exam[[#This Row],[Student No.]]=""),(IF(COUNTBLANK(Exam[[#This Row],[MCQ]:[Q4]])=0,SUM(Exam[[#This Row],[MCQ]:[Q4]]),"")),"")</f>
        <v/>
      </c>
      <c r="J107" s="3" t="s">
        <v>1026</v>
      </c>
    </row>
    <row r="108" spans="1:10">
      <c r="A108" s="14" t="s">
        <v>372</v>
      </c>
      <c r="B108" s="27" t="s">
        <v>1314</v>
      </c>
      <c r="C108" s="28">
        <f>IF(ISNUMBER(Exam[[#This Row],[Total]]),ROUND(Exam[[#This Row],[Total]]/$I$5*100,0),"")</f>
        <v>35</v>
      </c>
      <c r="D108" s="2">
        <f>IF(NOT(ISBLANK(Exam[[#This Row],[Student No.]])), _xlfn.IFNA(INDEX(exam_mcq[LenientTotalMark],MATCH(Exam[[#This Row],[Student No.]],exam_mcq[StudentNumberText],0)), ""),  "No student!")</f>
        <v>9</v>
      </c>
      <c r="E108" s="2">
        <v>0</v>
      </c>
      <c r="F108" s="2">
        <v>21</v>
      </c>
      <c r="G108" s="2">
        <v>3</v>
      </c>
      <c r="H108" s="2">
        <f>IF(NOT(Exam[[#This Row],[Student No.]]=""),(IF(COUNTBLANK(Exam[[#This Row],[Q2]:[Q4]])=0,SUM(Exam[[#This Row],[Q2]:[Q4]]),"")),"")</f>
        <v>24</v>
      </c>
      <c r="I108" s="6">
        <f>IF(NOT(Exam[[#This Row],[Student No.]]=""),(IF(COUNTBLANK(Exam[[#This Row],[MCQ]:[Q4]])=0,SUM(Exam[[#This Row],[MCQ]:[Q4]]),"")),"")</f>
        <v>33</v>
      </c>
      <c r="J108" s="3" t="s">
        <v>1041</v>
      </c>
    </row>
    <row r="109" spans="1:10">
      <c r="A109" s="14" t="s">
        <v>373</v>
      </c>
      <c r="B109" s="27" t="s">
        <v>1315</v>
      </c>
      <c r="C109" s="28">
        <f>IF(ISNUMBER(Exam[[#This Row],[Total]]),ROUND(Exam[[#This Row],[Total]]/$I$5*100,0),"")</f>
        <v>79</v>
      </c>
      <c r="D109" s="2">
        <f>IF(NOT(ISBLANK(Exam[[#This Row],[Student No.]])), _xlfn.IFNA(INDEX(exam_mcq[LenientTotalMark],MATCH(Exam[[#This Row],[Student No.]],exam_mcq[StudentNumberText],0)), ""),  "No student!")</f>
        <v>16</v>
      </c>
      <c r="E109" s="2">
        <v>12</v>
      </c>
      <c r="F109" s="2">
        <v>19</v>
      </c>
      <c r="G109" s="2">
        <v>28</v>
      </c>
      <c r="H109" s="2">
        <f>IF(NOT(Exam[[#This Row],[Student No.]]=""),(IF(COUNTBLANK(Exam[[#This Row],[Q2]:[Q4]])=0,SUM(Exam[[#This Row],[Q2]:[Q4]]),"")),"")</f>
        <v>59</v>
      </c>
      <c r="I109" s="6">
        <f>IF(NOT(Exam[[#This Row],[Student No.]]=""),(IF(COUNTBLANK(Exam[[#This Row],[MCQ]:[Q4]])=0,SUM(Exam[[#This Row],[MCQ]:[Q4]]),"")),"")</f>
        <v>75</v>
      </c>
      <c r="J109" s="3"/>
    </row>
    <row r="110" spans="1:10">
      <c r="A110" s="14" t="s">
        <v>374</v>
      </c>
      <c r="B110" s="27" t="s">
        <v>1316</v>
      </c>
      <c r="C110" s="28">
        <f>IF(ISNUMBER(Exam[[#This Row],[Total]]),ROUND(Exam[[#This Row],[Total]]/$I$5*100,0),"")</f>
        <v>39</v>
      </c>
      <c r="D110" s="2">
        <f>IF(NOT(ISBLANK(Exam[[#This Row],[Student No.]])), _xlfn.IFNA(INDEX(exam_mcq[LenientTotalMark],MATCH(Exam[[#This Row],[Student No.]],exam_mcq[StudentNumberText],0)), ""),  "No student!")</f>
        <v>19</v>
      </c>
      <c r="E110" s="2">
        <v>2</v>
      </c>
      <c r="F110" s="2">
        <v>14</v>
      </c>
      <c r="G110" s="2">
        <v>2</v>
      </c>
      <c r="H110" s="2">
        <f>IF(NOT(Exam[[#This Row],[Student No.]]=""),(IF(COUNTBLANK(Exam[[#This Row],[Q2]:[Q4]])=0,SUM(Exam[[#This Row],[Q2]:[Q4]]),"")),"")</f>
        <v>18</v>
      </c>
      <c r="I110" s="6">
        <f>IF(NOT(Exam[[#This Row],[Student No.]]=""),(IF(COUNTBLANK(Exam[[#This Row],[MCQ]:[Q4]])=0,SUM(Exam[[#This Row],[MCQ]:[Q4]]),"")),"")</f>
        <v>37</v>
      </c>
      <c r="J110" s="3"/>
    </row>
    <row r="111" spans="1:10">
      <c r="A111" s="14" t="s">
        <v>375</v>
      </c>
      <c r="B111" s="27" t="s">
        <v>1317</v>
      </c>
      <c r="C111" s="28">
        <f>IF(ISNUMBER(Exam[[#This Row],[Total]]),ROUND(Exam[[#This Row],[Total]]/$I$5*100,0),"")</f>
        <v>41</v>
      </c>
      <c r="D111" s="2">
        <f>IF(NOT(ISBLANK(Exam[[#This Row],[Student No.]])), _xlfn.IFNA(INDEX(exam_mcq[LenientTotalMark],MATCH(Exam[[#This Row],[Student No.]],exam_mcq[StudentNumberText],0)), ""),  "No student!")</f>
        <v>14</v>
      </c>
      <c r="E111" s="2">
        <v>4</v>
      </c>
      <c r="F111" s="2">
        <v>14</v>
      </c>
      <c r="G111" s="2">
        <v>7</v>
      </c>
      <c r="H111" s="2">
        <f>IF(NOT(Exam[[#This Row],[Student No.]]=""),(IF(COUNTBLANK(Exam[[#This Row],[Q2]:[Q4]])=0,SUM(Exam[[#This Row],[Q2]:[Q4]]),"")),"")</f>
        <v>25</v>
      </c>
      <c r="I111" s="6">
        <f>IF(NOT(Exam[[#This Row],[Student No.]]=""),(IF(COUNTBLANK(Exam[[#This Row],[MCQ]:[Q4]])=0,SUM(Exam[[#This Row],[MCQ]:[Q4]]),"")),"")</f>
        <v>39</v>
      </c>
      <c r="J111" s="3"/>
    </row>
    <row r="112" spans="1:10">
      <c r="A112" s="14" t="s">
        <v>376</v>
      </c>
      <c r="B112" s="27" t="s">
        <v>1215</v>
      </c>
      <c r="C112" s="28" t="str">
        <f>IF(ISNUMBER(Exam[[#This Row],[Total]]),ROUND(Exam[[#This Row],[Total]]/$I$5*100,0),"")</f>
        <v/>
      </c>
      <c r="D112" s="2" t="str">
        <f>IF(NOT(ISBLANK(Exam[[#This Row],[Student No.]])), _xlfn.IFNA(INDEX(exam_mcq[LenientTotalMark],MATCH(Exam[[#This Row],[Student No.]],exam_mcq[StudentNumberText],0)), ""),  "No student!")</f>
        <v/>
      </c>
      <c r="H112" s="2" t="str">
        <f>IF(NOT(Exam[[#This Row],[Student No.]]=""),(IF(COUNTBLANK(Exam[[#This Row],[Q2]:[Q4]])=0,SUM(Exam[[#This Row],[Q2]:[Q4]]),"")),"")</f>
        <v/>
      </c>
      <c r="I112" s="6" t="str">
        <f>IF(NOT(Exam[[#This Row],[Student No.]]=""),(IF(COUNTBLANK(Exam[[#This Row],[MCQ]:[Q4]])=0,SUM(Exam[[#This Row],[MCQ]:[Q4]]),"")),"")</f>
        <v/>
      </c>
      <c r="J112" s="3" t="s">
        <v>1027</v>
      </c>
    </row>
    <row r="113" spans="1:10">
      <c r="A113" s="14" t="s">
        <v>377</v>
      </c>
      <c r="B113" s="27" t="s">
        <v>1318</v>
      </c>
      <c r="C113" s="28">
        <f>IF(ISNUMBER(Exam[[#This Row],[Total]]),ROUND(Exam[[#This Row],[Total]]/$I$5*100,0),"")</f>
        <v>22</v>
      </c>
      <c r="D113" s="2">
        <f>IF(NOT(ISBLANK(Exam[[#This Row],[Student No.]])), _xlfn.IFNA(INDEX(exam_mcq[LenientTotalMark],MATCH(Exam[[#This Row],[Student No.]],exam_mcq[StudentNumberText],0)), ""),  "No student!")</f>
        <v>12</v>
      </c>
      <c r="E113" s="2">
        <v>2</v>
      </c>
      <c r="F113" s="2">
        <v>2</v>
      </c>
      <c r="G113" s="2">
        <v>5</v>
      </c>
      <c r="H113" s="2">
        <f>IF(NOT(Exam[[#This Row],[Student No.]]=""),(IF(COUNTBLANK(Exam[[#This Row],[Q2]:[Q4]])=0,SUM(Exam[[#This Row],[Q2]:[Q4]]),"")),"")</f>
        <v>9</v>
      </c>
      <c r="I113" s="6">
        <f>IF(NOT(Exam[[#This Row],[Student No.]]=""),(IF(COUNTBLANK(Exam[[#This Row],[MCQ]:[Q4]])=0,SUM(Exam[[#This Row],[MCQ]:[Q4]]),"")),"")</f>
        <v>21</v>
      </c>
      <c r="J113" s="3"/>
    </row>
    <row r="114" spans="1:10">
      <c r="A114" s="14" t="s">
        <v>378</v>
      </c>
      <c r="B114" s="27" t="s">
        <v>1120</v>
      </c>
      <c r="C114" s="28">
        <f>IF(ISNUMBER(Exam[[#This Row],[Total]]),ROUND(Exam[[#This Row],[Total]]/$I$5*100,0),"")</f>
        <v>31</v>
      </c>
      <c r="D114" s="2">
        <f>IF(NOT(ISBLANK(Exam[[#This Row],[Student No.]])), _xlfn.IFNA(INDEX(exam_mcq[LenientTotalMark],MATCH(Exam[[#This Row],[Student No.]],exam_mcq[StudentNumberText],0)), ""),  "No student!")</f>
        <v>16</v>
      </c>
      <c r="E114" s="2">
        <v>4</v>
      </c>
      <c r="F114" s="2">
        <v>2</v>
      </c>
      <c r="G114" s="2">
        <v>7</v>
      </c>
      <c r="H114" s="2">
        <f>IF(NOT(Exam[[#This Row],[Student No.]]=""),(IF(COUNTBLANK(Exam[[#This Row],[Q2]:[Q4]])=0,SUM(Exam[[#This Row],[Q2]:[Q4]]),"")),"")</f>
        <v>13</v>
      </c>
      <c r="I114" s="6">
        <f>IF(NOT(Exam[[#This Row],[Student No.]]=""),(IF(COUNTBLANK(Exam[[#This Row],[MCQ]:[Q4]])=0,SUM(Exam[[#This Row],[MCQ]:[Q4]]),"")),"")</f>
        <v>29</v>
      </c>
      <c r="J114" s="3"/>
    </row>
    <row r="115" spans="1:10">
      <c r="A115" s="14" t="s">
        <v>379</v>
      </c>
      <c r="B115" s="27" t="s">
        <v>1319</v>
      </c>
      <c r="C115" s="28">
        <f>IF(ISNUMBER(Exam[[#This Row],[Total]]),ROUND(Exam[[#This Row],[Total]]/$I$5*100,0),"")</f>
        <v>64</v>
      </c>
      <c r="D115" s="2">
        <f>IF(NOT(ISBLANK(Exam[[#This Row],[Student No.]])), _xlfn.IFNA(INDEX(exam_mcq[LenientTotalMark],MATCH(Exam[[#This Row],[Student No.]],exam_mcq[StudentNumberText],0)), ""),  "No student!")</f>
        <v>19</v>
      </c>
      <c r="E115" s="2">
        <v>5</v>
      </c>
      <c r="F115" s="2">
        <v>20</v>
      </c>
      <c r="G115" s="2">
        <v>17</v>
      </c>
      <c r="H115" s="2">
        <f>IF(NOT(Exam[[#This Row],[Student No.]]=""),(IF(COUNTBLANK(Exam[[#This Row],[Q2]:[Q4]])=0,SUM(Exam[[#This Row],[Q2]:[Q4]]),"")),"")</f>
        <v>42</v>
      </c>
      <c r="I115" s="6">
        <f>IF(NOT(Exam[[#This Row],[Student No.]]=""),(IF(COUNTBLANK(Exam[[#This Row],[MCQ]:[Q4]])=0,SUM(Exam[[#This Row],[MCQ]:[Q4]]),"")),"")</f>
        <v>61</v>
      </c>
      <c r="J115" s="3"/>
    </row>
    <row r="116" spans="1:10">
      <c r="A116" s="14" t="s">
        <v>380</v>
      </c>
      <c r="B116" s="27" t="s">
        <v>1068</v>
      </c>
      <c r="C116" s="28">
        <f>IF(ISNUMBER(Exam[[#This Row],[Total]]),ROUND(Exam[[#This Row],[Total]]/$I$5*100,0),"")</f>
        <v>17</v>
      </c>
      <c r="D116" s="2">
        <f>IF(NOT(ISBLANK(Exam[[#This Row],[Student No.]])), _xlfn.IFNA(INDEX(exam_mcq[LenientTotalMark],MATCH(Exam[[#This Row],[Student No.]],exam_mcq[StudentNumberText],0)), ""),  "No student!")</f>
        <v>7</v>
      </c>
      <c r="E116" s="2">
        <v>0</v>
      </c>
      <c r="F116" s="2">
        <v>5</v>
      </c>
      <c r="G116" s="2">
        <v>4</v>
      </c>
      <c r="H116" s="2">
        <f>IF(NOT(Exam[[#This Row],[Student No.]]=""),(IF(COUNTBLANK(Exam[[#This Row],[Q2]:[Q4]])=0,SUM(Exam[[#This Row],[Q2]:[Q4]]),"")),"")</f>
        <v>9</v>
      </c>
      <c r="I116" s="6">
        <f>IF(NOT(Exam[[#This Row],[Student No.]]=""),(IF(COUNTBLANK(Exam[[#This Row],[MCQ]:[Q4]])=0,SUM(Exam[[#This Row],[MCQ]:[Q4]]),"")),"")</f>
        <v>16</v>
      </c>
      <c r="J116" s="3"/>
    </row>
    <row r="117" spans="1:10">
      <c r="A117" s="14" t="s">
        <v>381</v>
      </c>
      <c r="B117" s="27" t="s">
        <v>1192</v>
      </c>
      <c r="C117" s="28" t="str">
        <f>IF(ISNUMBER(Exam[[#This Row],[Total]]),ROUND(Exam[[#This Row],[Total]]/$I$5*100,0),"")</f>
        <v/>
      </c>
      <c r="D117" s="2" t="str">
        <f>IF(NOT(ISBLANK(Exam[[#This Row],[Student No.]])), _xlfn.IFNA(INDEX(exam_mcq[LenientTotalMark],MATCH(Exam[[#This Row],[Student No.]],exam_mcq[StudentNumberText],0)), ""),  "No student!")</f>
        <v/>
      </c>
      <c r="H117" s="2" t="str">
        <f>IF(NOT(Exam[[#This Row],[Student No.]]=""),(IF(COUNTBLANK(Exam[[#This Row],[Q2]:[Q4]])=0,SUM(Exam[[#This Row],[Q2]:[Q4]]),"")),"")</f>
        <v/>
      </c>
      <c r="I117" s="6" t="str">
        <f>IF(NOT(Exam[[#This Row],[Student No.]]=""),(IF(COUNTBLANK(Exam[[#This Row],[MCQ]:[Q4]])=0,SUM(Exam[[#This Row],[MCQ]:[Q4]]),"")),"")</f>
        <v/>
      </c>
      <c r="J117" s="3" t="s">
        <v>1026</v>
      </c>
    </row>
    <row r="118" spans="1:10">
      <c r="A118" s="14" t="s">
        <v>382</v>
      </c>
      <c r="B118" s="27" t="s">
        <v>1320</v>
      </c>
      <c r="C118" s="28" t="str">
        <f>IF(ISNUMBER(Exam[[#This Row],[Total]]),ROUND(Exam[[#This Row],[Total]]/$I$5*100,0),"")</f>
        <v/>
      </c>
      <c r="D118" s="2" t="str">
        <f>IF(NOT(ISBLANK(Exam[[#This Row],[Student No.]])), _xlfn.IFNA(INDEX(exam_mcq[LenientTotalMark],MATCH(Exam[[#This Row],[Student No.]],exam_mcq[StudentNumberText],0)), ""),  "No student!")</f>
        <v/>
      </c>
      <c r="H118" s="2" t="str">
        <f>IF(NOT(Exam[[#This Row],[Student No.]]=""),(IF(COUNTBLANK(Exam[[#This Row],[Q2]:[Q4]])=0,SUM(Exam[[#This Row],[Q2]:[Q4]]),"")),"")</f>
        <v/>
      </c>
      <c r="I118" s="6" t="str">
        <f>IF(NOT(Exam[[#This Row],[Student No.]]=""),(IF(COUNTBLANK(Exam[[#This Row],[MCQ]:[Q4]])=0,SUM(Exam[[#This Row],[MCQ]:[Q4]]),"")),"")</f>
        <v/>
      </c>
      <c r="J118" s="3" t="s">
        <v>1026</v>
      </c>
    </row>
    <row r="119" spans="1:10">
      <c r="A119" s="14" t="s">
        <v>383</v>
      </c>
      <c r="B119" s="27" t="s">
        <v>1069</v>
      </c>
      <c r="C119" s="28">
        <f>IF(ISNUMBER(Exam[[#This Row],[Total]]),ROUND(Exam[[#This Row],[Total]]/$I$5*100,0),"")</f>
        <v>31</v>
      </c>
      <c r="D119" s="2">
        <f>IF(NOT(ISBLANK(Exam[[#This Row],[Student No.]])), _xlfn.IFNA(INDEX(exam_mcq[LenientTotalMark],MATCH(Exam[[#This Row],[Student No.]],exam_mcq[StudentNumberText],0)), ""),  "No student!")</f>
        <v>18</v>
      </c>
      <c r="E119" s="2">
        <v>0</v>
      </c>
      <c r="F119" s="2">
        <v>10</v>
      </c>
      <c r="G119" s="2">
        <v>1</v>
      </c>
      <c r="H119" s="2">
        <f>IF(NOT(Exam[[#This Row],[Student No.]]=""),(IF(COUNTBLANK(Exam[[#This Row],[Q2]:[Q4]])=0,SUM(Exam[[#This Row],[Q2]:[Q4]]),"")),"")</f>
        <v>11</v>
      </c>
      <c r="I119" s="6">
        <f>IF(NOT(Exam[[#This Row],[Student No.]]=""),(IF(COUNTBLANK(Exam[[#This Row],[MCQ]:[Q4]])=0,SUM(Exam[[#This Row],[MCQ]:[Q4]]),"")),"")</f>
        <v>29</v>
      </c>
      <c r="J119" s="3"/>
    </row>
    <row r="120" spans="1:10">
      <c r="A120" s="162" t="s">
        <v>384</v>
      </c>
      <c r="B120" s="163" t="s">
        <v>1321</v>
      </c>
      <c r="C120" s="28" t="str">
        <f>IF(ISNUMBER(Exam[[#This Row],[Total]]),ROUND(Exam[[#This Row],[Total]]/$I$5*100,0),"")</f>
        <v/>
      </c>
      <c r="D120" s="2" t="str">
        <f>IF(NOT(ISBLANK(Exam[[#This Row],[Student No.]])), _xlfn.IFNA(INDEX(exam_mcq[LenientTotalMark],MATCH(Exam[[#This Row],[Student No.]],exam_mcq[StudentNumberText],0)), ""),  "No student!")</f>
        <v/>
      </c>
      <c r="H120" s="2" t="str">
        <f>IF(NOT(Exam[[#This Row],[Student No.]]=""),(IF(COUNTBLANK(Exam[[#This Row],[Q2]:[Q4]])=0,SUM(Exam[[#This Row],[Q2]:[Q4]]),"")),"")</f>
        <v/>
      </c>
      <c r="I120" s="6" t="str">
        <f>IF(NOT(Exam[[#This Row],[Student No.]]=""),(IF(COUNTBLANK(Exam[[#This Row],[MCQ]:[Q4]])=0,SUM(Exam[[#This Row],[MCQ]:[Q4]]),"")),"")</f>
        <v/>
      </c>
      <c r="J120" s="3" t="s">
        <v>1038</v>
      </c>
    </row>
    <row r="121" spans="1:10">
      <c r="A121" s="14" t="s">
        <v>385</v>
      </c>
      <c r="B121" s="27" t="s">
        <v>1322</v>
      </c>
      <c r="C121" s="28" t="str">
        <f>IF(ISNUMBER(Exam[[#This Row],[Total]]),ROUND(Exam[[#This Row],[Total]]/$I$5*100,0),"")</f>
        <v/>
      </c>
      <c r="D121" s="2" t="str">
        <f>IF(NOT(ISBLANK(Exam[[#This Row],[Student No.]])), _xlfn.IFNA(INDEX(exam_mcq[LenientTotalMark],MATCH(Exam[[#This Row],[Student No.]],exam_mcq[StudentNumberText],0)), ""),  "No student!")</f>
        <v/>
      </c>
      <c r="H121" s="2" t="str">
        <f>IF(NOT(Exam[[#This Row],[Student No.]]=""),(IF(COUNTBLANK(Exam[[#This Row],[Q2]:[Q4]])=0,SUM(Exam[[#This Row],[Q2]:[Q4]]),"")),"")</f>
        <v/>
      </c>
      <c r="I121" s="6" t="str">
        <f>IF(NOT(Exam[[#This Row],[Student No.]]=""),(IF(COUNTBLANK(Exam[[#This Row],[MCQ]:[Q4]])=0,SUM(Exam[[#This Row],[MCQ]:[Q4]]),"")),"")</f>
        <v/>
      </c>
      <c r="J121" s="3" t="s">
        <v>1027</v>
      </c>
    </row>
    <row r="122" spans="1:10">
      <c r="A122" s="14" t="s">
        <v>386</v>
      </c>
      <c r="B122" s="27" t="s">
        <v>1323</v>
      </c>
      <c r="C122" s="28">
        <f>IF(ISNUMBER(Exam[[#This Row],[Total]]),ROUND(Exam[[#This Row],[Total]]/$I$5*100,0),"")</f>
        <v>18</v>
      </c>
      <c r="D122" s="2">
        <f>IF(NOT(ISBLANK(Exam[[#This Row],[Student No.]])), _xlfn.IFNA(INDEX(exam_mcq[LenientTotalMark],MATCH(Exam[[#This Row],[Student No.]],exam_mcq[StudentNumberText],0)), ""),  "No student!")</f>
        <v>10</v>
      </c>
      <c r="E122" s="2">
        <v>0</v>
      </c>
      <c r="F122" s="2">
        <v>4</v>
      </c>
      <c r="G122" s="2">
        <v>3</v>
      </c>
      <c r="H122" s="2">
        <f>IF(NOT(Exam[[#This Row],[Student No.]]=""),(IF(COUNTBLANK(Exam[[#This Row],[Q2]:[Q4]])=0,SUM(Exam[[#This Row],[Q2]:[Q4]]),"")),"")</f>
        <v>7</v>
      </c>
      <c r="I122" s="6">
        <f>IF(NOT(Exam[[#This Row],[Student No.]]=""),(IF(COUNTBLANK(Exam[[#This Row],[MCQ]:[Q4]])=0,SUM(Exam[[#This Row],[MCQ]:[Q4]]),"")),"")</f>
        <v>17</v>
      </c>
      <c r="J122" s="3"/>
    </row>
    <row r="123" spans="1:10">
      <c r="A123" s="14" t="s">
        <v>387</v>
      </c>
      <c r="B123" s="27" t="s">
        <v>1324</v>
      </c>
      <c r="C123" s="28">
        <f>IF(ISNUMBER(Exam[[#This Row],[Total]]),ROUND(Exam[[#This Row],[Total]]/$I$5*100,0),"")</f>
        <v>44</v>
      </c>
      <c r="D123" s="2">
        <f>IF(NOT(ISBLANK(Exam[[#This Row],[Student No.]])), _xlfn.IFNA(INDEX(exam_mcq[LenientTotalMark],MATCH(Exam[[#This Row],[Student No.]],exam_mcq[StudentNumberText],0)), ""),  "No student!")</f>
        <v>18</v>
      </c>
      <c r="E123" s="2">
        <v>4</v>
      </c>
      <c r="F123" s="2">
        <v>18</v>
      </c>
      <c r="G123" s="2">
        <v>2</v>
      </c>
      <c r="H123" s="2">
        <f>IF(NOT(Exam[[#This Row],[Student No.]]=""),(IF(COUNTBLANK(Exam[[#This Row],[Q2]:[Q4]])=0,SUM(Exam[[#This Row],[Q2]:[Q4]]),"")),"")</f>
        <v>24</v>
      </c>
      <c r="I123" s="6">
        <f>IF(NOT(Exam[[#This Row],[Student No.]]=""),(IF(COUNTBLANK(Exam[[#This Row],[MCQ]:[Q4]])=0,SUM(Exam[[#This Row],[MCQ]:[Q4]]),"")),"")</f>
        <v>42</v>
      </c>
      <c r="J123" s="3"/>
    </row>
    <row r="124" spans="1:10">
      <c r="A124" s="14" t="s">
        <v>388</v>
      </c>
      <c r="B124" s="27" t="s">
        <v>1077</v>
      </c>
      <c r="C124" s="28">
        <f>IF(ISNUMBER(Exam[[#This Row],[Total]]),ROUND(Exam[[#This Row],[Total]]/$I$5*100,0),"")</f>
        <v>26</v>
      </c>
      <c r="D124" s="2">
        <f>IF(NOT(ISBLANK(Exam[[#This Row],[Student No.]])), _xlfn.IFNA(INDEX(exam_mcq[LenientTotalMark],MATCH(Exam[[#This Row],[Student No.]],exam_mcq[StudentNumberText],0)), ""),  "No student!")</f>
        <v>14</v>
      </c>
      <c r="E124" s="2">
        <v>0</v>
      </c>
      <c r="F124" s="2">
        <v>7</v>
      </c>
      <c r="G124" s="2">
        <v>4</v>
      </c>
      <c r="H124" s="2">
        <f>IF(NOT(Exam[[#This Row],[Student No.]]=""),(IF(COUNTBLANK(Exam[[#This Row],[Q2]:[Q4]])=0,SUM(Exam[[#This Row],[Q2]:[Q4]]),"")),"")</f>
        <v>11</v>
      </c>
      <c r="I124" s="6">
        <f>IF(NOT(Exam[[#This Row],[Student No.]]=""),(IF(COUNTBLANK(Exam[[#This Row],[MCQ]:[Q4]])=0,SUM(Exam[[#This Row],[MCQ]:[Q4]]),"")),"")</f>
        <v>25</v>
      </c>
      <c r="J124" s="3"/>
    </row>
    <row r="125" spans="1:10">
      <c r="A125" s="14" t="s">
        <v>389</v>
      </c>
      <c r="B125" s="27" t="s">
        <v>1325</v>
      </c>
      <c r="C125" s="28">
        <f>IF(ISNUMBER(Exam[[#This Row],[Total]]),ROUND(Exam[[#This Row],[Total]]/$I$5*100,0),"")</f>
        <v>25</v>
      </c>
      <c r="D125" s="2">
        <f>IF(NOT(ISBLANK(Exam[[#This Row],[Student No.]])), _xlfn.IFNA(INDEX(exam_mcq[LenientTotalMark],MATCH(Exam[[#This Row],[Student No.]],exam_mcq[StudentNumberText],0)), ""),  "No student!")</f>
        <v>17</v>
      </c>
      <c r="E125" s="2">
        <v>4</v>
      </c>
      <c r="F125" s="2">
        <v>3</v>
      </c>
      <c r="G125" s="2">
        <v>0</v>
      </c>
      <c r="H125" s="2">
        <f>IF(NOT(Exam[[#This Row],[Student No.]]=""),(IF(COUNTBLANK(Exam[[#This Row],[Q2]:[Q4]])=0,SUM(Exam[[#This Row],[Q2]:[Q4]]),"")),"")</f>
        <v>7</v>
      </c>
      <c r="I125" s="6">
        <f>IF(NOT(Exam[[#This Row],[Student No.]]=""),(IF(COUNTBLANK(Exam[[#This Row],[MCQ]:[Q4]])=0,SUM(Exam[[#This Row],[MCQ]:[Q4]]),"")),"")</f>
        <v>24</v>
      </c>
      <c r="J125" s="3"/>
    </row>
    <row r="126" spans="1:10">
      <c r="A126" s="14" t="s">
        <v>390</v>
      </c>
      <c r="B126" s="27" t="s">
        <v>1326</v>
      </c>
      <c r="C126" s="28" t="str">
        <f>IF(ISNUMBER(Exam[[#This Row],[Total]]),ROUND(Exam[[#This Row],[Total]]/$I$5*100,0),"")</f>
        <v/>
      </c>
      <c r="D126" s="2" t="str">
        <f>IF(NOT(ISBLANK(Exam[[#This Row],[Student No.]])), _xlfn.IFNA(INDEX(exam_mcq[LenientTotalMark],MATCH(Exam[[#This Row],[Student No.]],exam_mcq[StudentNumberText],0)), ""),  "No student!")</f>
        <v/>
      </c>
      <c r="H126" s="2" t="str">
        <f>IF(NOT(Exam[[#This Row],[Student No.]]=""),(IF(COUNTBLANK(Exam[[#This Row],[Q2]:[Q4]])=0,SUM(Exam[[#This Row],[Q2]:[Q4]]),"")),"")</f>
        <v/>
      </c>
      <c r="I126" s="6" t="str">
        <f>IF(NOT(Exam[[#This Row],[Student No.]]=""),(IF(COUNTBLANK(Exam[[#This Row],[MCQ]:[Q4]])=0,SUM(Exam[[#This Row],[MCQ]:[Q4]]),"")),"")</f>
        <v/>
      </c>
      <c r="J126" s="3" t="s">
        <v>1027</v>
      </c>
    </row>
    <row r="127" spans="1:10">
      <c r="A127" s="14" t="s">
        <v>391</v>
      </c>
      <c r="B127" s="27" t="s">
        <v>1327</v>
      </c>
      <c r="C127" s="28">
        <f>IF(ISNUMBER(Exam[[#This Row],[Total]]),ROUND(Exam[[#This Row],[Total]]/$I$5*100,0),"")</f>
        <v>19</v>
      </c>
      <c r="D127" s="2">
        <f>IF(NOT(ISBLANK(Exam[[#This Row],[Student No.]])), _xlfn.IFNA(INDEX(exam_mcq[LenientTotalMark],MATCH(Exam[[#This Row],[Student No.]],exam_mcq[StudentNumberText],0)), ""),  "No student!")</f>
        <v>9</v>
      </c>
      <c r="E127" s="2">
        <v>2</v>
      </c>
      <c r="F127" s="2">
        <v>2</v>
      </c>
      <c r="G127" s="2">
        <v>5</v>
      </c>
      <c r="H127" s="2">
        <f>IF(NOT(Exam[[#This Row],[Student No.]]=""),(IF(COUNTBLANK(Exam[[#This Row],[Q2]:[Q4]])=0,SUM(Exam[[#This Row],[Q2]:[Q4]]),"")),"")</f>
        <v>9</v>
      </c>
      <c r="I127" s="6">
        <f>IF(NOT(Exam[[#This Row],[Student No.]]=""),(IF(COUNTBLANK(Exam[[#This Row],[MCQ]:[Q4]])=0,SUM(Exam[[#This Row],[MCQ]:[Q4]]),"")),"")</f>
        <v>18</v>
      </c>
      <c r="J127" s="3"/>
    </row>
    <row r="128" spans="1:10">
      <c r="A128" s="14" t="s">
        <v>392</v>
      </c>
      <c r="B128" s="27" t="s">
        <v>1214</v>
      </c>
      <c r="C128" s="28" t="str">
        <f>IF(ISNUMBER(Exam[[#This Row],[Total]]),ROUND(Exam[[#This Row],[Total]]/$I$5*100,0),"")</f>
        <v/>
      </c>
      <c r="D128" s="2" t="str">
        <f>IF(NOT(ISBLANK(Exam[[#This Row],[Student No.]])), _xlfn.IFNA(INDEX(exam_mcq[LenientTotalMark],MATCH(Exam[[#This Row],[Student No.]],exam_mcq[StudentNumberText],0)), ""),  "No student!")</f>
        <v/>
      </c>
      <c r="H128" s="2" t="str">
        <f>IF(NOT(Exam[[#This Row],[Student No.]]=""),(IF(COUNTBLANK(Exam[[#This Row],[Q2]:[Q4]])=0,SUM(Exam[[#This Row],[Q2]:[Q4]]),"")),"")</f>
        <v/>
      </c>
      <c r="I128" s="6" t="str">
        <f>IF(NOT(Exam[[#This Row],[Student No.]]=""),(IF(COUNTBLANK(Exam[[#This Row],[MCQ]:[Q4]])=0,SUM(Exam[[#This Row],[MCQ]:[Q4]]),"")),"")</f>
        <v/>
      </c>
      <c r="J128" s="3" t="s">
        <v>1027</v>
      </c>
    </row>
    <row r="129" spans="1:10">
      <c r="A129" s="14" t="s">
        <v>393</v>
      </c>
      <c r="B129" s="27" t="s">
        <v>1054</v>
      </c>
      <c r="C129" s="28">
        <f>IF(ISNUMBER(Exam[[#This Row],[Total]]),ROUND(Exam[[#This Row],[Total]]/$I$5*100,0),"")</f>
        <v>23</v>
      </c>
      <c r="D129" s="2">
        <f>IF(NOT(ISBLANK(Exam[[#This Row],[Student No.]])), _xlfn.IFNA(INDEX(exam_mcq[LenientTotalMark],MATCH(Exam[[#This Row],[Student No.]],exam_mcq[StudentNumberText],0)), ""),  "No student!")</f>
        <v>9</v>
      </c>
      <c r="E129" s="2">
        <v>0</v>
      </c>
      <c r="F129" s="2">
        <v>11</v>
      </c>
      <c r="G129" s="2">
        <v>2</v>
      </c>
      <c r="H129" s="2">
        <f>IF(NOT(Exam[[#This Row],[Student No.]]=""),(IF(COUNTBLANK(Exam[[#This Row],[Q2]:[Q4]])=0,SUM(Exam[[#This Row],[Q2]:[Q4]]),"")),"")</f>
        <v>13</v>
      </c>
      <c r="I129" s="6">
        <f>IF(NOT(Exam[[#This Row],[Student No.]]=""),(IF(COUNTBLANK(Exam[[#This Row],[MCQ]:[Q4]])=0,SUM(Exam[[#This Row],[MCQ]:[Q4]]),"")),"")</f>
        <v>22</v>
      </c>
      <c r="J129" s="3"/>
    </row>
    <row r="130" spans="1:10">
      <c r="A130" s="14" t="s">
        <v>394</v>
      </c>
      <c r="B130" s="27" t="s">
        <v>1328</v>
      </c>
      <c r="C130" s="28">
        <f>IF(ISNUMBER(Exam[[#This Row],[Total]]),ROUND(Exam[[#This Row],[Total]]/$I$5*100,0),"")</f>
        <v>25</v>
      </c>
      <c r="D130" s="2">
        <f>IF(NOT(ISBLANK(Exam[[#This Row],[Student No.]])), _xlfn.IFNA(INDEX(exam_mcq[LenientTotalMark],MATCH(Exam[[#This Row],[Student No.]],exam_mcq[StudentNumberText],0)), ""),  "No student!")</f>
        <v>12</v>
      </c>
      <c r="E130" s="2">
        <v>2</v>
      </c>
      <c r="F130" s="2">
        <v>6</v>
      </c>
      <c r="G130" s="2">
        <v>4</v>
      </c>
      <c r="H130" s="2">
        <f>IF(NOT(Exam[[#This Row],[Student No.]]=""),(IF(COUNTBLANK(Exam[[#This Row],[Q2]:[Q4]])=0,SUM(Exam[[#This Row],[Q2]:[Q4]]),"")),"")</f>
        <v>12</v>
      </c>
      <c r="I130" s="6">
        <f>IF(NOT(Exam[[#This Row],[Student No.]]=""),(IF(COUNTBLANK(Exam[[#This Row],[MCQ]:[Q4]])=0,SUM(Exam[[#This Row],[MCQ]:[Q4]]),"")),"")</f>
        <v>24</v>
      </c>
      <c r="J130" s="3"/>
    </row>
    <row r="131" spans="1:10">
      <c r="A131" s="14" t="s">
        <v>395</v>
      </c>
      <c r="B131" s="27" t="s">
        <v>1329</v>
      </c>
      <c r="C131" s="28">
        <f>IF(ISNUMBER(Exam[[#This Row],[Total]]),ROUND(Exam[[#This Row],[Total]]/$I$5*100,0),"")</f>
        <v>34</v>
      </c>
      <c r="D131" s="2">
        <f>IF(NOT(ISBLANK(Exam[[#This Row],[Student No.]])), _xlfn.IFNA(INDEX(exam_mcq[LenientTotalMark],MATCH(Exam[[#This Row],[Student No.]],exam_mcq[StudentNumberText],0)), ""),  "No student!")</f>
        <v>14</v>
      </c>
      <c r="E131" s="2">
        <v>0</v>
      </c>
      <c r="F131" s="2">
        <v>8</v>
      </c>
      <c r="G131" s="2">
        <v>10</v>
      </c>
      <c r="H131" s="2">
        <f>IF(NOT(Exam[[#This Row],[Student No.]]=""),(IF(COUNTBLANK(Exam[[#This Row],[Q2]:[Q4]])=0,SUM(Exam[[#This Row],[Q2]:[Q4]]),"")),"")</f>
        <v>18</v>
      </c>
      <c r="I131" s="6">
        <f>IF(NOT(Exam[[#This Row],[Student No.]]=""),(IF(COUNTBLANK(Exam[[#This Row],[MCQ]:[Q4]])=0,SUM(Exam[[#This Row],[MCQ]:[Q4]]),"")),"")</f>
        <v>32</v>
      </c>
      <c r="J131" s="3"/>
    </row>
    <row r="132" spans="1:10">
      <c r="A132" s="14" t="s">
        <v>396</v>
      </c>
      <c r="B132" s="27" t="s">
        <v>1330</v>
      </c>
      <c r="C132" s="28">
        <f>IF(ISNUMBER(Exam[[#This Row],[Total]]),ROUND(Exam[[#This Row],[Total]]/$I$5*100,0),"")</f>
        <v>33</v>
      </c>
      <c r="D132" s="2">
        <f>IF(NOT(ISBLANK(Exam[[#This Row],[Student No.]])), _xlfn.IFNA(INDEX(exam_mcq[LenientTotalMark],MATCH(Exam[[#This Row],[Student No.]],exam_mcq[StudentNumberText],0)), ""),  "No student!")</f>
        <v>14</v>
      </c>
      <c r="E132" s="2">
        <v>2</v>
      </c>
      <c r="F132" s="2">
        <v>8</v>
      </c>
      <c r="G132" s="2">
        <v>7</v>
      </c>
      <c r="H132" s="2">
        <f>IF(NOT(Exam[[#This Row],[Student No.]]=""),(IF(COUNTBLANK(Exam[[#This Row],[Q2]:[Q4]])=0,SUM(Exam[[#This Row],[Q2]:[Q4]]),"")),"")</f>
        <v>17</v>
      </c>
      <c r="I132" s="6">
        <f>IF(NOT(Exam[[#This Row],[Student No.]]=""),(IF(COUNTBLANK(Exam[[#This Row],[MCQ]:[Q4]])=0,SUM(Exam[[#This Row],[MCQ]:[Q4]]),"")),"")</f>
        <v>31</v>
      </c>
      <c r="J132" s="3"/>
    </row>
    <row r="133" spans="1:10">
      <c r="A133" s="14" t="s">
        <v>397</v>
      </c>
      <c r="B133" s="27" t="s">
        <v>1331</v>
      </c>
      <c r="C133" s="28">
        <f>IF(ISNUMBER(Exam[[#This Row],[Total]]),ROUND(Exam[[#This Row],[Total]]/$I$5*100,0),"")</f>
        <v>22</v>
      </c>
      <c r="D133" s="2">
        <f>IF(NOT(ISBLANK(Exam[[#This Row],[Student No.]])), _xlfn.IFNA(INDEX(exam_mcq[LenientTotalMark],MATCH(Exam[[#This Row],[Student No.]],exam_mcq[StudentNumberText],0)), ""),  "No student!")</f>
        <v>12</v>
      </c>
      <c r="E133" s="2">
        <v>0</v>
      </c>
      <c r="F133" s="2">
        <v>9</v>
      </c>
      <c r="G133" s="2">
        <v>0</v>
      </c>
      <c r="H133" s="2">
        <f>IF(NOT(Exam[[#This Row],[Student No.]]=""),(IF(COUNTBLANK(Exam[[#This Row],[Q2]:[Q4]])=0,SUM(Exam[[#This Row],[Q2]:[Q4]]),"")),"")</f>
        <v>9</v>
      </c>
      <c r="I133" s="6">
        <f>IF(NOT(Exam[[#This Row],[Student No.]]=""),(IF(COUNTBLANK(Exam[[#This Row],[MCQ]:[Q4]])=0,SUM(Exam[[#This Row],[MCQ]:[Q4]]),"")),"")</f>
        <v>21</v>
      </c>
      <c r="J133" s="3"/>
    </row>
    <row r="134" spans="1:10">
      <c r="A134" s="14" t="s">
        <v>398</v>
      </c>
      <c r="B134" s="27" t="s">
        <v>1332</v>
      </c>
      <c r="C134" s="28">
        <f>IF(ISNUMBER(Exam[[#This Row],[Total]]),ROUND(Exam[[#This Row],[Total]]/$I$5*100,0),"")</f>
        <v>31</v>
      </c>
      <c r="D134" s="2">
        <f>IF(NOT(ISBLANK(Exam[[#This Row],[Student No.]])), _xlfn.IFNA(INDEX(exam_mcq[LenientTotalMark],MATCH(Exam[[#This Row],[Student No.]],exam_mcq[StudentNumberText],0)), ""),  "No student!")</f>
        <v>10</v>
      </c>
      <c r="E134" s="2">
        <v>7</v>
      </c>
      <c r="F134" s="2">
        <v>8</v>
      </c>
      <c r="G134" s="2">
        <v>4</v>
      </c>
      <c r="H134" s="2">
        <f>IF(NOT(Exam[[#This Row],[Student No.]]=""),(IF(COUNTBLANK(Exam[[#This Row],[Q2]:[Q4]])=0,SUM(Exam[[#This Row],[Q2]:[Q4]]),"")),"")</f>
        <v>19</v>
      </c>
      <c r="I134" s="6">
        <f>IF(NOT(Exam[[#This Row],[Student No.]]=""),(IF(COUNTBLANK(Exam[[#This Row],[MCQ]:[Q4]])=0,SUM(Exam[[#This Row],[MCQ]:[Q4]]),"")),"")</f>
        <v>29</v>
      </c>
      <c r="J134" s="3"/>
    </row>
    <row r="135" spans="1:10">
      <c r="A135" s="14" t="s">
        <v>399</v>
      </c>
      <c r="B135" s="27" t="s">
        <v>1333</v>
      </c>
      <c r="C135" s="28">
        <f>IF(ISNUMBER(Exam[[#This Row],[Total]]),ROUND(Exam[[#This Row],[Total]]/$I$5*100,0),"")</f>
        <v>29</v>
      </c>
      <c r="D135" s="2">
        <f>IF(NOT(ISBLANK(Exam[[#This Row],[Student No.]])), _xlfn.IFNA(INDEX(exam_mcq[LenientTotalMark],MATCH(Exam[[#This Row],[Student No.]],exam_mcq[StudentNumberText],0)), ""),  "No student!")</f>
        <v>12</v>
      </c>
      <c r="E135" s="2">
        <v>2</v>
      </c>
      <c r="F135" s="2">
        <v>6</v>
      </c>
      <c r="G135" s="2">
        <v>8</v>
      </c>
      <c r="H135" s="2">
        <f>IF(NOT(Exam[[#This Row],[Student No.]]=""),(IF(COUNTBLANK(Exam[[#This Row],[Q2]:[Q4]])=0,SUM(Exam[[#This Row],[Q2]:[Q4]]),"")),"")</f>
        <v>16</v>
      </c>
      <c r="I135" s="6">
        <f>IF(NOT(Exam[[#This Row],[Student No.]]=""),(IF(COUNTBLANK(Exam[[#This Row],[MCQ]:[Q4]])=0,SUM(Exam[[#This Row],[MCQ]:[Q4]]),"")),"")</f>
        <v>28</v>
      </c>
      <c r="J135" s="3"/>
    </row>
    <row r="136" spans="1:10">
      <c r="A136" s="14" t="s">
        <v>400</v>
      </c>
      <c r="B136" s="27" t="s">
        <v>1334</v>
      </c>
      <c r="C136" s="28" t="str">
        <f>IF(ISNUMBER(Exam[[#This Row],[Total]]),ROUND(Exam[[#This Row],[Total]]/$I$5*100,0),"")</f>
        <v/>
      </c>
      <c r="D136" s="2" t="str">
        <f>IF(NOT(ISBLANK(Exam[[#This Row],[Student No.]])), _xlfn.IFNA(INDEX(exam_mcq[LenientTotalMark],MATCH(Exam[[#This Row],[Student No.]],exam_mcq[StudentNumberText],0)), ""),  "No student!")</f>
        <v/>
      </c>
      <c r="H136" s="2" t="str">
        <f>IF(NOT(Exam[[#This Row],[Student No.]]=""),(IF(COUNTBLANK(Exam[[#This Row],[Q2]:[Q4]])=0,SUM(Exam[[#This Row],[Q2]:[Q4]]),"")),"")</f>
        <v/>
      </c>
      <c r="I136" s="6" t="str">
        <f>IF(NOT(Exam[[#This Row],[Student No.]]=""),(IF(COUNTBLANK(Exam[[#This Row],[MCQ]:[Q4]])=0,SUM(Exam[[#This Row],[MCQ]:[Q4]]),"")),"")</f>
        <v/>
      </c>
      <c r="J136" s="175" t="s">
        <v>1227</v>
      </c>
    </row>
    <row r="137" spans="1:10">
      <c r="A137" s="14" t="s">
        <v>401</v>
      </c>
      <c r="B137" s="27" t="s">
        <v>1335</v>
      </c>
      <c r="C137" s="28">
        <f>IF(ISNUMBER(Exam[[#This Row],[Total]]),ROUND(Exam[[#This Row],[Total]]/$I$5*100,0),"")</f>
        <v>18</v>
      </c>
      <c r="D137" s="2">
        <f>IF(NOT(ISBLANK(Exam[[#This Row],[Student No.]])), _xlfn.IFNA(INDEX(exam_mcq[LenientTotalMark],MATCH(Exam[[#This Row],[Student No.]],exam_mcq[StudentNumberText],0)), ""),  "No student!")</f>
        <v>8</v>
      </c>
      <c r="E137" s="2">
        <v>1</v>
      </c>
      <c r="F137" s="2">
        <v>6</v>
      </c>
      <c r="G137" s="2">
        <v>2</v>
      </c>
      <c r="H137" s="2">
        <f>IF(NOT(Exam[[#This Row],[Student No.]]=""),(IF(COUNTBLANK(Exam[[#This Row],[Q2]:[Q4]])=0,SUM(Exam[[#This Row],[Q2]:[Q4]]),"")),"")</f>
        <v>9</v>
      </c>
      <c r="I137" s="6">
        <f>IF(NOT(Exam[[#This Row],[Student No.]]=""),(IF(COUNTBLANK(Exam[[#This Row],[MCQ]:[Q4]])=0,SUM(Exam[[#This Row],[MCQ]:[Q4]]),"")),"")</f>
        <v>17</v>
      </c>
      <c r="J137" s="3"/>
    </row>
    <row r="138" spans="1:10">
      <c r="A138" s="14" t="s">
        <v>402</v>
      </c>
      <c r="B138" s="27" t="s">
        <v>1336</v>
      </c>
      <c r="C138" s="28" t="str">
        <f>IF(ISNUMBER(Exam[[#This Row],[Total]]),ROUND(Exam[[#This Row],[Total]]/$I$5*100,0),"")</f>
        <v/>
      </c>
      <c r="D138" s="2" t="str">
        <f>IF(NOT(ISBLANK(Exam[[#This Row],[Student No.]])), _xlfn.IFNA(INDEX(exam_mcq[LenientTotalMark],MATCH(Exam[[#This Row],[Student No.]],exam_mcq[StudentNumberText],0)), ""),  "No student!")</f>
        <v/>
      </c>
      <c r="H138" s="2" t="str">
        <f>IF(NOT(Exam[[#This Row],[Student No.]]=""),(IF(COUNTBLANK(Exam[[#This Row],[Q2]:[Q4]])=0,SUM(Exam[[#This Row],[Q2]:[Q4]]),"")),"")</f>
        <v/>
      </c>
      <c r="I138" s="6" t="str">
        <f>IF(NOT(Exam[[#This Row],[Student No.]]=""),(IF(COUNTBLANK(Exam[[#This Row],[MCQ]:[Q4]])=0,SUM(Exam[[#This Row],[MCQ]:[Q4]]),"")),"")</f>
        <v/>
      </c>
      <c r="J138" s="3" t="s">
        <v>1027</v>
      </c>
    </row>
    <row r="139" spans="1:10">
      <c r="A139" s="14" t="s">
        <v>403</v>
      </c>
      <c r="B139" s="27" t="s">
        <v>1049</v>
      </c>
      <c r="C139" s="28">
        <f>IF(ISNUMBER(Exam[[#This Row],[Total]]),ROUND(Exam[[#This Row],[Total]]/$I$5*100,0),"")</f>
        <v>6</v>
      </c>
      <c r="D139" s="2">
        <f>IF(NOT(ISBLANK(Exam[[#This Row],[Student No.]])), _xlfn.IFNA(INDEX(exam_mcq[LenientTotalMark],MATCH(Exam[[#This Row],[Student No.]],exam_mcq[StudentNumberText],0)), ""),  "No student!")</f>
        <v>5</v>
      </c>
      <c r="E139" s="2">
        <v>0</v>
      </c>
      <c r="F139" s="2">
        <v>0</v>
      </c>
      <c r="G139" s="2">
        <v>1</v>
      </c>
      <c r="H139" s="2">
        <f>IF(NOT(Exam[[#This Row],[Student No.]]=""),(IF(COUNTBLANK(Exam[[#This Row],[Q2]:[Q4]])=0,SUM(Exam[[#This Row],[Q2]:[Q4]]),"")),"")</f>
        <v>1</v>
      </c>
      <c r="I139" s="6">
        <f>IF(NOT(Exam[[#This Row],[Student No.]]=""),(IF(COUNTBLANK(Exam[[#This Row],[MCQ]:[Q4]])=0,SUM(Exam[[#This Row],[MCQ]:[Q4]]),"")),"")</f>
        <v>6</v>
      </c>
      <c r="J139" s="3"/>
    </row>
    <row r="140" spans="1:10">
      <c r="A140" s="14" t="s">
        <v>404</v>
      </c>
      <c r="B140" s="27" t="s">
        <v>1337</v>
      </c>
      <c r="C140" s="28">
        <f>IF(ISNUMBER(Exam[[#This Row],[Total]]),ROUND(Exam[[#This Row],[Total]]/$I$5*100,0),"")</f>
        <v>63</v>
      </c>
      <c r="D140" s="2">
        <f>IF(NOT(ISBLANK(Exam[[#This Row],[Student No.]])), _xlfn.IFNA(INDEX(exam_mcq[LenientTotalMark],MATCH(Exam[[#This Row],[Student No.]],exam_mcq[StudentNumberText],0)), ""),  "No student!")</f>
        <v>14</v>
      </c>
      <c r="E140" s="2">
        <v>2</v>
      </c>
      <c r="F140" s="2">
        <v>22</v>
      </c>
      <c r="G140" s="2">
        <v>22</v>
      </c>
      <c r="H140" s="2">
        <f>IF(NOT(Exam[[#This Row],[Student No.]]=""),(IF(COUNTBLANK(Exam[[#This Row],[Q2]:[Q4]])=0,SUM(Exam[[#This Row],[Q2]:[Q4]]),"")),"")</f>
        <v>46</v>
      </c>
      <c r="I140" s="6">
        <f>IF(NOT(Exam[[#This Row],[Student No.]]=""),(IF(COUNTBLANK(Exam[[#This Row],[MCQ]:[Q4]])=0,SUM(Exam[[#This Row],[MCQ]:[Q4]]),"")),"")</f>
        <v>60</v>
      </c>
      <c r="J140" s="3"/>
    </row>
    <row r="141" spans="1:10">
      <c r="A141" s="14" t="s">
        <v>405</v>
      </c>
      <c r="B141" s="27" t="s">
        <v>1097</v>
      </c>
      <c r="C141" s="28">
        <f>IF(ISNUMBER(Exam[[#This Row],[Total]]),ROUND(Exam[[#This Row],[Total]]/$I$5*100,0),"")</f>
        <v>48</v>
      </c>
      <c r="D141" s="2">
        <f>IF(NOT(ISBLANK(Exam[[#This Row],[Student No.]])), _xlfn.IFNA(INDEX(exam_mcq[LenientTotalMark],MATCH(Exam[[#This Row],[Student No.]],exam_mcq[StudentNumberText],0)), ""),  "No student!")</f>
        <v>16</v>
      </c>
      <c r="E141" s="2">
        <v>3</v>
      </c>
      <c r="F141" s="2">
        <v>16</v>
      </c>
      <c r="G141" s="2">
        <v>11</v>
      </c>
      <c r="H141" s="2">
        <f>IF(NOT(Exam[[#This Row],[Student No.]]=""),(IF(COUNTBLANK(Exam[[#This Row],[Q2]:[Q4]])=0,SUM(Exam[[#This Row],[Q2]:[Q4]]),"")),"")</f>
        <v>30</v>
      </c>
      <c r="I141" s="6">
        <f>IF(NOT(Exam[[#This Row],[Student No.]]=""),(IF(COUNTBLANK(Exam[[#This Row],[MCQ]:[Q4]])=0,SUM(Exam[[#This Row],[MCQ]:[Q4]]),"")),"")</f>
        <v>46</v>
      </c>
      <c r="J141" s="3"/>
    </row>
    <row r="142" spans="1:10">
      <c r="A142" s="14" t="s">
        <v>406</v>
      </c>
      <c r="B142" s="27" t="s">
        <v>1174</v>
      </c>
      <c r="C142" s="28">
        <f>IF(ISNUMBER(Exam[[#This Row],[Total]]),ROUND(Exam[[#This Row],[Total]]/$I$5*100,0),"")</f>
        <v>61</v>
      </c>
      <c r="D142" s="2">
        <f>IF(NOT(ISBLANK(Exam[[#This Row],[Student No.]])), _xlfn.IFNA(INDEX(exam_mcq[LenientTotalMark],MATCH(Exam[[#This Row],[Student No.]],exam_mcq[StudentNumberText],0)), ""),  "No student!")</f>
        <v>17</v>
      </c>
      <c r="E142" s="2">
        <v>2</v>
      </c>
      <c r="F142" s="2">
        <v>22</v>
      </c>
      <c r="G142" s="2">
        <v>17</v>
      </c>
      <c r="H142" s="2">
        <f>IF(NOT(Exam[[#This Row],[Student No.]]=""),(IF(COUNTBLANK(Exam[[#This Row],[Q2]:[Q4]])=0,SUM(Exam[[#This Row],[Q2]:[Q4]]),"")),"")</f>
        <v>41</v>
      </c>
      <c r="I142" s="6">
        <f>IF(NOT(Exam[[#This Row],[Student No.]]=""),(IF(COUNTBLANK(Exam[[#This Row],[MCQ]:[Q4]])=0,SUM(Exam[[#This Row],[MCQ]:[Q4]]),"")),"")</f>
        <v>58</v>
      </c>
      <c r="J142" s="3" t="s">
        <v>1028</v>
      </c>
    </row>
    <row r="143" spans="1:10">
      <c r="A143" s="14" t="s">
        <v>407</v>
      </c>
      <c r="B143" s="27" t="s">
        <v>1338</v>
      </c>
      <c r="C143" s="28">
        <f>IF(ISNUMBER(Exam[[#This Row],[Total]]),ROUND(Exam[[#This Row],[Total]]/$I$5*100,0),"")</f>
        <v>39</v>
      </c>
      <c r="D143" s="2">
        <f>IF(NOT(ISBLANK(Exam[[#This Row],[Student No.]])), _xlfn.IFNA(INDEX(exam_mcq[LenientTotalMark],MATCH(Exam[[#This Row],[Student No.]],exam_mcq[StudentNumberText],0)), ""),  "No student!")</f>
        <v>24</v>
      </c>
      <c r="E143" s="2">
        <v>1</v>
      </c>
      <c r="F143" s="2">
        <v>10</v>
      </c>
      <c r="G143" s="2">
        <v>2</v>
      </c>
      <c r="H143" s="2">
        <f>IF(NOT(Exam[[#This Row],[Student No.]]=""),(IF(COUNTBLANK(Exam[[#This Row],[Q2]:[Q4]])=0,SUM(Exam[[#This Row],[Q2]:[Q4]]),"")),"")</f>
        <v>13</v>
      </c>
      <c r="I143" s="6">
        <f>IF(NOT(Exam[[#This Row],[Student No.]]=""),(IF(COUNTBLANK(Exam[[#This Row],[MCQ]:[Q4]])=0,SUM(Exam[[#This Row],[MCQ]:[Q4]]),"")),"")</f>
        <v>37</v>
      </c>
      <c r="J143" s="3"/>
    </row>
    <row r="144" spans="1:10">
      <c r="A144" s="14" t="s">
        <v>408</v>
      </c>
      <c r="B144" s="27" t="s">
        <v>1339</v>
      </c>
      <c r="C144" s="28">
        <f>IF(ISNUMBER(Exam[[#This Row],[Total]]),ROUND(Exam[[#This Row],[Total]]/$I$5*100,0),"")</f>
        <v>41</v>
      </c>
      <c r="D144" s="2">
        <f>IF(NOT(ISBLANK(Exam[[#This Row],[Student No.]])), _xlfn.IFNA(INDEX(exam_mcq[LenientTotalMark],MATCH(Exam[[#This Row],[Student No.]],exam_mcq[StudentNumberText],0)), ""),  "No student!")</f>
        <v>13</v>
      </c>
      <c r="E144" s="2">
        <v>2</v>
      </c>
      <c r="F144" s="2">
        <v>11</v>
      </c>
      <c r="G144" s="2">
        <v>13</v>
      </c>
      <c r="H144" s="2">
        <f>IF(NOT(Exam[[#This Row],[Student No.]]=""),(IF(COUNTBLANK(Exam[[#This Row],[Q2]:[Q4]])=0,SUM(Exam[[#This Row],[Q2]:[Q4]]),"")),"")</f>
        <v>26</v>
      </c>
      <c r="I144" s="6">
        <f>IF(NOT(Exam[[#This Row],[Student No.]]=""),(IF(COUNTBLANK(Exam[[#This Row],[MCQ]:[Q4]])=0,SUM(Exam[[#This Row],[MCQ]:[Q4]]),"")),"")</f>
        <v>39</v>
      </c>
      <c r="J144" s="3"/>
    </row>
    <row r="145" spans="1:10">
      <c r="A145" s="14" t="s">
        <v>409</v>
      </c>
      <c r="B145" s="27" t="s">
        <v>1340</v>
      </c>
      <c r="C145" s="28">
        <f>IF(ISNUMBER(Exam[[#This Row],[Total]]),ROUND(Exam[[#This Row],[Total]]/$I$5*100,0),"")</f>
        <v>19</v>
      </c>
      <c r="D145" s="2">
        <f>IF(NOT(ISBLANK(Exam[[#This Row],[Student No.]])), _xlfn.IFNA(INDEX(exam_mcq[LenientTotalMark],MATCH(Exam[[#This Row],[Student No.]],exam_mcq[StudentNumberText],0)), ""),  "No student!")</f>
        <v>15</v>
      </c>
      <c r="E145" s="2">
        <v>0</v>
      </c>
      <c r="F145" s="2">
        <v>3</v>
      </c>
      <c r="G145" s="2">
        <v>0</v>
      </c>
      <c r="H145" s="2">
        <f>IF(NOT(Exam[[#This Row],[Student No.]]=""),(IF(COUNTBLANK(Exam[[#This Row],[Q2]:[Q4]])=0,SUM(Exam[[#This Row],[Q2]:[Q4]]),"")),"")</f>
        <v>3</v>
      </c>
      <c r="I145" s="6">
        <f>IF(NOT(Exam[[#This Row],[Student No.]]=""),(IF(COUNTBLANK(Exam[[#This Row],[MCQ]:[Q4]])=0,SUM(Exam[[#This Row],[MCQ]:[Q4]]),"")),"")</f>
        <v>18</v>
      </c>
      <c r="J145" s="3"/>
    </row>
    <row r="146" spans="1:10">
      <c r="A146" s="14" t="s">
        <v>410</v>
      </c>
      <c r="B146" s="27" t="s">
        <v>1341</v>
      </c>
      <c r="C146" s="28">
        <f>IF(ISNUMBER(Exam[[#This Row],[Total]]),ROUND(Exam[[#This Row],[Total]]/$I$5*100,0),"")</f>
        <v>58</v>
      </c>
      <c r="D146" s="2">
        <f>IF(NOT(ISBLANK(Exam[[#This Row],[Student No.]])), _xlfn.IFNA(INDEX(exam_mcq[LenientTotalMark],MATCH(Exam[[#This Row],[Student No.]],exam_mcq[StudentNumberText],0)), ""),  "No student!")</f>
        <v>15</v>
      </c>
      <c r="E146" s="2">
        <v>4</v>
      </c>
      <c r="F146" s="2">
        <v>20</v>
      </c>
      <c r="G146" s="2">
        <v>16</v>
      </c>
      <c r="H146" s="2">
        <f>IF(NOT(Exam[[#This Row],[Student No.]]=""),(IF(COUNTBLANK(Exam[[#This Row],[Q2]:[Q4]])=0,SUM(Exam[[#This Row],[Q2]:[Q4]]),"")),"")</f>
        <v>40</v>
      </c>
      <c r="I146" s="6">
        <f>IF(NOT(Exam[[#This Row],[Student No.]]=""),(IF(COUNTBLANK(Exam[[#This Row],[MCQ]:[Q4]])=0,SUM(Exam[[#This Row],[MCQ]:[Q4]]),"")),"")</f>
        <v>55</v>
      </c>
      <c r="J146" s="3"/>
    </row>
    <row r="147" spans="1:10">
      <c r="A147" s="14" t="s">
        <v>411</v>
      </c>
      <c r="B147" s="27" t="s">
        <v>1342</v>
      </c>
      <c r="C147" s="28">
        <f>IF(ISNUMBER(Exam[[#This Row],[Total]]),ROUND(Exam[[#This Row],[Total]]/$I$5*100,0),"")</f>
        <v>33</v>
      </c>
      <c r="D147" s="2">
        <f>IF(NOT(ISBLANK(Exam[[#This Row],[Student No.]])), _xlfn.IFNA(INDEX(exam_mcq[LenientTotalMark],MATCH(Exam[[#This Row],[Student No.]],exam_mcq[StudentNumberText],0)), ""),  "No student!")</f>
        <v>15</v>
      </c>
      <c r="E147" s="2">
        <v>2</v>
      </c>
      <c r="F147" s="2">
        <v>12</v>
      </c>
      <c r="G147" s="2">
        <v>2</v>
      </c>
      <c r="H147" s="2">
        <f>IF(NOT(Exam[[#This Row],[Student No.]]=""),(IF(COUNTBLANK(Exam[[#This Row],[Q2]:[Q4]])=0,SUM(Exam[[#This Row],[Q2]:[Q4]]),"")),"")</f>
        <v>16</v>
      </c>
      <c r="I147" s="6">
        <f>IF(NOT(Exam[[#This Row],[Student No.]]=""),(IF(COUNTBLANK(Exam[[#This Row],[MCQ]:[Q4]])=0,SUM(Exam[[#This Row],[MCQ]:[Q4]]),"")),"")</f>
        <v>31</v>
      </c>
      <c r="J147" s="3"/>
    </row>
    <row r="148" spans="1:10">
      <c r="A148" s="14" t="s">
        <v>412</v>
      </c>
      <c r="B148" s="27" t="s">
        <v>1343</v>
      </c>
      <c r="C148" s="28">
        <f>IF(ISNUMBER(Exam[[#This Row],[Total]]),ROUND(Exam[[#This Row],[Total]]/$I$5*100,0),"")</f>
        <v>51</v>
      </c>
      <c r="D148" s="2">
        <f>IF(NOT(ISBLANK(Exam[[#This Row],[Student No.]])), _xlfn.IFNA(INDEX(exam_mcq[LenientTotalMark],MATCH(Exam[[#This Row],[Student No.]],exam_mcq[StudentNumberText],0)), ""),  "No student!")</f>
        <v>19</v>
      </c>
      <c r="E148" s="2">
        <v>13</v>
      </c>
      <c r="F148" s="2">
        <v>11</v>
      </c>
      <c r="G148" s="2">
        <v>5</v>
      </c>
      <c r="H148" s="2">
        <f>IF(NOT(Exam[[#This Row],[Student No.]]=""),(IF(COUNTBLANK(Exam[[#This Row],[Q2]:[Q4]])=0,SUM(Exam[[#This Row],[Q2]:[Q4]]),"")),"")</f>
        <v>29</v>
      </c>
      <c r="I148" s="6">
        <f>IF(NOT(Exam[[#This Row],[Student No.]]=""),(IF(COUNTBLANK(Exam[[#This Row],[MCQ]:[Q4]])=0,SUM(Exam[[#This Row],[MCQ]:[Q4]]),"")),"")</f>
        <v>48</v>
      </c>
      <c r="J148" s="3"/>
    </row>
    <row r="149" spans="1:10">
      <c r="A149" s="14" t="s">
        <v>413</v>
      </c>
      <c r="B149" s="27" t="s">
        <v>1344</v>
      </c>
      <c r="C149" s="28">
        <f>IF(ISNUMBER(Exam[[#This Row],[Total]]),ROUND(Exam[[#This Row],[Total]]/$I$5*100,0),"")</f>
        <v>57</v>
      </c>
      <c r="D149" s="2">
        <f>IF(NOT(ISBLANK(Exam[[#This Row],[Student No.]])), _xlfn.IFNA(INDEX(exam_mcq[LenientTotalMark],MATCH(Exam[[#This Row],[Student No.]],exam_mcq[StudentNumberText],0)), ""),  "No student!")</f>
        <v>22</v>
      </c>
      <c r="E149" s="2">
        <v>4</v>
      </c>
      <c r="F149" s="2">
        <v>15</v>
      </c>
      <c r="G149" s="2">
        <v>13</v>
      </c>
      <c r="H149" s="2">
        <f>IF(NOT(Exam[[#This Row],[Student No.]]=""),(IF(COUNTBLANK(Exam[[#This Row],[Q2]:[Q4]])=0,SUM(Exam[[#This Row],[Q2]:[Q4]]),"")),"")</f>
        <v>32</v>
      </c>
      <c r="I149" s="6">
        <f>IF(NOT(Exam[[#This Row],[Student No.]]=""),(IF(COUNTBLANK(Exam[[#This Row],[MCQ]:[Q4]])=0,SUM(Exam[[#This Row],[MCQ]:[Q4]]),"")),"")</f>
        <v>54</v>
      </c>
      <c r="J149" s="3"/>
    </row>
    <row r="150" spans="1:10">
      <c r="A150" s="14" t="s">
        <v>414</v>
      </c>
      <c r="B150" s="27" t="s">
        <v>1186</v>
      </c>
      <c r="C150" s="28" t="str">
        <f>IF(ISNUMBER(Exam[[#This Row],[Total]]),ROUND(Exam[[#This Row],[Total]]/$I$5*100,0),"")</f>
        <v/>
      </c>
      <c r="D150" s="2" t="str">
        <f>IF(NOT(ISBLANK(Exam[[#This Row],[Student No.]])), _xlfn.IFNA(INDEX(exam_mcq[LenientTotalMark],MATCH(Exam[[#This Row],[Student No.]],exam_mcq[StudentNumberText],0)), ""),  "No student!")</f>
        <v/>
      </c>
      <c r="H150" s="2" t="str">
        <f>IF(NOT(Exam[[#This Row],[Student No.]]=""),(IF(COUNTBLANK(Exam[[#This Row],[Q2]:[Q4]])=0,SUM(Exam[[#This Row],[Q2]:[Q4]]),"")),"")</f>
        <v/>
      </c>
      <c r="I150" s="6" t="str">
        <f>IF(NOT(Exam[[#This Row],[Student No.]]=""),(IF(COUNTBLANK(Exam[[#This Row],[MCQ]:[Q4]])=0,SUM(Exam[[#This Row],[MCQ]:[Q4]]),"")),"")</f>
        <v/>
      </c>
      <c r="J150" s="3" t="s">
        <v>1026</v>
      </c>
    </row>
    <row r="151" spans="1:10">
      <c r="A151" s="14" t="s">
        <v>415</v>
      </c>
      <c r="B151" s="27" t="s">
        <v>1345</v>
      </c>
      <c r="C151" s="28">
        <f>IF(ISNUMBER(Exam[[#This Row],[Total]]),ROUND(Exam[[#This Row],[Total]]/$I$5*100,0),"")</f>
        <v>72</v>
      </c>
      <c r="D151" s="2">
        <f>IF(NOT(ISBLANK(Exam[[#This Row],[Student No.]])), _xlfn.IFNA(INDEX(exam_mcq[LenientTotalMark],MATCH(Exam[[#This Row],[Student No.]],exam_mcq[StudentNumberText],0)), ""),  "No student!")</f>
        <v>19</v>
      </c>
      <c r="E151" s="2">
        <v>4</v>
      </c>
      <c r="F151" s="2">
        <v>24</v>
      </c>
      <c r="G151" s="2">
        <v>21</v>
      </c>
      <c r="H151" s="2">
        <f>IF(NOT(Exam[[#This Row],[Student No.]]=""),(IF(COUNTBLANK(Exam[[#This Row],[Q2]:[Q4]])=0,SUM(Exam[[#This Row],[Q2]:[Q4]]),"")),"")</f>
        <v>49</v>
      </c>
      <c r="I151" s="6">
        <f>IF(NOT(Exam[[#This Row],[Student No.]]=""),(IF(COUNTBLANK(Exam[[#This Row],[MCQ]:[Q4]])=0,SUM(Exam[[#This Row],[MCQ]:[Q4]]),"")),"")</f>
        <v>68</v>
      </c>
      <c r="J151" s="3"/>
    </row>
    <row r="152" spans="1:10">
      <c r="A152" s="14" t="s">
        <v>416</v>
      </c>
      <c r="B152" s="27" t="s">
        <v>1171</v>
      </c>
      <c r="C152" s="28">
        <f>IF(ISNUMBER(Exam[[#This Row],[Total]]),ROUND(Exam[[#This Row],[Total]]/$I$5*100,0),"")</f>
        <v>65</v>
      </c>
      <c r="D152" s="2">
        <f>IF(NOT(ISBLANK(Exam[[#This Row],[Student No.]])), _xlfn.IFNA(INDEX(exam_mcq[LenientTotalMark],MATCH(Exam[[#This Row],[Student No.]],exam_mcq[StudentNumberText],0)), ""),  "No student!")</f>
        <v>17</v>
      </c>
      <c r="E152" s="2">
        <v>5</v>
      </c>
      <c r="F152" s="2">
        <v>20</v>
      </c>
      <c r="G152" s="2">
        <v>20</v>
      </c>
      <c r="H152" s="2">
        <f>IF(NOT(Exam[[#This Row],[Student No.]]=""),(IF(COUNTBLANK(Exam[[#This Row],[Q2]:[Q4]])=0,SUM(Exam[[#This Row],[Q2]:[Q4]]),"")),"")</f>
        <v>45</v>
      </c>
      <c r="I152" s="6">
        <f>IF(NOT(Exam[[#This Row],[Student No.]]=""),(IF(COUNTBLANK(Exam[[#This Row],[MCQ]:[Q4]])=0,SUM(Exam[[#This Row],[MCQ]:[Q4]]),"")),"")</f>
        <v>62</v>
      </c>
      <c r="J152" s="3"/>
    </row>
    <row r="153" spans="1:10">
      <c r="A153" s="14" t="s">
        <v>417</v>
      </c>
      <c r="B153" s="27" t="s">
        <v>1346</v>
      </c>
      <c r="C153" s="28" t="str">
        <f>IF(ISNUMBER(Exam[[#This Row],[Total]]),ROUND(Exam[[#This Row],[Total]]/$I$5*100,0),"")</f>
        <v/>
      </c>
      <c r="D153" s="2" t="str">
        <f>IF(NOT(ISBLANK(Exam[[#This Row],[Student No.]])), _xlfn.IFNA(INDEX(exam_mcq[LenientTotalMark],MATCH(Exam[[#This Row],[Student No.]],exam_mcq[StudentNumberText],0)), ""),  "No student!")</f>
        <v/>
      </c>
      <c r="H153" s="2" t="str">
        <f>IF(NOT(Exam[[#This Row],[Student No.]]=""),(IF(COUNTBLANK(Exam[[#This Row],[Q2]:[Q4]])=0,SUM(Exam[[#This Row],[Q2]:[Q4]]),"")),"")</f>
        <v/>
      </c>
      <c r="I153" s="6" t="str">
        <f>IF(NOT(Exam[[#This Row],[Student No.]]=""),(IF(COUNTBLANK(Exam[[#This Row],[MCQ]:[Q4]])=0,SUM(Exam[[#This Row],[MCQ]:[Q4]]),"")),"")</f>
        <v/>
      </c>
      <c r="J153" s="3" t="s">
        <v>1026</v>
      </c>
    </row>
    <row r="154" spans="1:10">
      <c r="A154" s="14" t="s">
        <v>418</v>
      </c>
      <c r="B154" s="27" t="s">
        <v>1184</v>
      </c>
      <c r="C154" s="28" t="str">
        <f>IF(ISNUMBER(Exam[[#This Row],[Total]]),ROUND(Exam[[#This Row],[Total]]/$I$5*100,0),"")</f>
        <v/>
      </c>
      <c r="D154" s="2" t="str">
        <f>IF(NOT(ISBLANK(Exam[[#This Row],[Student No.]])), _xlfn.IFNA(INDEX(exam_mcq[LenientTotalMark],MATCH(Exam[[#This Row],[Student No.]],exam_mcq[StudentNumberText],0)), ""),  "No student!")</f>
        <v/>
      </c>
      <c r="H154" s="2" t="str">
        <f>IF(NOT(Exam[[#This Row],[Student No.]]=""),(IF(COUNTBLANK(Exam[[#This Row],[Q2]:[Q4]])=0,SUM(Exam[[#This Row],[Q2]:[Q4]]),"")),"")</f>
        <v/>
      </c>
      <c r="I154" s="6" t="str">
        <f>IF(NOT(Exam[[#This Row],[Student No.]]=""),(IF(COUNTBLANK(Exam[[#This Row],[MCQ]:[Q4]])=0,SUM(Exam[[#This Row],[MCQ]:[Q4]]),"")),"")</f>
        <v/>
      </c>
      <c r="J154" s="3" t="s">
        <v>1027</v>
      </c>
    </row>
    <row r="155" spans="1:10">
      <c r="A155" s="14" t="s">
        <v>419</v>
      </c>
      <c r="B155" s="27" t="s">
        <v>1107</v>
      </c>
      <c r="C155" s="28">
        <f>IF(ISNUMBER(Exam[[#This Row],[Total]]),ROUND(Exam[[#This Row],[Total]]/$I$5*100,0),"")</f>
        <v>21</v>
      </c>
      <c r="D155" s="2">
        <f>IF(NOT(ISBLANK(Exam[[#This Row],[Student No.]])), _xlfn.IFNA(INDEX(exam_mcq[LenientTotalMark],MATCH(Exam[[#This Row],[Student No.]],exam_mcq[StudentNumberText],0)), ""),  "No student!")</f>
        <v>11</v>
      </c>
      <c r="E155" s="2">
        <v>1</v>
      </c>
      <c r="F155" s="2">
        <v>7</v>
      </c>
      <c r="G155" s="2">
        <v>1</v>
      </c>
      <c r="H155" s="2">
        <f>IF(NOT(Exam[[#This Row],[Student No.]]=""),(IF(COUNTBLANK(Exam[[#This Row],[Q2]:[Q4]])=0,SUM(Exam[[#This Row],[Q2]:[Q4]]),"")),"")</f>
        <v>9</v>
      </c>
      <c r="I155" s="6">
        <f>IF(NOT(Exam[[#This Row],[Student No.]]=""),(IF(COUNTBLANK(Exam[[#This Row],[MCQ]:[Q4]])=0,SUM(Exam[[#This Row],[MCQ]:[Q4]]),"")),"")</f>
        <v>20</v>
      </c>
      <c r="J155" s="3"/>
    </row>
    <row r="156" spans="1:10">
      <c r="A156" s="14" t="s">
        <v>420</v>
      </c>
      <c r="B156" s="27" t="s">
        <v>1347</v>
      </c>
      <c r="C156" s="28">
        <f>IF(ISNUMBER(Exam[[#This Row],[Total]]),ROUND(Exam[[#This Row],[Total]]/$I$5*100,0),"")</f>
        <v>56</v>
      </c>
      <c r="D156" s="2">
        <f>IF(NOT(ISBLANK(Exam[[#This Row],[Student No.]])), _xlfn.IFNA(INDEX(exam_mcq[LenientTotalMark],MATCH(Exam[[#This Row],[Student No.]],exam_mcq[StudentNumberText],0)), ""),  "No student!")</f>
        <v>13</v>
      </c>
      <c r="E156" s="2">
        <v>2</v>
      </c>
      <c r="F156" s="2">
        <v>22</v>
      </c>
      <c r="G156" s="2">
        <v>16</v>
      </c>
      <c r="H156" s="2">
        <f>IF(NOT(Exam[[#This Row],[Student No.]]=""),(IF(COUNTBLANK(Exam[[#This Row],[Q2]:[Q4]])=0,SUM(Exam[[#This Row],[Q2]:[Q4]]),"")),"")</f>
        <v>40</v>
      </c>
      <c r="I156" s="6">
        <f>IF(NOT(Exam[[#This Row],[Student No.]]=""),(IF(COUNTBLANK(Exam[[#This Row],[MCQ]:[Q4]])=0,SUM(Exam[[#This Row],[MCQ]:[Q4]]),"")),"")</f>
        <v>53</v>
      </c>
      <c r="J156" s="3"/>
    </row>
    <row r="157" spans="1:10">
      <c r="A157" s="14" t="s">
        <v>421</v>
      </c>
      <c r="B157" s="27" t="s">
        <v>1348</v>
      </c>
      <c r="C157" s="28">
        <f>IF(ISNUMBER(Exam[[#This Row],[Total]]),ROUND(Exam[[#This Row],[Total]]/$I$5*100,0),"")</f>
        <v>26</v>
      </c>
      <c r="D157" s="2">
        <f>IF(NOT(ISBLANK(Exam[[#This Row],[Student No.]])), _xlfn.IFNA(INDEX(exam_mcq[LenientTotalMark],MATCH(Exam[[#This Row],[Student No.]],exam_mcq[StudentNumberText],0)), ""),  "No student!")</f>
        <v>14</v>
      </c>
      <c r="E157" s="2">
        <v>2</v>
      </c>
      <c r="F157" s="2">
        <v>3</v>
      </c>
      <c r="G157" s="2">
        <v>6</v>
      </c>
      <c r="H157" s="2">
        <f>IF(NOT(Exam[[#This Row],[Student No.]]=""),(IF(COUNTBLANK(Exam[[#This Row],[Q2]:[Q4]])=0,SUM(Exam[[#This Row],[Q2]:[Q4]]),"")),"")</f>
        <v>11</v>
      </c>
      <c r="I157" s="6">
        <f>IF(NOT(Exam[[#This Row],[Student No.]]=""),(IF(COUNTBLANK(Exam[[#This Row],[MCQ]:[Q4]])=0,SUM(Exam[[#This Row],[MCQ]:[Q4]]),"")),"")</f>
        <v>25</v>
      </c>
      <c r="J157" s="3"/>
    </row>
    <row r="158" spans="1:10">
      <c r="A158" s="14" t="s">
        <v>422</v>
      </c>
      <c r="B158" s="27" t="s">
        <v>1349</v>
      </c>
      <c r="C158" s="28">
        <f>IF(ISNUMBER(Exam[[#This Row],[Total]]),ROUND(Exam[[#This Row],[Total]]/$I$5*100,0),"")</f>
        <v>34</v>
      </c>
      <c r="D158" s="2">
        <f>IF(NOT(ISBLANK(Exam[[#This Row],[Student No.]])), _xlfn.IFNA(INDEX(exam_mcq[LenientTotalMark],MATCH(Exam[[#This Row],[Student No.]],exam_mcq[StudentNumberText],0)), ""),  "No student!")</f>
        <v>18</v>
      </c>
      <c r="E158" s="2">
        <v>2</v>
      </c>
      <c r="F158" s="2">
        <v>5</v>
      </c>
      <c r="G158" s="2">
        <v>7</v>
      </c>
      <c r="H158" s="2">
        <f>IF(NOT(Exam[[#This Row],[Student No.]]=""),(IF(COUNTBLANK(Exam[[#This Row],[Q2]:[Q4]])=0,SUM(Exam[[#This Row],[Q2]:[Q4]]),"")),"")</f>
        <v>14</v>
      </c>
      <c r="I158" s="6">
        <f>IF(NOT(Exam[[#This Row],[Student No.]]=""),(IF(COUNTBLANK(Exam[[#This Row],[MCQ]:[Q4]])=0,SUM(Exam[[#This Row],[MCQ]:[Q4]]),"")),"")</f>
        <v>32</v>
      </c>
      <c r="J158" s="3"/>
    </row>
    <row r="159" spans="1:10">
      <c r="A159" s="14" t="s">
        <v>423</v>
      </c>
      <c r="B159" s="27" t="s">
        <v>1350</v>
      </c>
      <c r="C159" s="28">
        <f>IF(ISNUMBER(Exam[[#This Row],[Total]]),ROUND(Exam[[#This Row],[Total]]/$I$5*100,0),"")</f>
        <v>62</v>
      </c>
      <c r="D159" s="2">
        <f>IF(NOT(ISBLANK(Exam[[#This Row],[Student No.]])), _xlfn.IFNA(INDEX(exam_mcq[LenientTotalMark],MATCH(Exam[[#This Row],[Student No.]],exam_mcq[StudentNumberText],0)), ""),  "No student!")</f>
        <v>15</v>
      </c>
      <c r="E159" s="2">
        <v>5</v>
      </c>
      <c r="F159" s="2">
        <v>23</v>
      </c>
      <c r="G159" s="2">
        <v>16</v>
      </c>
      <c r="H159" s="2">
        <f>IF(NOT(Exam[[#This Row],[Student No.]]=""),(IF(COUNTBLANK(Exam[[#This Row],[Q2]:[Q4]])=0,SUM(Exam[[#This Row],[Q2]:[Q4]]),"")),"")</f>
        <v>44</v>
      </c>
      <c r="I159" s="6">
        <f>IF(NOT(Exam[[#This Row],[Student No.]]=""),(IF(COUNTBLANK(Exam[[#This Row],[MCQ]:[Q4]])=0,SUM(Exam[[#This Row],[MCQ]:[Q4]]),"")),"")</f>
        <v>59</v>
      </c>
      <c r="J159" s="3"/>
    </row>
    <row r="160" spans="1:10">
      <c r="A160" s="14" t="s">
        <v>424</v>
      </c>
      <c r="B160" s="27" t="s">
        <v>1080</v>
      </c>
      <c r="C160" s="28">
        <f>IF(ISNUMBER(Exam[[#This Row],[Total]]),ROUND(Exam[[#This Row],[Total]]/$I$5*100,0),"")</f>
        <v>26</v>
      </c>
      <c r="D160" s="2">
        <f>IF(NOT(ISBLANK(Exam[[#This Row],[Student No.]])), _xlfn.IFNA(INDEX(exam_mcq[LenientTotalMark],MATCH(Exam[[#This Row],[Student No.]],exam_mcq[StudentNumberText],0)), ""),  "No student!")</f>
        <v>13</v>
      </c>
      <c r="E160" s="2">
        <v>1</v>
      </c>
      <c r="F160" s="2">
        <v>8</v>
      </c>
      <c r="G160" s="2">
        <v>3</v>
      </c>
      <c r="H160" s="2">
        <f>IF(NOT(Exam[[#This Row],[Student No.]]=""),(IF(COUNTBLANK(Exam[[#This Row],[Q2]:[Q4]])=0,SUM(Exam[[#This Row],[Q2]:[Q4]]),"")),"")</f>
        <v>12</v>
      </c>
      <c r="I160" s="6">
        <f>IF(NOT(Exam[[#This Row],[Student No.]]=""),(IF(COUNTBLANK(Exam[[#This Row],[MCQ]:[Q4]])=0,SUM(Exam[[#This Row],[MCQ]:[Q4]]),"")),"")</f>
        <v>25</v>
      </c>
      <c r="J160" s="3"/>
    </row>
    <row r="161" spans="1:10">
      <c r="A161" s="14" t="s">
        <v>426</v>
      </c>
      <c r="B161" s="27" t="s">
        <v>1352</v>
      </c>
      <c r="C161" s="28" t="str">
        <f>IF(ISNUMBER(Exam[[#This Row],[Total]]),ROUND(Exam[[#This Row],[Total]]/$I$5*100,0),"")</f>
        <v/>
      </c>
      <c r="D161" s="2" t="str">
        <f>IF(NOT(ISBLANK(Exam[[#This Row],[Student No.]])), _xlfn.IFNA(INDEX(exam_mcq[LenientTotalMark],MATCH(Exam[[#This Row],[Student No.]],exam_mcq[StudentNumberText],0)), ""),  "No student!")</f>
        <v/>
      </c>
      <c r="H161" s="2" t="str">
        <f>IF(NOT(Exam[[#This Row],[Student No.]]=""),(IF(COUNTBLANK(Exam[[#This Row],[Q2]:[Q4]])=0,SUM(Exam[[#This Row],[Q2]:[Q4]]),"")),"")</f>
        <v/>
      </c>
      <c r="I161" s="6" t="str">
        <f>IF(NOT(Exam[[#This Row],[Student No.]]=""),(IF(COUNTBLANK(Exam[[#This Row],[MCQ]:[Q4]])=0,SUM(Exam[[#This Row],[MCQ]:[Q4]]),"")),"")</f>
        <v/>
      </c>
      <c r="J161" s="3" t="s">
        <v>1027</v>
      </c>
    </row>
    <row r="162" spans="1:10">
      <c r="A162" s="14" t="s">
        <v>425</v>
      </c>
      <c r="B162" s="27" t="s">
        <v>1351</v>
      </c>
      <c r="C162" s="28">
        <f>IF(ISNUMBER(Exam[[#This Row],[Total]]),ROUND(Exam[[#This Row],[Total]]/$I$5*100,0),"")</f>
        <v>27</v>
      </c>
      <c r="D162" s="2">
        <f>IF(NOT(ISBLANK(Exam[[#This Row],[Student No.]])), _xlfn.IFNA(INDEX(exam_mcq[LenientTotalMark],MATCH(Exam[[#This Row],[Student No.]],exam_mcq[StudentNumberText],0)), ""),  "No student!")</f>
        <v>16</v>
      </c>
      <c r="E162" s="2">
        <v>1</v>
      </c>
      <c r="F162" s="2">
        <v>8</v>
      </c>
      <c r="G162" s="2">
        <v>1</v>
      </c>
      <c r="H162" s="2">
        <f>IF(NOT(Exam[[#This Row],[Student No.]]=""),(IF(COUNTBLANK(Exam[[#This Row],[Q2]:[Q4]])=0,SUM(Exam[[#This Row],[Q2]:[Q4]]),"")),"")</f>
        <v>10</v>
      </c>
      <c r="I162" s="6">
        <f>IF(NOT(Exam[[#This Row],[Student No.]]=""),(IF(COUNTBLANK(Exam[[#This Row],[MCQ]:[Q4]])=0,SUM(Exam[[#This Row],[MCQ]:[Q4]]),"")),"")</f>
        <v>26</v>
      </c>
      <c r="J162" s="3"/>
    </row>
    <row r="163" spans="1:10">
      <c r="A163" s="14" t="s">
        <v>427</v>
      </c>
      <c r="B163" s="27" t="s">
        <v>1071</v>
      </c>
      <c r="C163" s="28">
        <f>IF(ISNUMBER(Exam[[#This Row],[Total]]),ROUND(Exam[[#This Row],[Total]]/$I$5*100,0),"")</f>
        <v>31</v>
      </c>
      <c r="D163" s="2">
        <f>IF(NOT(ISBLANK(Exam[[#This Row],[Student No.]])), _xlfn.IFNA(INDEX(exam_mcq[LenientTotalMark],MATCH(Exam[[#This Row],[Student No.]],exam_mcq[StudentNumberText],0)), ""),  "No student!")</f>
        <v>20</v>
      </c>
      <c r="E163" s="2">
        <v>1</v>
      </c>
      <c r="F163" s="2">
        <v>6</v>
      </c>
      <c r="G163" s="2">
        <v>2</v>
      </c>
      <c r="H163" s="2">
        <f>IF(NOT(Exam[[#This Row],[Student No.]]=""),(IF(COUNTBLANK(Exam[[#This Row],[Q2]:[Q4]])=0,SUM(Exam[[#This Row],[Q2]:[Q4]]),"")),"")</f>
        <v>9</v>
      </c>
      <c r="I163" s="6">
        <f>IF(NOT(Exam[[#This Row],[Student No.]]=""),(IF(COUNTBLANK(Exam[[#This Row],[MCQ]:[Q4]])=0,SUM(Exam[[#This Row],[MCQ]:[Q4]]),"")),"")</f>
        <v>29</v>
      </c>
      <c r="J163" s="3"/>
    </row>
    <row r="164" spans="1:10">
      <c r="A164" s="14" t="s">
        <v>428</v>
      </c>
      <c r="B164" s="27" t="s">
        <v>1353</v>
      </c>
      <c r="C164" s="28">
        <f>IF(ISNUMBER(Exam[[#This Row],[Total]]),ROUND(Exam[[#This Row],[Total]]/$I$5*100,0),"")</f>
        <v>58</v>
      </c>
      <c r="D164" s="2">
        <f>IF(NOT(ISBLANK(Exam[[#This Row],[Student No.]])), _xlfn.IFNA(INDEX(exam_mcq[LenientTotalMark],MATCH(Exam[[#This Row],[Student No.]],exam_mcq[StudentNumberText],0)), ""),  "No student!")</f>
        <v>15</v>
      </c>
      <c r="E164" s="2">
        <v>16</v>
      </c>
      <c r="F164" s="2">
        <v>15</v>
      </c>
      <c r="G164" s="2">
        <v>9</v>
      </c>
      <c r="H164" s="2">
        <f>IF(NOT(Exam[[#This Row],[Student No.]]=""),(IF(COUNTBLANK(Exam[[#This Row],[Q2]:[Q4]])=0,SUM(Exam[[#This Row],[Q2]:[Q4]]),"")),"")</f>
        <v>40</v>
      </c>
      <c r="I164" s="6">
        <f>IF(NOT(Exam[[#This Row],[Student No.]]=""),(IF(COUNTBLANK(Exam[[#This Row],[MCQ]:[Q4]])=0,SUM(Exam[[#This Row],[MCQ]:[Q4]]),"")),"")</f>
        <v>55</v>
      </c>
      <c r="J164" s="3"/>
    </row>
    <row r="165" spans="1:10">
      <c r="A165" s="14" t="s">
        <v>429</v>
      </c>
      <c r="B165" s="27" t="s">
        <v>1354</v>
      </c>
      <c r="C165" s="28">
        <f>IF(ISNUMBER(Exam[[#This Row],[Total]]),ROUND(Exam[[#This Row],[Total]]/$I$5*100,0),"")</f>
        <v>88</v>
      </c>
      <c r="D165" s="2">
        <f>IF(NOT(ISBLANK(Exam[[#This Row],[Student No.]])), _xlfn.IFNA(INDEX(exam_mcq[LenientTotalMark],MATCH(Exam[[#This Row],[Student No.]],exam_mcq[StudentNumberText],0)), ""),  "No student!")</f>
        <v>25</v>
      </c>
      <c r="E165" s="2">
        <v>10</v>
      </c>
      <c r="F165" s="2">
        <v>22</v>
      </c>
      <c r="G165" s="2">
        <v>27</v>
      </c>
      <c r="H165" s="2">
        <f>IF(NOT(Exam[[#This Row],[Student No.]]=""),(IF(COUNTBLANK(Exam[[#This Row],[Q2]:[Q4]])=0,SUM(Exam[[#This Row],[Q2]:[Q4]]),"")),"")</f>
        <v>59</v>
      </c>
      <c r="I165" s="6">
        <f>IF(NOT(Exam[[#This Row],[Student No.]]=""),(IF(COUNTBLANK(Exam[[#This Row],[MCQ]:[Q4]])=0,SUM(Exam[[#This Row],[MCQ]:[Q4]]),"")),"")</f>
        <v>84</v>
      </c>
      <c r="J165" s="3"/>
    </row>
    <row r="166" spans="1:10">
      <c r="A166" s="14" t="s">
        <v>430</v>
      </c>
      <c r="B166" s="27" t="s">
        <v>1119</v>
      </c>
      <c r="C166" s="28">
        <f>IF(ISNUMBER(Exam[[#This Row],[Total]]),ROUND(Exam[[#This Row],[Total]]/$I$5*100,0),"")</f>
        <v>35</v>
      </c>
      <c r="D166" s="2">
        <f>IF(NOT(ISBLANK(Exam[[#This Row],[Student No.]])), _xlfn.IFNA(INDEX(exam_mcq[LenientTotalMark],MATCH(Exam[[#This Row],[Student No.]],exam_mcq[StudentNumberText],0)), ""),  "No student!")</f>
        <v>14</v>
      </c>
      <c r="E166" s="2">
        <v>7</v>
      </c>
      <c r="F166" s="2">
        <v>5</v>
      </c>
      <c r="G166" s="2">
        <v>7</v>
      </c>
      <c r="H166" s="2">
        <f>IF(NOT(Exam[[#This Row],[Student No.]]=""),(IF(COUNTBLANK(Exam[[#This Row],[Q2]:[Q4]])=0,SUM(Exam[[#This Row],[Q2]:[Q4]]),"")),"")</f>
        <v>19</v>
      </c>
      <c r="I166" s="6">
        <f>IF(NOT(Exam[[#This Row],[Student No.]]=""),(IF(COUNTBLANK(Exam[[#This Row],[MCQ]:[Q4]])=0,SUM(Exam[[#This Row],[MCQ]:[Q4]]),"")),"")</f>
        <v>33</v>
      </c>
      <c r="J166" s="3"/>
    </row>
    <row r="167" spans="1:10">
      <c r="A167" s="14" t="s">
        <v>431</v>
      </c>
      <c r="B167" s="27" t="s">
        <v>1355</v>
      </c>
      <c r="C167" s="28" t="str">
        <f>IF(ISNUMBER(Exam[[#This Row],[Total]]),ROUND(Exam[[#This Row],[Total]]/$I$5*100,0),"")</f>
        <v/>
      </c>
      <c r="D167" s="2" t="str">
        <f>IF(NOT(ISBLANK(Exam[[#This Row],[Student No.]])), _xlfn.IFNA(INDEX(exam_mcq[LenientTotalMark],MATCH(Exam[[#This Row],[Student No.]],exam_mcq[StudentNumberText],0)), ""),  "No student!")</f>
        <v/>
      </c>
      <c r="H167" s="2" t="str">
        <f>IF(NOT(Exam[[#This Row],[Student No.]]=""),(IF(COUNTBLANK(Exam[[#This Row],[Q2]:[Q4]])=0,SUM(Exam[[#This Row],[Q2]:[Q4]]),"")),"")</f>
        <v/>
      </c>
      <c r="I167" s="6" t="str">
        <f>IF(NOT(Exam[[#This Row],[Student No.]]=""),(IF(COUNTBLANK(Exam[[#This Row],[MCQ]:[Q4]])=0,SUM(Exam[[#This Row],[MCQ]:[Q4]]),"")),"")</f>
        <v/>
      </c>
      <c r="J167" s="3" t="s">
        <v>1027</v>
      </c>
    </row>
    <row r="168" spans="1:10">
      <c r="A168" s="162" t="s">
        <v>432</v>
      </c>
      <c r="B168" s="163" t="s">
        <v>1356</v>
      </c>
      <c r="C168" s="28" t="str">
        <f>IF(ISNUMBER(Exam[[#This Row],[Total]]),ROUND(Exam[[#This Row],[Total]]/$I$5*100,0),"")</f>
        <v/>
      </c>
      <c r="D168" s="2" t="str">
        <f>IF(NOT(ISBLANK(Exam[[#This Row],[Student No.]])), _xlfn.IFNA(INDEX(exam_mcq[LenientTotalMark],MATCH(Exam[[#This Row],[Student No.]],exam_mcq[StudentNumberText],0)), ""),  "No student!")</f>
        <v/>
      </c>
      <c r="H168" s="2" t="str">
        <f>IF(NOT(Exam[[#This Row],[Student No.]]=""),(IF(COUNTBLANK(Exam[[#This Row],[Q2]:[Q4]])=0,SUM(Exam[[#This Row],[Q2]:[Q4]]),"")),"")</f>
        <v/>
      </c>
      <c r="I168" s="6" t="str">
        <f>IF(NOT(Exam[[#This Row],[Student No.]]=""),(IF(COUNTBLANK(Exam[[#This Row],[MCQ]:[Q4]])=0,SUM(Exam[[#This Row],[MCQ]:[Q4]]),"")),"")</f>
        <v/>
      </c>
      <c r="J168" s="3" t="s">
        <v>1038</v>
      </c>
    </row>
    <row r="169" spans="1:10">
      <c r="A169" s="14" t="s">
        <v>433</v>
      </c>
      <c r="B169" s="27" t="s">
        <v>1211</v>
      </c>
      <c r="C169" s="28" t="str">
        <f>IF(ISNUMBER(Exam[[#This Row],[Total]]),ROUND(Exam[[#This Row],[Total]]/$I$5*100,0),"")</f>
        <v/>
      </c>
      <c r="D169" s="2" t="str">
        <f>IF(NOT(ISBLANK(Exam[[#This Row],[Student No.]])), _xlfn.IFNA(INDEX(exam_mcq[LenientTotalMark],MATCH(Exam[[#This Row],[Student No.]],exam_mcq[StudentNumberText],0)), ""),  "No student!")</f>
        <v/>
      </c>
      <c r="H169" s="2" t="str">
        <f>IF(NOT(Exam[[#This Row],[Student No.]]=""),(IF(COUNTBLANK(Exam[[#This Row],[Q2]:[Q4]])=0,SUM(Exam[[#This Row],[Q2]:[Q4]]),"")),"")</f>
        <v/>
      </c>
      <c r="I169" s="6" t="str">
        <f>IF(NOT(Exam[[#This Row],[Student No.]]=""),(IF(COUNTBLANK(Exam[[#This Row],[MCQ]:[Q4]])=0,SUM(Exam[[#This Row],[MCQ]:[Q4]]),"")),"")</f>
        <v/>
      </c>
      <c r="J169" s="3" t="s">
        <v>1027</v>
      </c>
    </row>
    <row r="170" spans="1:10">
      <c r="A170" s="14" t="s">
        <v>434</v>
      </c>
      <c r="B170" s="27" t="s">
        <v>1102</v>
      </c>
      <c r="C170" s="28">
        <f>IF(ISNUMBER(Exam[[#This Row],[Total]]),ROUND(Exam[[#This Row],[Total]]/$I$5*100,0),"")</f>
        <v>22</v>
      </c>
      <c r="D170" s="2">
        <f>IF(NOT(ISBLANK(Exam[[#This Row],[Student No.]])), _xlfn.IFNA(INDEX(exam_mcq[LenientTotalMark],MATCH(Exam[[#This Row],[Student No.]],exam_mcq[StudentNumberText],0)), ""),  "No student!")</f>
        <v>14</v>
      </c>
      <c r="E170" s="2">
        <v>2</v>
      </c>
      <c r="F170" s="2">
        <v>3</v>
      </c>
      <c r="G170" s="2">
        <v>2</v>
      </c>
      <c r="H170" s="2">
        <f>IF(NOT(Exam[[#This Row],[Student No.]]=""),(IF(COUNTBLANK(Exam[[#This Row],[Q2]:[Q4]])=0,SUM(Exam[[#This Row],[Q2]:[Q4]]),"")),"")</f>
        <v>7</v>
      </c>
      <c r="I170" s="6">
        <f>IF(NOT(Exam[[#This Row],[Student No.]]=""),(IF(COUNTBLANK(Exam[[#This Row],[MCQ]:[Q4]])=0,SUM(Exam[[#This Row],[MCQ]:[Q4]]),"")),"")</f>
        <v>21</v>
      </c>
      <c r="J170" s="3"/>
    </row>
    <row r="171" spans="1:10">
      <c r="A171" s="14" t="s">
        <v>435</v>
      </c>
      <c r="B171" s="27" t="s">
        <v>1062</v>
      </c>
      <c r="C171" s="28">
        <f>IF(ISNUMBER(Exam[[#This Row],[Total]]),ROUND(Exam[[#This Row],[Total]]/$I$5*100,0),"")</f>
        <v>23</v>
      </c>
      <c r="D171" s="2">
        <f>IF(NOT(ISBLANK(Exam[[#This Row],[Student No.]])), _xlfn.IFNA(INDEX(exam_mcq[LenientTotalMark],MATCH(Exam[[#This Row],[Student No.]],exam_mcq[StudentNumberText],0)), ""),  "No student!")</f>
        <v>13</v>
      </c>
      <c r="E171" s="2">
        <v>2</v>
      </c>
      <c r="F171" s="2">
        <v>6</v>
      </c>
      <c r="G171" s="2">
        <v>1</v>
      </c>
      <c r="H171" s="2">
        <f>IF(NOT(Exam[[#This Row],[Student No.]]=""),(IF(COUNTBLANK(Exam[[#This Row],[Q2]:[Q4]])=0,SUM(Exam[[#This Row],[Q2]:[Q4]]),"")),"")</f>
        <v>9</v>
      </c>
      <c r="I171" s="6">
        <f>IF(NOT(Exam[[#This Row],[Student No.]]=""),(IF(COUNTBLANK(Exam[[#This Row],[MCQ]:[Q4]])=0,SUM(Exam[[#This Row],[MCQ]:[Q4]]),"")),"")</f>
        <v>22</v>
      </c>
      <c r="J171" s="3"/>
    </row>
    <row r="172" spans="1:10">
      <c r="A172" s="14" t="s">
        <v>436</v>
      </c>
      <c r="B172" s="27" t="s">
        <v>1183</v>
      </c>
      <c r="C172" s="28" t="str">
        <f>IF(ISNUMBER(Exam[[#This Row],[Total]]),ROUND(Exam[[#This Row],[Total]]/$I$5*100,0),"")</f>
        <v/>
      </c>
      <c r="D172" s="2" t="str">
        <f>IF(NOT(ISBLANK(Exam[[#This Row],[Student No.]])), _xlfn.IFNA(INDEX(exam_mcq[LenientTotalMark],MATCH(Exam[[#This Row],[Student No.]],exam_mcq[StudentNumberText],0)), ""),  "No student!")</f>
        <v/>
      </c>
      <c r="H172" s="2" t="str">
        <f>IF(NOT(Exam[[#This Row],[Student No.]]=""),(IF(COUNTBLANK(Exam[[#This Row],[Q2]:[Q4]])=0,SUM(Exam[[#This Row],[Q2]:[Q4]]),"")),"")</f>
        <v/>
      </c>
      <c r="I172" s="6" t="str">
        <f>IF(NOT(Exam[[#This Row],[Student No.]]=""),(IF(COUNTBLANK(Exam[[#This Row],[MCQ]:[Q4]])=0,SUM(Exam[[#This Row],[MCQ]:[Q4]]),"")),"")</f>
        <v/>
      </c>
      <c r="J172" s="3" t="s">
        <v>1026</v>
      </c>
    </row>
    <row r="173" spans="1:10">
      <c r="A173" s="14" t="s">
        <v>437</v>
      </c>
      <c r="B173" s="27" t="s">
        <v>1357</v>
      </c>
      <c r="C173" s="28">
        <f>IF(ISNUMBER(Exam[[#This Row],[Total]]),ROUND(Exam[[#This Row],[Total]]/$I$5*100,0),"")</f>
        <v>28</v>
      </c>
      <c r="D173" s="2">
        <f>IF(NOT(ISBLANK(Exam[[#This Row],[Student No.]])), _xlfn.IFNA(INDEX(exam_mcq[LenientTotalMark],MATCH(Exam[[#This Row],[Student No.]],exam_mcq[StudentNumberText],0)), ""),  "No student!")</f>
        <v>13</v>
      </c>
      <c r="E173" s="2">
        <v>8</v>
      </c>
      <c r="F173" s="2">
        <v>6</v>
      </c>
      <c r="G173" s="2">
        <v>0</v>
      </c>
      <c r="H173" s="2">
        <f>IF(NOT(Exam[[#This Row],[Student No.]]=""),(IF(COUNTBLANK(Exam[[#This Row],[Q2]:[Q4]])=0,SUM(Exam[[#This Row],[Q2]:[Q4]]),"")),"")</f>
        <v>14</v>
      </c>
      <c r="I173" s="6">
        <f>IF(NOT(Exam[[#This Row],[Student No.]]=""),(IF(COUNTBLANK(Exam[[#This Row],[MCQ]:[Q4]])=0,SUM(Exam[[#This Row],[MCQ]:[Q4]]),"")),"")</f>
        <v>27</v>
      </c>
      <c r="J173" s="3"/>
    </row>
    <row r="174" spans="1:10">
      <c r="A174" s="14" t="s">
        <v>438</v>
      </c>
      <c r="B174" s="27" t="s">
        <v>1358</v>
      </c>
      <c r="C174" s="28">
        <f>IF(ISNUMBER(Exam[[#This Row],[Total]]),ROUND(Exam[[#This Row],[Total]]/$I$5*100,0),"")</f>
        <v>14</v>
      </c>
      <c r="D174" s="2">
        <f>IF(NOT(ISBLANK(Exam[[#This Row],[Student No.]])), _xlfn.IFNA(INDEX(exam_mcq[LenientTotalMark],MATCH(Exam[[#This Row],[Student No.]],exam_mcq[StudentNumberText],0)), ""),  "No student!")</f>
        <v>13</v>
      </c>
      <c r="E174" s="2">
        <v>0</v>
      </c>
      <c r="F174" s="2">
        <v>0</v>
      </c>
      <c r="G174" s="2">
        <v>0</v>
      </c>
      <c r="H174" s="2">
        <f>IF(NOT(Exam[[#This Row],[Student No.]]=""),(IF(COUNTBLANK(Exam[[#This Row],[Q2]:[Q4]])=0,SUM(Exam[[#This Row],[Q2]:[Q4]]),"")),"")</f>
        <v>0</v>
      </c>
      <c r="I174" s="6">
        <f>IF(NOT(Exam[[#This Row],[Student No.]]=""),(IF(COUNTBLANK(Exam[[#This Row],[MCQ]:[Q4]])=0,SUM(Exam[[#This Row],[MCQ]:[Q4]]),"")),"")</f>
        <v>13</v>
      </c>
      <c r="J174" s="3"/>
    </row>
    <row r="175" spans="1:10">
      <c r="A175" s="14" t="s">
        <v>439</v>
      </c>
      <c r="B175" s="27" t="s">
        <v>1359</v>
      </c>
      <c r="C175" s="28">
        <f>IF(ISNUMBER(Exam[[#This Row],[Total]]),ROUND(Exam[[#This Row],[Total]]/$I$5*100,0),"")</f>
        <v>76</v>
      </c>
      <c r="D175" s="2">
        <f>IF(NOT(ISBLANK(Exam[[#This Row],[Student No.]])), _xlfn.IFNA(INDEX(exam_mcq[LenientTotalMark],MATCH(Exam[[#This Row],[Student No.]],exam_mcq[StudentNumberText],0)), ""),  "No student!")</f>
        <v>19</v>
      </c>
      <c r="E175" s="2">
        <v>10</v>
      </c>
      <c r="F175" s="2">
        <v>19</v>
      </c>
      <c r="G175" s="2">
        <v>24</v>
      </c>
      <c r="H175" s="2">
        <f>IF(NOT(Exam[[#This Row],[Student No.]]=""),(IF(COUNTBLANK(Exam[[#This Row],[Q2]:[Q4]])=0,SUM(Exam[[#This Row],[Q2]:[Q4]]),"")),"")</f>
        <v>53</v>
      </c>
      <c r="I175" s="6">
        <f>IF(NOT(Exam[[#This Row],[Student No.]]=""),(IF(COUNTBLANK(Exam[[#This Row],[MCQ]:[Q4]])=0,SUM(Exam[[#This Row],[MCQ]:[Q4]]),"")),"")</f>
        <v>72</v>
      </c>
      <c r="J175" s="3"/>
    </row>
    <row r="176" spans="1:10">
      <c r="A176" s="14" t="s">
        <v>440</v>
      </c>
      <c r="B176" s="27" t="s">
        <v>1066</v>
      </c>
      <c r="C176" s="28">
        <f>IF(ISNUMBER(Exam[[#This Row],[Total]]),ROUND(Exam[[#This Row],[Total]]/$I$5*100,0),"")</f>
        <v>33</v>
      </c>
      <c r="D176" s="2">
        <f>IF(NOT(ISBLANK(Exam[[#This Row],[Student No.]])), _xlfn.IFNA(INDEX(exam_mcq[LenientTotalMark],MATCH(Exam[[#This Row],[Student No.]],exam_mcq[StudentNumberText],0)), ""),  "No student!")</f>
        <v>7</v>
      </c>
      <c r="E176" s="2">
        <v>5</v>
      </c>
      <c r="F176" s="2">
        <v>19</v>
      </c>
      <c r="G176" s="2">
        <v>0</v>
      </c>
      <c r="H176" s="2">
        <f>IF(NOT(Exam[[#This Row],[Student No.]]=""),(IF(COUNTBLANK(Exam[[#This Row],[Q2]:[Q4]])=0,SUM(Exam[[#This Row],[Q2]:[Q4]]),"")),"")</f>
        <v>24</v>
      </c>
      <c r="I176" s="6">
        <f>IF(NOT(Exam[[#This Row],[Student No.]]=""),(IF(COUNTBLANK(Exam[[#This Row],[MCQ]:[Q4]])=0,SUM(Exam[[#This Row],[MCQ]:[Q4]]),"")),"")</f>
        <v>31</v>
      </c>
      <c r="J176" s="3"/>
    </row>
    <row r="177" spans="1:10">
      <c r="A177" s="14" t="s">
        <v>441</v>
      </c>
      <c r="B177" s="27" t="s">
        <v>1360</v>
      </c>
      <c r="C177" s="28">
        <f>IF(ISNUMBER(Exam[[#This Row],[Total]]),ROUND(Exam[[#This Row],[Total]]/$I$5*100,0),"")</f>
        <v>32</v>
      </c>
      <c r="D177" s="2">
        <f>IF(NOT(ISBLANK(Exam[[#This Row],[Student No.]])), _xlfn.IFNA(INDEX(exam_mcq[LenientTotalMark],MATCH(Exam[[#This Row],[Student No.]],exam_mcq[StudentNumberText],0)), ""),  "No student!")</f>
        <v>19</v>
      </c>
      <c r="E177" s="2">
        <v>2</v>
      </c>
      <c r="F177" s="2">
        <v>5</v>
      </c>
      <c r="G177" s="2">
        <v>4</v>
      </c>
      <c r="H177" s="2">
        <f>IF(NOT(Exam[[#This Row],[Student No.]]=""),(IF(COUNTBLANK(Exam[[#This Row],[Q2]:[Q4]])=0,SUM(Exam[[#This Row],[Q2]:[Q4]]),"")),"")</f>
        <v>11</v>
      </c>
      <c r="I177" s="6">
        <f>IF(NOT(Exam[[#This Row],[Student No.]]=""),(IF(COUNTBLANK(Exam[[#This Row],[MCQ]:[Q4]])=0,SUM(Exam[[#This Row],[MCQ]:[Q4]]),"")),"")</f>
        <v>30</v>
      </c>
      <c r="J177" s="3"/>
    </row>
    <row r="178" spans="1:10">
      <c r="A178" s="14" t="s">
        <v>447</v>
      </c>
      <c r="B178" s="27" t="s">
        <v>1361</v>
      </c>
      <c r="C178" s="28" t="str">
        <f>IF(ISNUMBER(Exam[[#This Row],[Total]]),ROUND(Exam[[#This Row],[Total]]/$I$5*100,0),"")</f>
        <v/>
      </c>
      <c r="D178" s="2" t="str">
        <f>IF(NOT(ISBLANK(Exam[[#This Row],[Student No.]])), _xlfn.IFNA(INDEX(exam_mcq[LenientTotalMark],MATCH(Exam[[#This Row],[Student No.]],exam_mcq[StudentNumberText],0)), ""),  "No student!")</f>
        <v/>
      </c>
      <c r="H178" s="2" t="str">
        <f>IF(NOT(Exam[[#This Row],[Student No.]]=""),(IF(COUNTBLANK(Exam[[#This Row],[Q2]:[Q4]])=0,SUM(Exam[[#This Row],[Q2]:[Q4]]),"")),"")</f>
        <v/>
      </c>
      <c r="I178" s="6" t="str">
        <f>IF(NOT(Exam[[#This Row],[Student No.]]=""),(IF(COUNTBLANK(Exam[[#This Row],[MCQ]:[Q4]])=0,SUM(Exam[[#This Row],[MCQ]:[Q4]]),"")),"")</f>
        <v/>
      </c>
      <c r="J178" s="3" t="s">
        <v>1027</v>
      </c>
    </row>
    <row r="179" spans="1:10">
      <c r="A179" s="7"/>
      <c r="B179" s="7" t="s">
        <v>6</v>
      </c>
      <c r="C179" s="8" t="str">
        <f>IF(COUNT(Exam[Total (%)])&gt;0,TEXT(AVERAGE(Exam[Total (%)]),"0.0")&amp; "  (" &amp; TEXT(AVERAGE(Exam[Total (%)])/C$5*100,"###") &amp; "%)","")</f>
        <v>36.2  (36%)</v>
      </c>
      <c r="D179" s="8" t="str">
        <f>IF(COUNT(Exam[MCQ])&gt;0,TEXT(AVERAGE(Exam[MCQ]),"0.0")&amp; "  (" &amp; TEXT(AVERAGE(Exam[MCQ])/D$5*100,"###") &amp; "%)","")</f>
        <v>14.4  (41%)</v>
      </c>
      <c r="E179" s="8" t="str">
        <f>IF(COUNT(Exam[Q2])&gt;0,TEXT(AVERAGE(Exam[Q2]),"0.0")&amp; "  (" &amp; TEXT(AVERAGE(Exam[Q2])/E$5*100,"###") &amp; "%)","")</f>
        <v>3.0  (19%)</v>
      </c>
      <c r="F179" s="8" t="str">
        <f>IF(COUNT(Exam[Q3])&gt;0,TEXT(AVERAGE(Exam[Q3]),"0.0")&amp; "  (" &amp; TEXT(AVERAGE(Exam[Q3])/F$5*100,"###") &amp; "%)","")</f>
        <v>10.8  (45%)</v>
      </c>
      <c r="G179" s="8" t="str">
        <f>IF(COUNT(Exam[Q4])&gt;0,TEXT(AVERAGE(Exam[Q4]),"0.0")&amp; "  (" &amp; TEXT(AVERAGE(Exam[Q4])/G$5*100,"###") &amp; "%)","")</f>
        <v>6.2  (21%)</v>
      </c>
      <c r="H179" s="8" t="str">
        <f>IF(COUNT(Exam[Q2-Q4 Total])&gt;0,TEXT(AVERAGE(Exam[Q2-Q4 Total]),"0.0")&amp; "  (" &amp; TEXT(AVERAGE(Exam[Q2-Q4 Total])/H$5*100,"###") &amp; "%)","")</f>
        <v>20.0  (29%)</v>
      </c>
      <c r="I179" s="8" t="str">
        <f>IF(COUNT(Exam[Total])&gt;0,TEXT(AVERAGE(Exam[Total]),"0.0")&amp; "  (" &amp; TEXT(AVERAGE(Exam[Total])/I$5*100,"###") &amp; "%)","")</f>
        <v>34.4  (36%)</v>
      </c>
      <c r="J179" s="6"/>
    </row>
  </sheetData>
  <conditionalFormatting sqref="C7:C179">
    <cfRule type="expression" dxfId="121" priority="22">
      <formula>IF(ISNUMBER(C7),OR(C7&lt;0,C7&gt;C$5))</formula>
    </cfRule>
  </conditionalFormatting>
  <conditionalFormatting sqref="I7:I178 H27">
    <cfRule type="expression" dxfId="120" priority="1">
      <formula>IF(ISNUMBER(H7),OR(H7&lt;0,H7&gt;$I$3))</formula>
    </cfRule>
  </conditionalFormatting>
  <dataValidations count="2">
    <dataValidation type="custom" allowBlank="1" showInputMessage="1" showErrorMessage="1" sqref="E7:I178 C7:C178">
      <formula1>OR(AND(ISNUMBER(C7),C7&gt;=0,C7&lt;=C$5),C7="")</formula1>
    </dataValidation>
    <dataValidation type="custom" errorStyle="warning" allowBlank="1" showInputMessage="1" sqref="D7:D178">
      <formula1>OR(AND(ISNUMBER(D7),D7&gt;=0,D7&lt;=D$5),D7="")</formula1>
    </dataValidation>
  </dataValidations>
  <pageMargins left="0.7" right="0.7" top="0.75" bottom="0.75" header="0.3" footer="0.3"/>
  <pageSetup paperSize="9" orientation="portrait"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5"/>
  <sheetViews>
    <sheetView workbookViewId="0">
      <selection activeCell="B8" sqref="B8"/>
    </sheetView>
  </sheetViews>
  <sheetFormatPr defaultRowHeight="14.4"/>
  <cols>
    <col min="1" max="1" width="15.6640625" customWidth="1"/>
    <col min="2" max="2" width="11.33203125" customWidth="1"/>
    <col min="3" max="3" width="17.33203125" customWidth="1"/>
    <col min="4" max="4" width="14.5546875" customWidth="1"/>
    <col min="13" max="13" width="23" customWidth="1"/>
  </cols>
  <sheetData>
    <row r="1" spans="1:13">
      <c r="A1" t="s">
        <v>1035</v>
      </c>
      <c r="B1" t="s">
        <v>1034</v>
      </c>
      <c r="C1" t="s">
        <v>1033</v>
      </c>
      <c r="D1" t="s">
        <v>1032</v>
      </c>
      <c r="E1" t="s">
        <v>0</v>
      </c>
      <c r="F1" t="s">
        <v>1</v>
      </c>
      <c r="G1" t="s">
        <v>2</v>
      </c>
      <c r="H1" t="s">
        <v>3</v>
      </c>
      <c r="I1" t="s">
        <v>4</v>
      </c>
      <c r="J1" t="s">
        <v>1031</v>
      </c>
      <c r="K1" t="s">
        <v>1030</v>
      </c>
      <c r="L1" t="s">
        <v>1029</v>
      </c>
      <c r="M1" t="s">
        <v>1037</v>
      </c>
    </row>
    <row r="2" spans="1:13">
      <c r="A2" s="165">
        <v>1146648</v>
      </c>
      <c r="B2">
        <v>16</v>
      </c>
      <c r="C2">
        <v>17</v>
      </c>
      <c r="D2">
        <v>0</v>
      </c>
      <c r="E2">
        <v>-1</v>
      </c>
      <c r="F2">
        <v>5</v>
      </c>
      <c r="G2">
        <v>1</v>
      </c>
      <c r="H2">
        <v>0</v>
      </c>
      <c r="I2">
        <v>1</v>
      </c>
      <c r="J2">
        <v>3</v>
      </c>
      <c r="K2">
        <v>2</v>
      </c>
      <c r="L2">
        <v>5</v>
      </c>
      <c r="M2" t="str">
        <f>TEXT(exam_mcq[[#This Row],[StudentNumber]],"0")</f>
        <v>1146648</v>
      </c>
    </row>
    <row r="3" spans="1:13">
      <c r="A3" s="165">
        <v>1278510</v>
      </c>
      <c r="B3">
        <v>22</v>
      </c>
      <c r="C3">
        <v>22</v>
      </c>
      <c r="D3">
        <v>0</v>
      </c>
      <c r="E3">
        <v>5</v>
      </c>
      <c r="F3">
        <v>5</v>
      </c>
      <c r="G3">
        <v>2</v>
      </c>
      <c r="H3">
        <v>0</v>
      </c>
      <c r="I3">
        <v>3</v>
      </c>
      <c r="J3">
        <v>3</v>
      </c>
      <c r="K3">
        <v>1</v>
      </c>
      <c r="L3">
        <v>3</v>
      </c>
      <c r="M3" t="str">
        <f>TEXT(exam_mcq[[#This Row],[StudentNumber]],"0")</f>
        <v>1278510</v>
      </c>
    </row>
    <row r="4" spans="1:13">
      <c r="A4" s="165">
        <v>2127000</v>
      </c>
      <c r="B4">
        <v>15</v>
      </c>
      <c r="C4">
        <v>17</v>
      </c>
      <c r="D4">
        <v>0</v>
      </c>
      <c r="E4">
        <v>-2</v>
      </c>
      <c r="F4">
        <v>4</v>
      </c>
      <c r="G4">
        <v>4</v>
      </c>
      <c r="H4">
        <v>0</v>
      </c>
      <c r="I4">
        <v>3</v>
      </c>
      <c r="J4">
        <v>3</v>
      </c>
      <c r="K4">
        <v>0</v>
      </c>
      <c r="L4">
        <v>3</v>
      </c>
      <c r="M4" t="str">
        <f>TEXT(exam_mcq[[#This Row],[StudentNumber]],"0")</f>
        <v>2127000</v>
      </c>
    </row>
    <row r="5" spans="1:13">
      <c r="A5" s="165">
        <v>2129200</v>
      </c>
      <c r="B5">
        <v>9</v>
      </c>
      <c r="C5">
        <v>10</v>
      </c>
      <c r="D5">
        <v>0</v>
      </c>
      <c r="E5">
        <v>3</v>
      </c>
      <c r="F5">
        <v>4</v>
      </c>
      <c r="G5">
        <v>0</v>
      </c>
      <c r="H5">
        <v>0</v>
      </c>
      <c r="I5">
        <v>-1</v>
      </c>
      <c r="J5">
        <v>1</v>
      </c>
      <c r="K5">
        <v>0</v>
      </c>
      <c r="L5">
        <v>2</v>
      </c>
      <c r="M5" t="str">
        <f>TEXT(exam_mcq[[#This Row],[StudentNumber]],"0")</f>
        <v>2129200</v>
      </c>
    </row>
    <row r="6" spans="1:13">
      <c r="A6" s="165">
        <v>2130436</v>
      </c>
      <c r="B6">
        <v>9</v>
      </c>
      <c r="C6">
        <v>14</v>
      </c>
      <c r="D6">
        <v>0</v>
      </c>
      <c r="E6">
        <v>3</v>
      </c>
      <c r="F6">
        <v>4</v>
      </c>
      <c r="G6">
        <v>-1</v>
      </c>
      <c r="H6">
        <v>0</v>
      </c>
      <c r="I6">
        <v>1</v>
      </c>
      <c r="J6">
        <v>3</v>
      </c>
      <c r="K6">
        <v>-4</v>
      </c>
      <c r="L6">
        <v>3</v>
      </c>
      <c r="M6" t="str">
        <f>TEXT(exam_mcq[[#This Row],[StudentNumber]],"0")</f>
        <v>2130436</v>
      </c>
    </row>
    <row r="7" spans="1:13">
      <c r="A7" s="165">
        <v>2136569</v>
      </c>
      <c r="B7">
        <v>14</v>
      </c>
      <c r="C7">
        <v>16</v>
      </c>
      <c r="D7">
        <v>0</v>
      </c>
      <c r="E7">
        <v>-1</v>
      </c>
      <c r="F7">
        <v>4</v>
      </c>
      <c r="G7">
        <v>5</v>
      </c>
      <c r="H7">
        <v>0</v>
      </c>
      <c r="I7">
        <v>3</v>
      </c>
      <c r="J7">
        <v>-1</v>
      </c>
      <c r="K7">
        <v>2</v>
      </c>
      <c r="L7">
        <v>2</v>
      </c>
      <c r="M7" t="str">
        <f>TEXT(exam_mcq[[#This Row],[StudentNumber]],"0")</f>
        <v>2136569</v>
      </c>
    </row>
    <row r="8" spans="1:13">
      <c r="A8" s="165">
        <v>2136605</v>
      </c>
      <c r="B8">
        <v>23</v>
      </c>
      <c r="C8">
        <v>23</v>
      </c>
      <c r="D8">
        <v>0</v>
      </c>
      <c r="E8">
        <v>5</v>
      </c>
      <c r="F8">
        <v>5</v>
      </c>
      <c r="G8">
        <v>1</v>
      </c>
      <c r="H8">
        <v>0</v>
      </c>
      <c r="I8">
        <v>3</v>
      </c>
      <c r="J8">
        <v>3</v>
      </c>
      <c r="K8">
        <v>3</v>
      </c>
      <c r="L8">
        <v>3</v>
      </c>
      <c r="M8" t="str">
        <f>TEXT(exam_mcq[[#This Row],[StudentNumber]],"0")</f>
        <v>2136605</v>
      </c>
    </row>
    <row r="9" spans="1:13">
      <c r="A9" s="165">
        <v>2138347</v>
      </c>
      <c r="B9">
        <v>18</v>
      </c>
      <c r="C9">
        <v>20</v>
      </c>
      <c r="D9">
        <v>0</v>
      </c>
      <c r="E9">
        <v>-2</v>
      </c>
      <c r="F9">
        <v>4</v>
      </c>
      <c r="G9">
        <v>4</v>
      </c>
      <c r="H9">
        <v>0</v>
      </c>
      <c r="I9">
        <v>3</v>
      </c>
      <c r="J9">
        <v>5</v>
      </c>
      <c r="K9">
        <v>2</v>
      </c>
      <c r="L9">
        <v>2</v>
      </c>
      <c r="M9" t="str">
        <f>TEXT(exam_mcq[[#This Row],[StudentNumber]],"0")</f>
        <v>2138347</v>
      </c>
    </row>
    <row r="10" spans="1:13">
      <c r="A10" s="165">
        <v>2141604</v>
      </c>
      <c r="B10">
        <v>2</v>
      </c>
      <c r="C10">
        <v>7</v>
      </c>
      <c r="D10">
        <v>0</v>
      </c>
      <c r="E10">
        <v>4</v>
      </c>
      <c r="F10">
        <v>0</v>
      </c>
      <c r="G10">
        <v>-2</v>
      </c>
      <c r="H10">
        <v>0</v>
      </c>
      <c r="I10">
        <v>-3</v>
      </c>
      <c r="J10">
        <v>0</v>
      </c>
      <c r="K10">
        <v>0</v>
      </c>
      <c r="L10">
        <v>3</v>
      </c>
      <c r="M10" t="str">
        <f>TEXT(exam_mcq[[#This Row],[StudentNumber]],"0")</f>
        <v>2141604</v>
      </c>
    </row>
    <row r="11" spans="1:13">
      <c r="A11" s="165">
        <v>2142882</v>
      </c>
      <c r="B11">
        <v>-9</v>
      </c>
      <c r="C11">
        <v>2</v>
      </c>
      <c r="D11">
        <v>0</v>
      </c>
      <c r="E11">
        <v>-2</v>
      </c>
      <c r="F11">
        <v>-5</v>
      </c>
      <c r="G11">
        <v>1</v>
      </c>
      <c r="H11">
        <v>0</v>
      </c>
      <c r="I11">
        <v>0</v>
      </c>
      <c r="J11">
        <v>-2</v>
      </c>
      <c r="K11">
        <v>-2</v>
      </c>
      <c r="L11">
        <v>1</v>
      </c>
      <c r="M11" t="str">
        <f>TEXT(exam_mcq[[#This Row],[StudentNumber]],"0")</f>
        <v>2142882</v>
      </c>
    </row>
    <row r="12" spans="1:13">
      <c r="A12" s="165">
        <v>2143227</v>
      </c>
      <c r="B12">
        <v>11</v>
      </c>
      <c r="C12">
        <v>13</v>
      </c>
      <c r="D12">
        <v>0</v>
      </c>
      <c r="E12">
        <v>-1</v>
      </c>
      <c r="F12">
        <v>5</v>
      </c>
      <c r="G12">
        <v>-1</v>
      </c>
      <c r="H12">
        <v>0</v>
      </c>
      <c r="I12">
        <v>1</v>
      </c>
      <c r="J12">
        <v>3</v>
      </c>
      <c r="K12">
        <v>1</v>
      </c>
      <c r="L12">
        <v>3</v>
      </c>
      <c r="M12" t="str">
        <f>TEXT(exam_mcq[[#This Row],[StudentNumber]],"0")</f>
        <v>2143227</v>
      </c>
    </row>
    <row r="13" spans="1:13">
      <c r="A13" s="165">
        <v>2144205</v>
      </c>
      <c r="B13">
        <v>11</v>
      </c>
      <c r="C13">
        <v>12</v>
      </c>
      <c r="D13">
        <v>0</v>
      </c>
      <c r="E13">
        <v>-1</v>
      </c>
      <c r="F13">
        <v>4</v>
      </c>
      <c r="G13">
        <v>2</v>
      </c>
      <c r="H13">
        <v>0</v>
      </c>
      <c r="I13">
        <v>0</v>
      </c>
      <c r="J13">
        <v>3</v>
      </c>
      <c r="K13">
        <v>1</v>
      </c>
      <c r="L13">
        <v>2</v>
      </c>
      <c r="M13" t="str">
        <f>TEXT(exam_mcq[[#This Row],[StudentNumber]],"0")</f>
        <v>2144205</v>
      </c>
    </row>
    <row r="14" spans="1:13">
      <c r="A14" s="165">
        <v>2152679</v>
      </c>
      <c r="B14">
        <v>12</v>
      </c>
      <c r="C14">
        <v>15</v>
      </c>
      <c r="D14">
        <v>0</v>
      </c>
      <c r="E14">
        <v>-2</v>
      </c>
      <c r="F14">
        <v>4</v>
      </c>
      <c r="G14">
        <v>-1</v>
      </c>
      <c r="H14">
        <v>0</v>
      </c>
      <c r="I14">
        <v>3</v>
      </c>
      <c r="J14">
        <v>3</v>
      </c>
      <c r="K14">
        <v>3</v>
      </c>
      <c r="L14">
        <v>2</v>
      </c>
      <c r="M14" t="str">
        <f>TEXT(exam_mcq[[#This Row],[StudentNumber]],"0")</f>
        <v>2152679</v>
      </c>
    </row>
    <row r="15" spans="1:13">
      <c r="A15" s="165">
        <v>1436500</v>
      </c>
      <c r="B15">
        <v>10</v>
      </c>
      <c r="C15">
        <v>14</v>
      </c>
      <c r="D15">
        <v>0</v>
      </c>
      <c r="E15">
        <v>-2</v>
      </c>
      <c r="F15">
        <v>1</v>
      </c>
      <c r="G15">
        <v>3</v>
      </c>
      <c r="H15">
        <v>0</v>
      </c>
      <c r="I15">
        <v>2</v>
      </c>
      <c r="J15">
        <v>5</v>
      </c>
      <c r="K15">
        <v>-2</v>
      </c>
      <c r="L15">
        <v>3</v>
      </c>
      <c r="M15" t="str">
        <f>TEXT(exam_mcq[[#This Row],[StudentNumber]],"0")</f>
        <v>1436500</v>
      </c>
    </row>
    <row r="16" spans="1:13">
      <c r="A16" s="165">
        <v>1445411</v>
      </c>
      <c r="B16">
        <v>-3</v>
      </c>
      <c r="C16">
        <v>8</v>
      </c>
      <c r="D16">
        <v>0</v>
      </c>
      <c r="E16">
        <v>-4</v>
      </c>
      <c r="F16">
        <v>2</v>
      </c>
      <c r="G16">
        <v>-3</v>
      </c>
      <c r="H16">
        <v>0</v>
      </c>
      <c r="I16">
        <v>-4</v>
      </c>
      <c r="J16">
        <v>3</v>
      </c>
      <c r="K16">
        <v>1</v>
      </c>
      <c r="L16">
        <v>2</v>
      </c>
      <c r="M16" t="str">
        <f>TEXT(exam_mcq[[#This Row],[StudentNumber]],"0")</f>
        <v>1445411</v>
      </c>
    </row>
    <row r="17" spans="1:13">
      <c r="A17" s="165">
        <v>1448040</v>
      </c>
      <c r="B17">
        <v>10</v>
      </c>
      <c r="C17">
        <v>10</v>
      </c>
      <c r="D17">
        <v>0</v>
      </c>
      <c r="E17">
        <v>0</v>
      </c>
      <c r="F17">
        <v>4</v>
      </c>
      <c r="G17">
        <v>2</v>
      </c>
      <c r="H17">
        <v>0</v>
      </c>
      <c r="I17">
        <v>3</v>
      </c>
      <c r="J17">
        <v>1</v>
      </c>
      <c r="K17">
        <v>0</v>
      </c>
      <c r="L17">
        <v>0</v>
      </c>
      <c r="M17" t="str">
        <f>TEXT(exam_mcq[[#This Row],[StudentNumber]],"0")</f>
        <v>1448040</v>
      </c>
    </row>
    <row r="18" spans="1:13">
      <c r="A18" s="165">
        <v>1501646</v>
      </c>
      <c r="B18">
        <v>1</v>
      </c>
      <c r="C18">
        <v>9</v>
      </c>
      <c r="D18">
        <v>0</v>
      </c>
      <c r="E18">
        <v>-1</v>
      </c>
      <c r="F18">
        <v>3</v>
      </c>
      <c r="G18">
        <v>-5</v>
      </c>
      <c r="H18">
        <v>0</v>
      </c>
      <c r="I18">
        <v>2</v>
      </c>
      <c r="J18">
        <v>1</v>
      </c>
      <c r="K18">
        <v>-2</v>
      </c>
      <c r="L18">
        <v>3</v>
      </c>
      <c r="M18" t="str">
        <f>TEXT(exam_mcq[[#This Row],[StudentNumber]],"0")</f>
        <v>1501646</v>
      </c>
    </row>
    <row r="19" spans="1:13">
      <c r="A19" s="165">
        <v>1608406</v>
      </c>
      <c r="B19">
        <v>13</v>
      </c>
      <c r="C19">
        <v>15</v>
      </c>
      <c r="D19">
        <v>0</v>
      </c>
      <c r="E19">
        <v>-2</v>
      </c>
      <c r="F19">
        <v>4</v>
      </c>
      <c r="G19">
        <v>2</v>
      </c>
      <c r="H19">
        <v>0</v>
      </c>
      <c r="I19">
        <v>3</v>
      </c>
      <c r="J19">
        <v>3</v>
      </c>
      <c r="K19">
        <v>0</v>
      </c>
      <c r="L19">
        <v>3</v>
      </c>
      <c r="M19" t="str">
        <f>TEXT(exam_mcq[[#This Row],[StudentNumber]],"0")</f>
        <v>1608406</v>
      </c>
    </row>
    <row r="20" spans="1:13">
      <c r="A20" s="165">
        <v>1610736</v>
      </c>
      <c r="B20">
        <v>19</v>
      </c>
      <c r="C20">
        <v>21</v>
      </c>
      <c r="D20">
        <v>0</v>
      </c>
      <c r="E20">
        <v>3</v>
      </c>
      <c r="F20">
        <v>5</v>
      </c>
      <c r="G20">
        <v>4</v>
      </c>
      <c r="H20">
        <v>0</v>
      </c>
      <c r="I20">
        <v>3</v>
      </c>
      <c r="J20">
        <v>3</v>
      </c>
      <c r="K20">
        <v>-2</v>
      </c>
      <c r="L20">
        <v>3</v>
      </c>
      <c r="M20" t="str">
        <f>TEXT(exam_mcq[[#This Row],[StudentNumber]],"0")</f>
        <v>1610736</v>
      </c>
    </row>
    <row r="21" spans="1:13">
      <c r="A21" s="165">
        <v>1701547</v>
      </c>
      <c r="B21">
        <v>10</v>
      </c>
      <c r="C21">
        <v>13</v>
      </c>
      <c r="D21">
        <v>0</v>
      </c>
      <c r="E21">
        <v>-3</v>
      </c>
      <c r="F21">
        <v>2</v>
      </c>
      <c r="G21">
        <v>2</v>
      </c>
      <c r="H21">
        <v>0</v>
      </c>
      <c r="I21">
        <v>2</v>
      </c>
      <c r="J21">
        <v>1</v>
      </c>
      <c r="K21">
        <v>2</v>
      </c>
      <c r="L21">
        <v>4</v>
      </c>
      <c r="M21" t="str">
        <f>TEXT(exam_mcq[[#This Row],[StudentNumber]],"0")</f>
        <v>1701547</v>
      </c>
    </row>
    <row r="22" spans="1:13">
      <c r="A22" s="165">
        <v>1715463</v>
      </c>
      <c r="B22">
        <v>2</v>
      </c>
      <c r="C22">
        <v>11</v>
      </c>
      <c r="D22">
        <v>0</v>
      </c>
      <c r="E22">
        <v>-4</v>
      </c>
      <c r="F22">
        <v>4</v>
      </c>
      <c r="G22">
        <v>3</v>
      </c>
      <c r="H22">
        <v>0</v>
      </c>
      <c r="I22">
        <v>3</v>
      </c>
      <c r="J22">
        <v>1</v>
      </c>
      <c r="K22">
        <v>-4</v>
      </c>
      <c r="L22">
        <v>-1</v>
      </c>
      <c r="M22" t="str">
        <f>TEXT(exam_mcq[[#This Row],[StudentNumber]],"0")</f>
        <v>1715463</v>
      </c>
    </row>
    <row r="23" spans="1:13">
      <c r="A23" s="165">
        <v>1722529</v>
      </c>
      <c r="B23">
        <v>19</v>
      </c>
      <c r="C23">
        <v>20</v>
      </c>
      <c r="D23">
        <v>0</v>
      </c>
      <c r="E23">
        <v>3</v>
      </c>
      <c r="F23">
        <v>4</v>
      </c>
      <c r="G23">
        <v>4</v>
      </c>
      <c r="H23">
        <v>0</v>
      </c>
      <c r="I23">
        <v>3</v>
      </c>
      <c r="J23">
        <v>3</v>
      </c>
      <c r="K23">
        <v>-1</v>
      </c>
      <c r="L23">
        <v>3</v>
      </c>
      <c r="M23" t="str">
        <f>TEXT(exam_mcq[[#This Row],[StudentNumber]],"0")</f>
        <v>1722529</v>
      </c>
    </row>
    <row r="24" spans="1:13">
      <c r="A24" s="165">
        <v>1767237</v>
      </c>
      <c r="B24">
        <v>4</v>
      </c>
      <c r="C24">
        <v>9</v>
      </c>
      <c r="D24">
        <v>0</v>
      </c>
      <c r="E24">
        <v>4</v>
      </c>
      <c r="F24">
        <v>-1</v>
      </c>
      <c r="G24">
        <v>0</v>
      </c>
      <c r="H24">
        <v>0</v>
      </c>
      <c r="I24">
        <v>-1</v>
      </c>
      <c r="J24">
        <v>5</v>
      </c>
      <c r="K24">
        <v>-2</v>
      </c>
      <c r="L24">
        <v>-1</v>
      </c>
      <c r="M24" t="str">
        <f>TEXT(exam_mcq[[#This Row],[StudentNumber]],"0")</f>
        <v>1767237</v>
      </c>
    </row>
    <row r="25" spans="1:13">
      <c r="A25" s="165">
        <v>2373287</v>
      </c>
      <c r="B25">
        <v>16</v>
      </c>
      <c r="C25">
        <v>17</v>
      </c>
      <c r="D25">
        <v>0</v>
      </c>
      <c r="E25">
        <v>4</v>
      </c>
      <c r="F25">
        <v>5</v>
      </c>
      <c r="G25">
        <v>-1</v>
      </c>
      <c r="H25">
        <v>0</v>
      </c>
      <c r="I25">
        <v>3</v>
      </c>
      <c r="J25">
        <v>1</v>
      </c>
      <c r="K25">
        <v>1</v>
      </c>
      <c r="L25">
        <v>3</v>
      </c>
      <c r="M25" t="str">
        <f>TEXT(exam_mcq[[#This Row],[StudentNumber]],"0")</f>
        <v>2373287</v>
      </c>
    </row>
    <row r="26" spans="1:13">
      <c r="A26" s="165">
        <v>1132593</v>
      </c>
      <c r="B26">
        <v>17</v>
      </c>
      <c r="C26">
        <v>17</v>
      </c>
      <c r="D26">
        <v>0</v>
      </c>
      <c r="E26">
        <v>4</v>
      </c>
      <c r="F26">
        <v>5</v>
      </c>
      <c r="G26">
        <v>2</v>
      </c>
      <c r="H26">
        <v>0</v>
      </c>
      <c r="I26">
        <v>3</v>
      </c>
      <c r="J26">
        <v>0</v>
      </c>
      <c r="K26">
        <v>0</v>
      </c>
      <c r="L26">
        <v>3</v>
      </c>
      <c r="M26" t="str">
        <f>TEXT(exam_mcq[[#This Row],[StudentNumber]],"0")</f>
        <v>1132593</v>
      </c>
    </row>
    <row r="27" spans="1:13">
      <c r="A27" s="165">
        <v>2242940</v>
      </c>
      <c r="B27">
        <v>2</v>
      </c>
      <c r="C27">
        <v>12</v>
      </c>
      <c r="D27">
        <v>0</v>
      </c>
      <c r="E27">
        <v>-2</v>
      </c>
      <c r="F27">
        <v>2</v>
      </c>
      <c r="G27">
        <v>2</v>
      </c>
      <c r="H27">
        <v>0</v>
      </c>
      <c r="I27">
        <v>-3</v>
      </c>
      <c r="J27">
        <v>3</v>
      </c>
      <c r="K27">
        <v>-5</v>
      </c>
      <c r="L27">
        <v>5</v>
      </c>
      <c r="M27" t="str">
        <f>TEXT(exam_mcq[[#This Row],[StudentNumber]],"0")</f>
        <v>2242940</v>
      </c>
    </row>
    <row r="28" spans="1:13">
      <c r="A28" s="165">
        <v>2094978</v>
      </c>
      <c r="B28">
        <v>17</v>
      </c>
      <c r="C28">
        <v>19</v>
      </c>
      <c r="D28">
        <v>0</v>
      </c>
      <c r="E28">
        <v>3</v>
      </c>
      <c r="F28">
        <v>5</v>
      </c>
      <c r="G28">
        <v>2</v>
      </c>
      <c r="H28">
        <v>0</v>
      </c>
      <c r="I28">
        <v>3</v>
      </c>
      <c r="J28">
        <v>3</v>
      </c>
      <c r="K28">
        <v>-2</v>
      </c>
      <c r="L28">
        <v>3</v>
      </c>
      <c r="M28" t="str">
        <f>TEXT(exam_mcq[[#This Row],[StudentNumber]],"0")</f>
        <v>2094978</v>
      </c>
    </row>
    <row r="29" spans="1:13">
      <c r="A29" s="165">
        <v>2095374</v>
      </c>
      <c r="B29">
        <v>21</v>
      </c>
      <c r="C29">
        <v>21</v>
      </c>
      <c r="D29">
        <v>0</v>
      </c>
      <c r="E29">
        <v>4</v>
      </c>
      <c r="F29">
        <v>5</v>
      </c>
      <c r="G29">
        <v>3</v>
      </c>
      <c r="H29">
        <v>0</v>
      </c>
      <c r="I29">
        <v>3</v>
      </c>
      <c r="J29">
        <v>3</v>
      </c>
      <c r="K29">
        <v>0</v>
      </c>
      <c r="L29">
        <v>3</v>
      </c>
      <c r="M29" t="str">
        <f>TEXT(exam_mcq[[#This Row],[StudentNumber]],"0")</f>
        <v>2095374</v>
      </c>
    </row>
    <row r="30" spans="1:13">
      <c r="A30" s="165">
        <v>2095396</v>
      </c>
      <c r="B30">
        <v>12</v>
      </c>
      <c r="C30">
        <v>14</v>
      </c>
      <c r="D30">
        <v>0</v>
      </c>
      <c r="E30">
        <v>4</v>
      </c>
      <c r="F30">
        <v>5</v>
      </c>
      <c r="G30">
        <v>-2</v>
      </c>
      <c r="H30">
        <v>0</v>
      </c>
      <c r="I30">
        <v>0</v>
      </c>
      <c r="J30">
        <v>2</v>
      </c>
      <c r="K30">
        <v>0</v>
      </c>
      <c r="L30">
        <v>3</v>
      </c>
      <c r="M30" t="str">
        <f>TEXT(exam_mcq[[#This Row],[StudentNumber]],"0")</f>
        <v>2095396</v>
      </c>
    </row>
    <row r="31" spans="1:13">
      <c r="A31" s="165">
        <v>2096785</v>
      </c>
      <c r="B31">
        <v>8</v>
      </c>
      <c r="C31">
        <v>14</v>
      </c>
      <c r="D31">
        <v>0</v>
      </c>
      <c r="E31">
        <v>-1</v>
      </c>
      <c r="F31">
        <v>4</v>
      </c>
      <c r="G31">
        <v>0</v>
      </c>
      <c r="H31">
        <v>0</v>
      </c>
      <c r="I31">
        <v>3</v>
      </c>
      <c r="J31">
        <v>5</v>
      </c>
      <c r="K31">
        <v>-5</v>
      </c>
      <c r="L31">
        <v>2</v>
      </c>
      <c r="M31" t="str">
        <f>TEXT(exam_mcq[[#This Row],[StudentNumber]],"0")</f>
        <v>2096785</v>
      </c>
    </row>
    <row r="32" spans="1:13">
      <c r="A32" s="165">
        <v>2102640</v>
      </c>
      <c r="B32">
        <v>15</v>
      </c>
      <c r="C32">
        <v>16</v>
      </c>
      <c r="D32">
        <v>0</v>
      </c>
      <c r="E32">
        <v>-1</v>
      </c>
      <c r="F32">
        <v>5</v>
      </c>
      <c r="G32">
        <v>2</v>
      </c>
      <c r="H32">
        <v>0</v>
      </c>
      <c r="I32">
        <v>0</v>
      </c>
      <c r="J32">
        <v>5</v>
      </c>
      <c r="K32">
        <v>1</v>
      </c>
      <c r="L32">
        <v>3</v>
      </c>
      <c r="M32" t="str">
        <f>TEXT(exam_mcq[[#This Row],[StudentNumber]],"0")</f>
        <v>2102640</v>
      </c>
    </row>
    <row r="33" spans="1:13">
      <c r="A33" s="165">
        <v>2103173</v>
      </c>
      <c r="B33">
        <v>1</v>
      </c>
      <c r="C33">
        <v>8</v>
      </c>
      <c r="D33">
        <v>0</v>
      </c>
      <c r="E33">
        <v>-2</v>
      </c>
      <c r="F33">
        <v>5</v>
      </c>
      <c r="G33">
        <v>-2</v>
      </c>
      <c r="H33">
        <v>0</v>
      </c>
      <c r="I33">
        <v>-1</v>
      </c>
      <c r="J33">
        <v>3</v>
      </c>
      <c r="K33">
        <v>-2</v>
      </c>
      <c r="L33">
        <v>0</v>
      </c>
      <c r="M33" t="str">
        <f>TEXT(exam_mcq[[#This Row],[StudentNumber]],"0")</f>
        <v>2103173</v>
      </c>
    </row>
    <row r="34" spans="1:13">
      <c r="A34" s="165">
        <v>2103308</v>
      </c>
      <c r="B34">
        <v>9</v>
      </c>
      <c r="C34">
        <v>14</v>
      </c>
      <c r="D34">
        <v>0</v>
      </c>
      <c r="E34">
        <v>-2</v>
      </c>
      <c r="F34">
        <v>5</v>
      </c>
      <c r="G34">
        <v>-1</v>
      </c>
      <c r="H34">
        <v>0</v>
      </c>
      <c r="I34">
        <v>3</v>
      </c>
      <c r="J34">
        <v>3</v>
      </c>
      <c r="K34">
        <v>-2</v>
      </c>
      <c r="L34">
        <v>3</v>
      </c>
      <c r="M34" t="str">
        <f>TEXT(exam_mcq[[#This Row],[StudentNumber]],"0")</f>
        <v>2103308</v>
      </c>
    </row>
    <row r="35" spans="1:13">
      <c r="A35" s="165">
        <v>2104199</v>
      </c>
      <c r="B35">
        <v>0</v>
      </c>
      <c r="C35">
        <v>9</v>
      </c>
      <c r="D35">
        <v>0</v>
      </c>
      <c r="E35">
        <v>-2</v>
      </c>
      <c r="F35">
        <v>1</v>
      </c>
      <c r="G35">
        <v>-3</v>
      </c>
      <c r="H35">
        <v>0</v>
      </c>
      <c r="I35">
        <v>-1</v>
      </c>
      <c r="J35">
        <v>5</v>
      </c>
      <c r="K35">
        <v>-3</v>
      </c>
      <c r="L35">
        <v>3</v>
      </c>
      <c r="M35" t="str">
        <f>TEXT(exam_mcq[[#This Row],[StudentNumber]],"0")</f>
        <v>2104199</v>
      </c>
    </row>
    <row r="36" spans="1:13">
      <c r="A36" s="165">
        <v>2105080</v>
      </c>
      <c r="B36">
        <v>5</v>
      </c>
      <c r="C36">
        <v>10</v>
      </c>
      <c r="D36">
        <v>0</v>
      </c>
      <c r="E36">
        <v>-2</v>
      </c>
      <c r="F36">
        <v>5</v>
      </c>
      <c r="G36">
        <v>-1</v>
      </c>
      <c r="H36">
        <v>0</v>
      </c>
      <c r="I36">
        <v>2</v>
      </c>
      <c r="J36">
        <v>3</v>
      </c>
      <c r="K36">
        <v>-2</v>
      </c>
      <c r="L36">
        <v>0</v>
      </c>
      <c r="M36" t="str">
        <f>TEXT(exam_mcq[[#This Row],[StudentNumber]],"0")</f>
        <v>2105080</v>
      </c>
    </row>
    <row r="37" spans="1:13">
      <c r="A37" s="165">
        <v>2107610</v>
      </c>
      <c r="B37">
        <v>15</v>
      </c>
      <c r="C37">
        <v>17</v>
      </c>
      <c r="D37">
        <v>0</v>
      </c>
      <c r="E37">
        <v>3</v>
      </c>
      <c r="F37">
        <v>4</v>
      </c>
      <c r="G37">
        <v>4</v>
      </c>
      <c r="H37">
        <v>0</v>
      </c>
      <c r="I37">
        <v>1</v>
      </c>
      <c r="J37">
        <v>3</v>
      </c>
      <c r="K37">
        <v>-2</v>
      </c>
      <c r="L37">
        <v>2</v>
      </c>
      <c r="M37" t="str">
        <f>TEXT(exam_mcq[[#This Row],[StudentNumber]],"0")</f>
        <v>2107610</v>
      </c>
    </row>
    <row r="38" spans="1:13">
      <c r="A38" s="165">
        <v>2109796</v>
      </c>
      <c r="B38">
        <v>7</v>
      </c>
      <c r="C38">
        <v>12</v>
      </c>
      <c r="D38">
        <v>0</v>
      </c>
      <c r="E38">
        <v>-4</v>
      </c>
      <c r="F38">
        <v>4</v>
      </c>
      <c r="G38">
        <v>3</v>
      </c>
      <c r="H38">
        <v>0</v>
      </c>
      <c r="I38">
        <v>2</v>
      </c>
      <c r="J38">
        <v>-1</v>
      </c>
      <c r="K38">
        <v>1</v>
      </c>
      <c r="L38">
        <v>2</v>
      </c>
      <c r="M38" t="str">
        <f>TEXT(exam_mcq[[#This Row],[StudentNumber]],"0")</f>
        <v>2109796</v>
      </c>
    </row>
    <row r="39" spans="1:13">
      <c r="A39" s="165">
        <v>2113490</v>
      </c>
      <c r="B39">
        <v>8</v>
      </c>
      <c r="C39">
        <v>13</v>
      </c>
      <c r="D39">
        <v>0</v>
      </c>
      <c r="E39">
        <v>3</v>
      </c>
      <c r="F39">
        <v>2</v>
      </c>
      <c r="G39">
        <v>1</v>
      </c>
      <c r="H39">
        <v>0</v>
      </c>
      <c r="I39">
        <v>4</v>
      </c>
      <c r="J39">
        <v>3</v>
      </c>
      <c r="K39">
        <v>-4</v>
      </c>
      <c r="L39">
        <v>-1</v>
      </c>
      <c r="M39" t="str">
        <f>TEXT(exam_mcq[[#This Row],[StudentNumber]],"0")</f>
        <v>2113490</v>
      </c>
    </row>
    <row r="40" spans="1:13">
      <c r="A40" s="165">
        <v>2116287</v>
      </c>
      <c r="B40">
        <v>13</v>
      </c>
      <c r="C40">
        <v>18</v>
      </c>
      <c r="D40">
        <v>0</v>
      </c>
      <c r="E40">
        <v>-2</v>
      </c>
      <c r="F40">
        <v>5</v>
      </c>
      <c r="G40">
        <v>4</v>
      </c>
      <c r="H40">
        <v>0</v>
      </c>
      <c r="I40">
        <v>5</v>
      </c>
      <c r="J40">
        <v>1</v>
      </c>
      <c r="K40">
        <v>-3</v>
      </c>
      <c r="L40">
        <v>3</v>
      </c>
      <c r="M40" t="str">
        <f>TEXT(exam_mcq[[#This Row],[StudentNumber]],"0")</f>
        <v>2116287</v>
      </c>
    </row>
    <row r="41" spans="1:13">
      <c r="A41" s="165">
        <v>2117841</v>
      </c>
      <c r="B41">
        <v>12</v>
      </c>
      <c r="C41">
        <v>14</v>
      </c>
      <c r="D41">
        <v>0</v>
      </c>
      <c r="E41">
        <v>0</v>
      </c>
      <c r="F41">
        <v>4</v>
      </c>
      <c r="G41">
        <v>4</v>
      </c>
      <c r="H41">
        <v>0</v>
      </c>
      <c r="I41">
        <v>3</v>
      </c>
      <c r="J41">
        <v>1</v>
      </c>
      <c r="K41">
        <v>-2</v>
      </c>
      <c r="L41">
        <v>2</v>
      </c>
      <c r="M41" t="str">
        <f>TEXT(exam_mcq[[#This Row],[StudentNumber]],"0")</f>
        <v>2117841</v>
      </c>
    </row>
    <row r="42" spans="1:13">
      <c r="A42" s="165">
        <v>2118213</v>
      </c>
      <c r="B42">
        <v>19</v>
      </c>
      <c r="C42">
        <v>19</v>
      </c>
      <c r="D42">
        <v>0</v>
      </c>
      <c r="E42">
        <v>3</v>
      </c>
      <c r="F42">
        <v>4</v>
      </c>
      <c r="G42">
        <v>4</v>
      </c>
      <c r="H42">
        <v>0</v>
      </c>
      <c r="I42">
        <v>3</v>
      </c>
      <c r="J42">
        <v>3</v>
      </c>
      <c r="K42">
        <v>0</v>
      </c>
      <c r="L42">
        <v>2</v>
      </c>
      <c r="M42" t="str">
        <f>TEXT(exam_mcq[[#This Row],[StudentNumber]],"0")</f>
        <v>2118213</v>
      </c>
    </row>
    <row r="43" spans="1:13">
      <c r="A43" s="165">
        <v>2118894</v>
      </c>
      <c r="B43">
        <v>15</v>
      </c>
      <c r="C43">
        <v>17</v>
      </c>
      <c r="D43">
        <v>0</v>
      </c>
      <c r="E43">
        <v>-1</v>
      </c>
      <c r="F43">
        <v>4</v>
      </c>
      <c r="G43">
        <v>4</v>
      </c>
      <c r="H43">
        <v>0</v>
      </c>
      <c r="I43">
        <v>3</v>
      </c>
      <c r="J43">
        <v>3</v>
      </c>
      <c r="K43">
        <v>-1</v>
      </c>
      <c r="L43">
        <v>3</v>
      </c>
      <c r="M43" t="str">
        <f>TEXT(exam_mcq[[#This Row],[StudentNumber]],"0")</f>
        <v>2118894</v>
      </c>
    </row>
    <row r="44" spans="1:13">
      <c r="A44" s="165">
        <v>2327745</v>
      </c>
      <c r="B44">
        <v>9</v>
      </c>
      <c r="C44">
        <v>13</v>
      </c>
      <c r="D44">
        <v>0</v>
      </c>
      <c r="E44">
        <v>-1</v>
      </c>
      <c r="F44">
        <v>4</v>
      </c>
      <c r="G44">
        <v>2</v>
      </c>
      <c r="H44">
        <v>0</v>
      </c>
      <c r="I44">
        <v>3</v>
      </c>
      <c r="J44">
        <v>1</v>
      </c>
      <c r="K44">
        <v>-3</v>
      </c>
      <c r="L44">
        <v>3</v>
      </c>
      <c r="M44" t="str">
        <f>TEXT(exam_mcq[[#This Row],[StudentNumber]],"0")</f>
        <v>2327745</v>
      </c>
    </row>
    <row r="45" spans="1:13">
      <c r="A45" s="165">
        <v>2328822</v>
      </c>
      <c r="B45">
        <v>23</v>
      </c>
      <c r="C45">
        <v>25</v>
      </c>
      <c r="D45">
        <v>0</v>
      </c>
      <c r="E45">
        <v>5</v>
      </c>
      <c r="F45">
        <v>5</v>
      </c>
      <c r="G45">
        <v>4</v>
      </c>
      <c r="H45">
        <v>0</v>
      </c>
      <c r="I45">
        <v>5</v>
      </c>
      <c r="J45">
        <v>3</v>
      </c>
      <c r="K45">
        <v>-2</v>
      </c>
      <c r="L45">
        <v>3</v>
      </c>
      <c r="M45" t="str">
        <f>TEXT(exam_mcq[[#This Row],[StudentNumber]],"0")</f>
        <v>2328822</v>
      </c>
    </row>
    <row r="46" spans="1:13">
      <c r="A46" s="165">
        <v>2330797</v>
      </c>
      <c r="B46">
        <v>14</v>
      </c>
      <c r="C46">
        <v>18</v>
      </c>
      <c r="D46">
        <v>0</v>
      </c>
      <c r="E46">
        <v>-1</v>
      </c>
      <c r="F46">
        <v>5</v>
      </c>
      <c r="G46">
        <v>5</v>
      </c>
      <c r="H46">
        <v>0</v>
      </c>
      <c r="I46">
        <v>3</v>
      </c>
      <c r="J46">
        <v>5</v>
      </c>
      <c r="K46">
        <v>-1</v>
      </c>
      <c r="L46">
        <v>-2</v>
      </c>
      <c r="M46" t="str">
        <f>TEXT(exam_mcq[[#This Row],[StudentNumber]],"0")</f>
        <v>2330797</v>
      </c>
    </row>
    <row r="47" spans="1:13">
      <c r="A47" s="165">
        <v>2331132</v>
      </c>
      <c r="B47">
        <v>2</v>
      </c>
      <c r="C47">
        <v>6</v>
      </c>
      <c r="D47">
        <v>0</v>
      </c>
      <c r="E47">
        <v>-3</v>
      </c>
      <c r="F47">
        <v>1</v>
      </c>
      <c r="G47">
        <v>2</v>
      </c>
      <c r="H47">
        <v>0</v>
      </c>
      <c r="I47">
        <v>0</v>
      </c>
      <c r="J47">
        <v>1</v>
      </c>
      <c r="K47">
        <v>-1</v>
      </c>
      <c r="L47">
        <v>2</v>
      </c>
      <c r="M47" t="str">
        <f>TEXT(exam_mcq[[#This Row],[StudentNumber]],"0")</f>
        <v>2331132</v>
      </c>
    </row>
    <row r="48" spans="1:13">
      <c r="A48" s="165">
        <v>2332451</v>
      </c>
      <c r="B48">
        <v>9</v>
      </c>
      <c r="C48">
        <v>13</v>
      </c>
      <c r="D48">
        <v>0</v>
      </c>
      <c r="E48">
        <v>-3</v>
      </c>
      <c r="F48">
        <v>5</v>
      </c>
      <c r="G48">
        <v>-1</v>
      </c>
      <c r="H48">
        <v>0</v>
      </c>
      <c r="I48">
        <v>2</v>
      </c>
      <c r="J48">
        <v>3</v>
      </c>
      <c r="K48">
        <v>0</v>
      </c>
      <c r="L48">
        <v>3</v>
      </c>
      <c r="M48" t="str">
        <f>TEXT(exam_mcq[[#This Row],[StudentNumber]],"0")</f>
        <v>2332451</v>
      </c>
    </row>
    <row r="49" spans="1:13">
      <c r="A49" s="165">
        <v>2335476</v>
      </c>
      <c r="B49">
        <v>5</v>
      </c>
      <c r="C49">
        <v>12</v>
      </c>
      <c r="D49">
        <v>0</v>
      </c>
      <c r="E49">
        <v>-2</v>
      </c>
      <c r="F49">
        <v>4</v>
      </c>
      <c r="G49">
        <v>-5</v>
      </c>
      <c r="H49">
        <v>0</v>
      </c>
      <c r="I49">
        <v>3</v>
      </c>
      <c r="J49">
        <v>1</v>
      </c>
      <c r="K49">
        <v>3</v>
      </c>
      <c r="L49">
        <v>1</v>
      </c>
      <c r="M49" t="str">
        <f>TEXT(exam_mcq[[#This Row],[StudentNumber]],"0")</f>
        <v>2335476</v>
      </c>
    </row>
    <row r="50" spans="1:13">
      <c r="A50" s="165">
        <v>2341407</v>
      </c>
      <c r="B50">
        <v>18</v>
      </c>
      <c r="C50">
        <v>18</v>
      </c>
      <c r="D50">
        <v>0</v>
      </c>
      <c r="E50">
        <v>3</v>
      </c>
      <c r="F50">
        <v>4</v>
      </c>
      <c r="G50">
        <v>4</v>
      </c>
      <c r="H50">
        <v>0</v>
      </c>
      <c r="I50">
        <v>1</v>
      </c>
      <c r="J50">
        <v>3</v>
      </c>
      <c r="K50">
        <v>0</v>
      </c>
      <c r="L50">
        <v>3</v>
      </c>
      <c r="M50" t="str">
        <f>TEXT(exam_mcq[[#This Row],[StudentNumber]],"0")</f>
        <v>2341407</v>
      </c>
    </row>
    <row r="51" spans="1:13">
      <c r="A51" s="165">
        <v>2341547</v>
      </c>
      <c r="B51">
        <v>10</v>
      </c>
      <c r="C51">
        <v>13</v>
      </c>
      <c r="D51">
        <v>0</v>
      </c>
      <c r="E51">
        <v>-2</v>
      </c>
      <c r="F51">
        <v>4</v>
      </c>
      <c r="G51">
        <v>1</v>
      </c>
      <c r="H51">
        <v>0</v>
      </c>
      <c r="I51">
        <v>3</v>
      </c>
      <c r="J51">
        <v>3</v>
      </c>
      <c r="K51">
        <v>-1</v>
      </c>
      <c r="L51">
        <v>2</v>
      </c>
      <c r="M51" t="str">
        <f>TEXT(exam_mcq[[#This Row],[StudentNumber]],"0")</f>
        <v>2341547</v>
      </c>
    </row>
    <row r="52" spans="1:13">
      <c r="A52" s="165">
        <v>2344063</v>
      </c>
      <c r="B52">
        <v>12</v>
      </c>
      <c r="C52">
        <v>16</v>
      </c>
      <c r="D52">
        <v>0</v>
      </c>
      <c r="E52">
        <v>-2</v>
      </c>
      <c r="F52">
        <v>5</v>
      </c>
      <c r="G52">
        <v>4</v>
      </c>
      <c r="H52">
        <v>0</v>
      </c>
      <c r="I52">
        <v>3</v>
      </c>
      <c r="J52">
        <v>1</v>
      </c>
      <c r="K52">
        <v>-2</v>
      </c>
      <c r="L52">
        <v>3</v>
      </c>
      <c r="M52" t="str">
        <f>TEXT(exam_mcq[[#This Row],[StudentNumber]],"0")</f>
        <v>2344063</v>
      </c>
    </row>
    <row r="53" spans="1:13">
      <c r="A53" s="165">
        <v>2344104</v>
      </c>
      <c r="B53">
        <v>14</v>
      </c>
      <c r="C53">
        <v>15</v>
      </c>
      <c r="D53">
        <v>0</v>
      </c>
      <c r="E53">
        <v>4</v>
      </c>
      <c r="F53">
        <v>5</v>
      </c>
      <c r="G53">
        <v>2</v>
      </c>
      <c r="H53">
        <v>0</v>
      </c>
      <c r="I53">
        <v>-1</v>
      </c>
      <c r="J53">
        <v>1</v>
      </c>
      <c r="K53">
        <v>0</v>
      </c>
      <c r="L53">
        <v>3</v>
      </c>
      <c r="M53" t="str">
        <f>TEXT(exam_mcq[[#This Row],[StudentNumber]],"0")</f>
        <v>2344104</v>
      </c>
    </row>
    <row r="54" spans="1:13">
      <c r="A54" s="165">
        <v>2345339</v>
      </c>
      <c r="B54">
        <v>2</v>
      </c>
      <c r="C54">
        <v>10</v>
      </c>
      <c r="D54">
        <v>0</v>
      </c>
      <c r="E54">
        <v>-2</v>
      </c>
      <c r="F54">
        <v>4</v>
      </c>
      <c r="G54">
        <v>-3</v>
      </c>
      <c r="H54">
        <v>0</v>
      </c>
      <c r="I54">
        <v>3</v>
      </c>
      <c r="J54">
        <v>-1</v>
      </c>
      <c r="K54">
        <v>-2</v>
      </c>
      <c r="L54">
        <v>3</v>
      </c>
      <c r="M54" t="str">
        <f>TEXT(exam_mcq[[#This Row],[StudentNumber]],"0")</f>
        <v>2345339</v>
      </c>
    </row>
    <row r="55" spans="1:13">
      <c r="A55" s="165">
        <v>2345892</v>
      </c>
      <c r="B55">
        <v>12</v>
      </c>
      <c r="C55">
        <v>18</v>
      </c>
      <c r="D55">
        <v>0</v>
      </c>
      <c r="E55">
        <v>4</v>
      </c>
      <c r="F55">
        <v>4</v>
      </c>
      <c r="G55">
        <v>4</v>
      </c>
      <c r="H55">
        <v>0</v>
      </c>
      <c r="I55">
        <v>3</v>
      </c>
      <c r="J55">
        <v>3</v>
      </c>
      <c r="K55">
        <v>-5</v>
      </c>
      <c r="L55">
        <v>-1</v>
      </c>
      <c r="M55" t="str">
        <f>TEXT(exam_mcq[[#This Row],[StudentNumber]],"0")</f>
        <v>2345892</v>
      </c>
    </row>
    <row r="56" spans="1:13">
      <c r="A56" s="165">
        <v>2347343</v>
      </c>
      <c r="B56">
        <v>-1</v>
      </c>
      <c r="C56">
        <v>7</v>
      </c>
      <c r="D56">
        <v>0</v>
      </c>
      <c r="E56">
        <v>-4</v>
      </c>
      <c r="F56">
        <v>1</v>
      </c>
      <c r="G56">
        <v>-1</v>
      </c>
      <c r="H56">
        <v>0</v>
      </c>
      <c r="I56">
        <v>-3</v>
      </c>
      <c r="J56">
        <v>3</v>
      </c>
      <c r="K56">
        <v>0</v>
      </c>
      <c r="L56">
        <v>3</v>
      </c>
      <c r="M56" t="str">
        <f>TEXT(exam_mcq[[#This Row],[StudentNumber]],"0")</f>
        <v>2347343</v>
      </c>
    </row>
    <row r="57" spans="1:13">
      <c r="A57" s="165">
        <v>2347919</v>
      </c>
      <c r="B57">
        <v>11</v>
      </c>
      <c r="C57">
        <v>14</v>
      </c>
      <c r="D57">
        <v>0</v>
      </c>
      <c r="E57">
        <v>4</v>
      </c>
      <c r="F57">
        <v>5</v>
      </c>
      <c r="G57">
        <v>2</v>
      </c>
      <c r="H57">
        <v>0</v>
      </c>
      <c r="I57">
        <v>2</v>
      </c>
      <c r="J57">
        <v>1</v>
      </c>
      <c r="K57">
        <v>0</v>
      </c>
      <c r="L57">
        <v>-3</v>
      </c>
      <c r="M57" t="str">
        <f>TEXT(exam_mcq[[#This Row],[StudentNumber]],"0")</f>
        <v>2347919</v>
      </c>
    </row>
    <row r="58" spans="1:13">
      <c r="A58" s="165">
        <v>2351852</v>
      </c>
      <c r="B58">
        <v>15</v>
      </c>
      <c r="C58">
        <v>19</v>
      </c>
      <c r="D58">
        <v>0</v>
      </c>
      <c r="E58">
        <v>-2</v>
      </c>
      <c r="F58">
        <v>5</v>
      </c>
      <c r="G58">
        <v>4</v>
      </c>
      <c r="H58">
        <v>0</v>
      </c>
      <c r="I58">
        <v>3</v>
      </c>
      <c r="J58">
        <v>3</v>
      </c>
      <c r="K58">
        <v>-2</v>
      </c>
      <c r="L58">
        <v>4</v>
      </c>
      <c r="M58" t="str">
        <f>TEXT(exam_mcq[[#This Row],[StudentNumber]],"0")</f>
        <v>2351852</v>
      </c>
    </row>
    <row r="59" spans="1:13">
      <c r="A59" s="165">
        <v>2351913</v>
      </c>
      <c r="B59">
        <v>22</v>
      </c>
      <c r="C59">
        <v>22</v>
      </c>
      <c r="D59">
        <v>0</v>
      </c>
      <c r="E59">
        <v>4</v>
      </c>
      <c r="F59">
        <v>4</v>
      </c>
      <c r="G59">
        <v>4</v>
      </c>
      <c r="H59">
        <v>0</v>
      </c>
      <c r="I59">
        <v>3</v>
      </c>
      <c r="J59">
        <v>2</v>
      </c>
      <c r="K59">
        <v>3</v>
      </c>
      <c r="L59">
        <v>2</v>
      </c>
      <c r="M59" t="str">
        <f>TEXT(exam_mcq[[#This Row],[StudentNumber]],"0")</f>
        <v>2351913</v>
      </c>
    </row>
    <row r="60" spans="1:13">
      <c r="A60" s="165">
        <v>1077227</v>
      </c>
      <c r="B60">
        <v>-1</v>
      </c>
      <c r="C60">
        <v>9</v>
      </c>
      <c r="D60">
        <v>0</v>
      </c>
      <c r="E60">
        <v>-2</v>
      </c>
      <c r="F60">
        <v>5</v>
      </c>
      <c r="G60">
        <v>1</v>
      </c>
      <c r="H60">
        <v>0</v>
      </c>
      <c r="I60">
        <v>-2</v>
      </c>
      <c r="J60">
        <v>3</v>
      </c>
      <c r="K60">
        <v>-5</v>
      </c>
      <c r="L60">
        <v>-1</v>
      </c>
      <c r="M60" t="str">
        <f>TEXT(exam_mcq[[#This Row],[StudentNumber]],"0")</f>
        <v>1077227</v>
      </c>
    </row>
    <row r="61" spans="1:13">
      <c r="A61" s="165">
        <v>2231460</v>
      </c>
      <c r="B61">
        <v>0</v>
      </c>
      <c r="C61">
        <v>0</v>
      </c>
      <c r="D61">
        <v>0</v>
      </c>
      <c r="E61">
        <v>0</v>
      </c>
      <c r="F61">
        <v>0</v>
      </c>
      <c r="G61">
        <v>0</v>
      </c>
      <c r="H61">
        <v>0</v>
      </c>
      <c r="I61">
        <v>0</v>
      </c>
      <c r="J61">
        <v>0</v>
      </c>
      <c r="K61">
        <v>0</v>
      </c>
      <c r="L61">
        <v>0</v>
      </c>
      <c r="M61" t="str">
        <f>TEXT(exam_mcq[[#This Row],[StudentNumber]],"0")</f>
        <v>2231460</v>
      </c>
    </row>
    <row r="62" spans="1:13">
      <c r="A62" s="165">
        <v>2165920</v>
      </c>
      <c r="B62">
        <v>-4</v>
      </c>
      <c r="C62">
        <v>5</v>
      </c>
      <c r="D62">
        <v>0</v>
      </c>
      <c r="E62">
        <v>-2</v>
      </c>
      <c r="F62">
        <v>-3</v>
      </c>
      <c r="G62">
        <v>2</v>
      </c>
      <c r="H62">
        <v>0</v>
      </c>
      <c r="I62">
        <v>-1</v>
      </c>
      <c r="J62">
        <v>-2</v>
      </c>
      <c r="K62">
        <v>-1</v>
      </c>
      <c r="L62">
        <v>3</v>
      </c>
      <c r="M62" t="str">
        <f>TEXT(exam_mcq[[#This Row],[StudentNumber]],"0")</f>
        <v>2165920</v>
      </c>
    </row>
    <row r="63" spans="1:13">
      <c r="A63" s="165">
        <v>2166010</v>
      </c>
      <c r="B63">
        <v>11</v>
      </c>
      <c r="C63">
        <v>14</v>
      </c>
      <c r="D63">
        <v>0</v>
      </c>
      <c r="E63">
        <v>-2</v>
      </c>
      <c r="F63">
        <v>5</v>
      </c>
      <c r="G63">
        <v>1</v>
      </c>
      <c r="H63">
        <v>0</v>
      </c>
      <c r="I63">
        <v>3</v>
      </c>
      <c r="J63">
        <v>3</v>
      </c>
      <c r="K63">
        <v>-1</v>
      </c>
      <c r="L63">
        <v>2</v>
      </c>
      <c r="M63" t="str">
        <f>TEXT(exam_mcq[[#This Row],[StudentNumber]],"0")</f>
        <v>2166010</v>
      </c>
    </row>
    <row r="64" spans="1:13">
      <c r="A64" s="165">
        <v>2168179</v>
      </c>
      <c r="B64">
        <v>12</v>
      </c>
      <c r="C64">
        <v>15</v>
      </c>
      <c r="D64">
        <v>0</v>
      </c>
      <c r="E64">
        <v>-3</v>
      </c>
      <c r="F64">
        <v>5</v>
      </c>
      <c r="G64">
        <v>2</v>
      </c>
      <c r="H64">
        <v>0</v>
      </c>
      <c r="I64">
        <v>3</v>
      </c>
      <c r="J64">
        <v>3</v>
      </c>
      <c r="K64">
        <v>0</v>
      </c>
      <c r="L64">
        <v>2</v>
      </c>
      <c r="M64" t="str">
        <f>TEXT(exam_mcq[[#This Row],[StudentNumber]],"0")</f>
        <v>2168179</v>
      </c>
    </row>
    <row r="65" spans="1:13">
      <c r="A65" s="165">
        <v>2172968</v>
      </c>
      <c r="B65">
        <v>8</v>
      </c>
      <c r="C65">
        <v>11</v>
      </c>
      <c r="D65">
        <v>0</v>
      </c>
      <c r="E65">
        <v>3</v>
      </c>
      <c r="F65">
        <v>2</v>
      </c>
      <c r="G65">
        <v>-1</v>
      </c>
      <c r="H65">
        <v>0</v>
      </c>
      <c r="I65">
        <v>1</v>
      </c>
      <c r="J65">
        <v>0</v>
      </c>
      <c r="K65">
        <v>-2</v>
      </c>
      <c r="L65">
        <v>5</v>
      </c>
      <c r="M65" t="str">
        <f>TEXT(exam_mcq[[#This Row],[StudentNumber]],"0")</f>
        <v>2172968</v>
      </c>
    </row>
    <row r="66" spans="1:13">
      <c r="A66" s="165">
        <v>2173105</v>
      </c>
      <c r="B66">
        <v>17</v>
      </c>
      <c r="C66">
        <v>19</v>
      </c>
      <c r="D66">
        <v>0</v>
      </c>
      <c r="E66">
        <v>3</v>
      </c>
      <c r="F66">
        <v>4</v>
      </c>
      <c r="G66">
        <v>3</v>
      </c>
      <c r="H66">
        <v>0</v>
      </c>
      <c r="I66">
        <v>3</v>
      </c>
      <c r="J66">
        <v>3</v>
      </c>
      <c r="K66">
        <v>-2</v>
      </c>
      <c r="L66">
        <v>3</v>
      </c>
      <c r="M66" t="str">
        <f>TEXT(exam_mcq[[#This Row],[StudentNumber]],"0")</f>
        <v>2173105</v>
      </c>
    </row>
    <row r="67" spans="1:13">
      <c r="A67" s="165">
        <v>2179595</v>
      </c>
      <c r="B67">
        <v>18</v>
      </c>
      <c r="C67">
        <v>22</v>
      </c>
      <c r="D67">
        <v>0</v>
      </c>
      <c r="E67">
        <v>4</v>
      </c>
      <c r="F67">
        <v>5</v>
      </c>
      <c r="G67">
        <v>4</v>
      </c>
      <c r="H67">
        <v>0</v>
      </c>
      <c r="I67">
        <v>3</v>
      </c>
      <c r="J67">
        <v>3</v>
      </c>
      <c r="K67">
        <v>-4</v>
      </c>
      <c r="L67">
        <v>3</v>
      </c>
      <c r="M67" t="str">
        <f>TEXT(exam_mcq[[#This Row],[StudentNumber]],"0")</f>
        <v>2179595</v>
      </c>
    </row>
    <row r="68" spans="1:13">
      <c r="A68" s="165">
        <v>2194051</v>
      </c>
      <c r="B68">
        <v>14</v>
      </c>
      <c r="C68">
        <v>18</v>
      </c>
      <c r="D68">
        <v>0</v>
      </c>
      <c r="E68">
        <v>-2</v>
      </c>
      <c r="F68">
        <v>5</v>
      </c>
      <c r="G68">
        <v>4</v>
      </c>
      <c r="H68">
        <v>0</v>
      </c>
      <c r="I68">
        <v>3</v>
      </c>
      <c r="J68">
        <v>3</v>
      </c>
      <c r="K68">
        <v>-2</v>
      </c>
      <c r="L68">
        <v>3</v>
      </c>
      <c r="M68" t="str">
        <f>TEXT(exam_mcq[[#This Row],[StudentNumber]],"0")</f>
        <v>2194051</v>
      </c>
    </row>
    <row r="69" spans="1:13">
      <c r="A69" s="165">
        <v>2201238</v>
      </c>
      <c r="B69">
        <v>7</v>
      </c>
      <c r="C69">
        <v>14</v>
      </c>
      <c r="D69">
        <v>0</v>
      </c>
      <c r="E69">
        <v>-3</v>
      </c>
      <c r="F69">
        <v>4</v>
      </c>
      <c r="G69">
        <v>4</v>
      </c>
      <c r="H69">
        <v>0</v>
      </c>
      <c r="I69">
        <v>3</v>
      </c>
      <c r="J69">
        <v>3</v>
      </c>
      <c r="K69">
        <v>-1</v>
      </c>
      <c r="L69">
        <v>-3</v>
      </c>
      <c r="M69" t="str">
        <f>TEXT(exam_mcq[[#This Row],[StudentNumber]],"0")</f>
        <v>2201238</v>
      </c>
    </row>
    <row r="70" spans="1:13">
      <c r="A70" s="165">
        <v>2208622</v>
      </c>
      <c r="B70">
        <v>13</v>
      </c>
      <c r="C70">
        <v>14</v>
      </c>
      <c r="D70">
        <v>0</v>
      </c>
      <c r="E70">
        <v>0</v>
      </c>
      <c r="F70">
        <v>5</v>
      </c>
      <c r="G70">
        <v>3</v>
      </c>
      <c r="H70">
        <v>0</v>
      </c>
      <c r="I70">
        <v>3</v>
      </c>
      <c r="J70">
        <v>0</v>
      </c>
      <c r="K70">
        <v>-1</v>
      </c>
      <c r="L70">
        <v>3</v>
      </c>
      <c r="M70" t="str">
        <f>TEXT(exam_mcq[[#This Row],[StudentNumber]],"0")</f>
        <v>2208622</v>
      </c>
    </row>
    <row r="71" spans="1:13">
      <c r="A71" s="165">
        <v>2209317</v>
      </c>
      <c r="B71">
        <v>19</v>
      </c>
      <c r="C71">
        <v>22</v>
      </c>
      <c r="D71">
        <v>0</v>
      </c>
      <c r="E71">
        <v>4</v>
      </c>
      <c r="F71">
        <v>5</v>
      </c>
      <c r="G71">
        <v>4</v>
      </c>
      <c r="H71">
        <v>0</v>
      </c>
      <c r="I71">
        <v>3</v>
      </c>
      <c r="J71">
        <v>3</v>
      </c>
      <c r="K71">
        <v>-3</v>
      </c>
      <c r="L71">
        <v>3</v>
      </c>
      <c r="M71" t="str">
        <f>TEXT(exam_mcq[[#This Row],[StudentNumber]],"0")</f>
        <v>2209317</v>
      </c>
    </row>
    <row r="72" spans="1:13">
      <c r="A72" s="165">
        <v>1860900</v>
      </c>
      <c r="B72">
        <v>9</v>
      </c>
      <c r="C72">
        <v>15</v>
      </c>
      <c r="D72">
        <v>0</v>
      </c>
      <c r="E72">
        <v>-2</v>
      </c>
      <c r="F72">
        <v>4</v>
      </c>
      <c r="G72">
        <v>5</v>
      </c>
      <c r="H72">
        <v>0</v>
      </c>
      <c r="I72">
        <v>3</v>
      </c>
      <c r="J72">
        <v>1</v>
      </c>
      <c r="K72">
        <v>-4</v>
      </c>
      <c r="L72">
        <v>2</v>
      </c>
      <c r="M72" t="str">
        <f>TEXT(exam_mcq[[#This Row],[StudentNumber]],"0")</f>
        <v>1860900</v>
      </c>
    </row>
    <row r="73" spans="1:13">
      <c r="A73" s="165">
        <v>1864128</v>
      </c>
      <c r="B73">
        <v>15</v>
      </c>
      <c r="C73">
        <v>18</v>
      </c>
      <c r="D73">
        <v>0</v>
      </c>
      <c r="E73">
        <v>2</v>
      </c>
      <c r="F73">
        <v>5</v>
      </c>
      <c r="G73">
        <v>1</v>
      </c>
      <c r="H73">
        <v>0</v>
      </c>
      <c r="I73">
        <v>4</v>
      </c>
      <c r="J73">
        <v>3</v>
      </c>
      <c r="K73">
        <v>-3</v>
      </c>
      <c r="L73">
        <v>3</v>
      </c>
      <c r="M73" t="str">
        <f>TEXT(exam_mcq[[#This Row],[StudentNumber]],"0")</f>
        <v>1864128</v>
      </c>
    </row>
    <row r="74" spans="1:13">
      <c r="A74" s="165">
        <v>1876127</v>
      </c>
      <c r="B74">
        <v>21</v>
      </c>
      <c r="C74">
        <v>23</v>
      </c>
      <c r="D74">
        <v>0</v>
      </c>
      <c r="E74">
        <v>4</v>
      </c>
      <c r="F74">
        <v>4</v>
      </c>
      <c r="G74">
        <v>4</v>
      </c>
      <c r="H74">
        <v>0</v>
      </c>
      <c r="I74">
        <v>3</v>
      </c>
      <c r="J74">
        <v>5</v>
      </c>
      <c r="K74">
        <v>-2</v>
      </c>
      <c r="L74">
        <v>3</v>
      </c>
      <c r="M74" t="str">
        <f>TEXT(exam_mcq[[#This Row],[StudentNumber]],"0")</f>
        <v>1876127</v>
      </c>
    </row>
    <row r="75" spans="1:13">
      <c r="A75" s="165">
        <v>1876297</v>
      </c>
      <c r="B75">
        <v>8</v>
      </c>
      <c r="C75">
        <v>14</v>
      </c>
      <c r="D75">
        <v>0</v>
      </c>
      <c r="E75">
        <v>-2</v>
      </c>
      <c r="F75">
        <v>3</v>
      </c>
      <c r="G75">
        <v>5</v>
      </c>
      <c r="H75">
        <v>0</v>
      </c>
      <c r="I75">
        <v>3</v>
      </c>
      <c r="J75">
        <v>3</v>
      </c>
      <c r="K75">
        <v>-2</v>
      </c>
      <c r="L75">
        <v>-2</v>
      </c>
      <c r="M75" t="str">
        <f>TEXT(exam_mcq[[#This Row],[StudentNumber]],"0")</f>
        <v>1876297</v>
      </c>
    </row>
    <row r="76" spans="1:13">
      <c r="A76" s="165">
        <v>1877695</v>
      </c>
      <c r="B76">
        <v>14</v>
      </c>
      <c r="C76">
        <v>18</v>
      </c>
      <c r="D76">
        <v>0</v>
      </c>
      <c r="E76">
        <v>4</v>
      </c>
      <c r="F76">
        <v>4</v>
      </c>
      <c r="G76">
        <v>4</v>
      </c>
      <c r="H76">
        <v>0</v>
      </c>
      <c r="I76">
        <v>3</v>
      </c>
      <c r="J76">
        <v>1</v>
      </c>
      <c r="K76">
        <v>-4</v>
      </c>
      <c r="L76">
        <v>2</v>
      </c>
      <c r="M76" t="str">
        <f>TEXT(exam_mcq[[#This Row],[StudentNumber]],"0")</f>
        <v>1877695</v>
      </c>
    </row>
    <row r="77" spans="1:13">
      <c r="A77" s="165">
        <v>1908825</v>
      </c>
      <c r="B77">
        <v>7</v>
      </c>
      <c r="C77">
        <v>13</v>
      </c>
      <c r="D77">
        <v>0</v>
      </c>
      <c r="E77">
        <v>-1</v>
      </c>
      <c r="F77">
        <v>5</v>
      </c>
      <c r="G77">
        <v>2</v>
      </c>
      <c r="H77">
        <v>0</v>
      </c>
      <c r="I77">
        <v>-1</v>
      </c>
      <c r="J77">
        <v>3</v>
      </c>
      <c r="K77">
        <v>-4</v>
      </c>
      <c r="L77">
        <v>3</v>
      </c>
      <c r="M77" t="str">
        <f>TEXT(exam_mcq[[#This Row],[StudentNumber]],"0")</f>
        <v>1908825</v>
      </c>
    </row>
    <row r="78" spans="1:13">
      <c r="A78" s="165">
        <v>1919247</v>
      </c>
      <c r="B78">
        <v>-2</v>
      </c>
      <c r="C78">
        <v>7</v>
      </c>
      <c r="D78">
        <v>0</v>
      </c>
      <c r="E78">
        <v>-2</v>
      </c>
      <c r="F78">
        <v>-4</v>
      </c>
      <c r="G78">
        <v>1</v>
      </c>
      <c r="H78">
        <v>0</v>
      </c>
      <c r="I78">
        <v>-1</v>
      </c>
      <c r="J78">
        <v>-2</v>
      </c>
      <c r="K78">
        <v>3</v>
      </c>
      <c r="L78">
        <v>3</v>
      </c>
      <c r="M78" t="str">
        <f>TEXT(exam_mcq[[#This Row],[StudentNumber]],"0")</f>
        <v>1919247</v>
      </c>
    </row>
    <row r="79" spans="1:13">
      <c r="A79" s="165">
        <v>1924564</v>
      </c>
      <c r="B79">
        <v>22</v>
      </c>
      <c r="C79">
        <v>24</v>
      </c>
      <c r="D79">
        <v>0</v>
      </c>
      <c r="E79">
        <v>4</v>
      </c>
      <c r="F79">
        <v>5</v>
      </c>
      <c r="G79">
        <v>4</v>
      </c>
      <c r="H79">
        <v>0</v>
      </c>
      <c r="I79">
        <v>5</v>
      </c>
      <c r="J79">
        <v>3</v>
      </c>
      <c r="K79">
        <v>-2</v>
      </c>
      <c r="L79">
        <v>3</v>
      </c>
      <c r="M79" t="str">
        <f>TEXT(exam_mcq[[#This Row],[StudentNumber]],"0")</f>
        <v>1924564</v>
      </c>
    </row>
    <row r="80" spans="1:13">
      <c r="A80" s="165">
        <v>2010805</v>
      </c>
      <c r="B80">
        <v>13</v>
      </c>
      <c r="C80">
        <v>18</v>
      </c>
      <c r="D80">
        <v>0</v>
      </c>
      <c r="E80">
        <v>-3</v>
      </c>
      <c r="F80">
        <v>5</v>
      </c>
      <c r="G80">
        <v>2</v>
      </c>
      <c r="H80">
        <v>0</v>
      </c>
      <c r="I80">
        <v>3</v>
      </c>
      <c r="J80">
        <v>5</v>
      </c>
      <c r="K80">
        <v>-2</v>
      </c>
      <c r="L80">
        <v>3</v>
      </c>
      <c r="M80" t="str">
        <f>TEXT(exam_mcq[[#This Row],[StudentNumber]],"0")</f>
        <v>2010805</v>
      </c>
    </row>
    <row r="81" spans="1:14">
      <c r="A81" s="165">
        <v>2050175</v>
      </c>
      <c r="B81">
        <v>5</v>
      </c>
      <c r="C81">
        <v>10</v>
      </c>
      <c r="D81">
        <v>0</v>
      </c>
      <c r="E81">
        <v>-2</v>
      </c>
      <c r="F81">
        <v>4</v>
      </c>
      <c r="G81">
        <v>-3</v>
      </c>
      <c r="H81">
        <v>0</v>
      </c>
      <c r="I81">
        <v>0</v>
      </c>
      <c r="J81">
        <v>1</v>
      </c>
      <c r="K81">
        <v>0</v>
      </c>
      <c r="L81">
        <v>5</v>
      </c>
      <c r="M81" t="str">
        <f>TEXT(exam_mcq[[#This Row],[StudentNumber]],"0")</f>
        <v>2050175</v>
      </c>
    </row>
    <row r="82" spans="1:14">
      <c r="A82" s="165">
        <v>2088077</v>
      </c>
      <c r="B82">
        <v>16</v>
      </c>
      <c r="C82">
        <v>16</v>
      </c>
      <c r="D82">
        <v>0</v>
      </c>
      <c r="E82">
        <v>3</v>
      </c>
      <c r="F82">
        <v>4</v>
      </c>
      <c r="G82">
        <v>4</v>
      </c>
      <c r="H82">
        <v>0</v>
      </c>
      <c r="I82">
        <v>3</v>
      </c>
      <c r="J82">
        <v>0</v>
      </c>
      <c r="K82">
        <v>0</v>
      </c>
      <c r="L82">
        <v>2</v>
      </c>
      <c r="M82" t="str">
        <f>TEXT(exam_mcq[[#This Row],[StudentNumber]],"0")</f>
        <v>2088077</v>
      </c>
    </row>
    <row r="83" spans="1:14">
      <c r="A83" s="165">
        <v>2088691</v>
      </c>
      <c r="B83">
        <v>14</v>
      </c>
      <c r="C83">
        <v>17</v>
      </c>
      <c r="D83">
        <v>0</v>
      </c>
      <c r="E83">
        <v>4</v>
      </c>
      <c r="F83">
        <v>4</v>
      </c>
      <c r="G83">
        <v>-2</v>
      </c>
      <c r="H83">
        <v>0</v>
      </c>
      <c r="I83">
        <v>3</v>
      </c>
      <c r="J83">
        <v>3</v>
      </c>
      <c r="K83">
        <v>-1</v>
      </c>
      <c r="L83">
        <v>3</v>
      </c>
      <c r="M83" t="str">
        <f>TEXT(exam_mcq[[#This Row],[StudentNumber]],"0")</f>
        <v>2088691</v>
      </c>
    </row>
    <row r="84" spans="1:14">
      <c r="A84" s="166">
        <v>2089948</v>
      </c>
      <c r="B84">
        <v>13</v>
      </c>
      <c r="C84">
        <v>14</v>
      </c>
      <c r="D84">
        <v>0</v>
      </c>
      <c r="E84">
        <v>4</v>
      </c>
      <c r="F84">
        <v>4</v>
      </c>
      <c r="G84">
        <v>2</v>
      </c>
      <c r="H84">
        <v>0</v>
      </c>
      <c r="I84">
        <v>3</v>
      </c>
      <c r="J84">
        <v>1</v>
      </c>
      <c r="K84">
        <v>-1</v>
      </c>
      <c r="L84">
        <v>0</v>
      </c>
      <c r="M84" t="str">
        <f>TEXT(exam_mcq[[#This Row],[StudentNumber]],"0")</f>
        <v>2089948</v>
      </c>
      <c r="N84" t="s">
        <v>1036</v>
      </c>
    </row>
    <row r="85" spans="1:14">
      <c r="A85" s="165">
        <v>2089978</v>
      </c>
      <c r="B85">
        <v>2</v>
      </c>
      <c r="C85">
        <v>9</v>
      </c>
      <c r="D85">
        <v>0</v>
      </c>
      <c r="E85">
        <v>-3</v>
      </c>
      <c r="F85">
        <v>2</v>
      </c>
      <c r="G85">
        <v>1</v>
      </c>
      <c r="H85">
        <v>0</v>
      </c>
      <c r="I85">
        <v>0</v>
      </c>
      <c r="J85">
        <v>5</v>
      </c>
      <c r="K85">
        <v>-4</v>
      </c>
      <c r="L85">
        <v>1</v>
      </c>
      <c r="M85" t="str">
        <f>TEXT(exam_mcq[[#This Row],[StudentNumber]],"0")</f>
        <v>2089978</v>
      </c>
    </row>
    <row r="86" spans="1:14">
      <c r="A86" s="165">
        <v>2090845</v>
      </c>
      <c r="B86">
        <v>-1</v>
      </c>
      <c r="C86">
        <v>4</v>
      </c>
      <c r="D86">
        <v>0</v>
      </c>
      <c r="E86">
        <v>-1</v>
      </c>
      <c r="F86">
        <v>-3</v>
      </c>
      <c r="G86">
        <v>0</v>
      </c>
      <c r="H86">
        <v>0</v>
      </c>
      <c r="I86">
        <v>1</v>
      </c>
      <c r="J86">
        <v>0</v>
      </c>
      <c r="K86">
        <v>-1</v>
      </c>
      <c r="L86">
        <v>3</v>
      </c>
      <c r="M86" t="str">
        <f>TEXT(exam_mcq[[#This Row],[StudentNumber]],"0")</f>
        <v>2090845</v>
      </c>
    </row>
    <row r="87" spans="1:14">
      <c r="A87" s="165">
        <v>2094752</v>
      </c>
      <c r="B87">
        <v>10</v>
      </c>
      <c r="C87">
        <v>12</v>
      </c>
      <c r="D87">
        <v>0</v>
      </c>
      <c r="E87">
        <v>-2</v>
      </c>
      <c r="F87">
        <v>4</v>
      </c>
      <c r="G87">
        <v>4</v>
      </c>
      <c r="H87">
        <v>0</v>
      </c>
      <c r="I87">
        <v>1</v>
      </c>
      <c r="J87">
        <v>1</v>
      </c>
      <c r="K87">
        <v>2</v>
      </c>
      <c r="L87">
        <v>0</v>
      </c>
      <c r="M87" t="str">
        <f>TEXT(exam_mcq[[#This Row],[StudentNumber]],"0")</f>
        <v>2094752</v>
      </c>
    </row>
    <row r="88" spans="1:14">
      <c r="A88" s="165">
        <v>2327728</v>
      </c>
      <c r="B88">
        <v>12</v>
      </c>
      <c r="C88">
        <v>16</v>
      </c>
      <c r="D88">
        <v>0</v>
      </c>
      <c r="E88">
        <v>-2</v>
      </c>
      <c r="F88">
        <v>5</v>
      </c>
      <c r="G88">
        <v>4</v>
      </c>
      <c r="H88">
        <v>0</v>
      </c>
      <c r="I88">
        <v>1</v>
      </c>
      <c r="J88">
        <v>3</v>
      </c>
      <c r="K88">
        <v>-2</v>
      </c>
      <c r="L88">
        <v>3</v>
      </c>
      <c r="M88" t="str">
        <f>TEXT(exam_mcq[[#This Row],[StudentNumber]],"0")</f>
        <v>2327728</v>
      </c>
    </row>
    <row r="89" spans="1:14">
      <c r="A89" s="165">
        <v>2327104</v>
      </c>
      <c r="B89">
        <v>16</v>
      </c>
      <c r="C89">
        <v>19</v>
      </c>
      <c r="D89">
        <v>0</v>
      </c>
      <c r="E89">
        <v>5</v>
      </c>
      <c r="F89">
        <v>5</v>
      </c>
      <c r="G89">
        <v>3</v>
      </c>
      <c r="H89">
        <v>0</v>
      </c>
      <c r="I89">
        <v>3</v>
      </c>
      <c r="J89">
        <v>3</v>
      </c>
      <c r="K89">
        <v>-1</v>
      </c>
      <c r="L89">
        <v>-2</v>
      </c>
      <c r="M89" t="str">
        <f>TEXT(exam_mcq[[#This Row],[StudentNumber]],"0")</f>
        <v>2327104</v>
      </c>
    </row>
    <row r="90" spans="1:14">
      <c r="A90" s="165">
        <v>2324917</v>
      </c>
      <c r="B90">
        <v>12</v>
      </c>
      <c r="C90">
        <v>15</v>
      </c>
      <c r="D90">
        <v>0</v>
      </c>
      <c r="E90">
        <v>4</v>
      </c>
      <c r="F90">
        <v>4</v>
      </c>
      <c r="G90">
        <v>2</v>
      </c>
      <c r="H90">
        <v>0</v>
      </c>
      <c r="I90">
        <v>3</v>
      </c>
      <c r="J90">
        <v>-2</v>
      </c>
      <c r="K90">
        <v>-1</v>
      </c>
      <c r="L90">
        <v>2</v>
      </c>
      <c r="M90" t="str">
        <f>TEXT(exam_mcq[[#This Row],[StudentNumber]],"0")</f>
        <v>2324917</v>
      </c>
    </row>
    <row r="91" spans="1:14">
      <c r="A91" s="165">
        <v>2323162</v>
      </c>
      <c r="B91">
        <v>11</v>
      </c>
      <c r="C91">
        <v>14</v>
      </c>
      <c r="D91">
        <v>0</v>
      </c>
      <c r="E91">
        <v>-1</v>
      </c>
      <c r="F91">
        <v>4</v>
      </c>
      <c r="G91">
        <v>4</v>
      </c>
      <c r="H91">
        <v>0</v>
      </c>
      <c r="I91">
        <v>3</v>
      </c>
      <c r="J91">
        <v>1</v>
      </c>
      <c r="K91">
        <v>-2</v>
      </c>
      <c r="L91">
        <v>2</v>
      </c>
      <c r="M91" t="str">
        <f>TEXT(exam_mcq[[#This Row],[StudentNumber]],"0")</f>
        <v>2323162</v>
      </c>
    </row>
    <row r="92" spans="1:14">
      <c r="A92" s="165">
        <v>2320484</v>
      </c>
      <c r="B92">
        <v>18</v>
      </c>
      <c r="C92">
        <v>19</v>
      </c>
      <c r="D92">
        <v>0</v>
      </c>
      <c r="E92">
        <v>-1</v>
      </c>
      <c r="F92">
        <v>5</v>
      </c>
      <c r="G92">
        <v>4</v>
      </c>
      <c r="H92">
        <v>0</v>
      </c>
      <c r="I92">
        <v>3</v>
      </c>
      <c r="J92">
        <v>5</v>
      </c>
      <c r="K92">
        <v>0</v>
      </c>
      <c r="L92">
        <v>2</v>
      </c>
      <c r="M92" t="str">
        <f>TEXT(exam_mcq[[#This Row],[StudentNumber]],"0")</f>
        <v>2320484</v>
      </c>
    </row>
    <row r="93" spans="1:14">
      <c r="A93" s="165">
        <v>2313178</v>
      </c>
      <c r="B93">
        <v>16</v>
      </c>
      <c r="C93">
        <v>16</v>
      </c>
      <c r="D93">
        <v>0</v>
      </c>
      <c r="E93">
        <v>3</v>
      </c>
      <c r="F93">
        <v>4</v>
      </c>
      <c r="G93">
        <v>5</v>
      </c>
      <c r="H93">
        <v>0</v>
      </c>
      <c r="I93">
        <v>1</v>
      </c>
      <c r="J93">
        <v>1</v>
      </c>
      <c r="K93">
        <v>0</v>
      </c>
      <c r="L93">
        <v>2</v>
      </c>
      <c r="M93" t="str">
        <f>TEXT(exam_mcq[[#This Row],[StudentNumber]],"0")</f>
        <v>2313178</v>
      </c>
    </row>
    <row r="94" spans="1:14">
      <c r="A94" s="165">
        <v>2309354</v>
      </c>
      <c r="B94">
        <v>22</v>
      </c>
      <c r="C94">
        <v>24</v>
      </c>
      <c r="D94">
        <v>0</v>
      </c>
      <c r="E94">
        <v>4</v>
      </c>
      <c r="F94">
        <v>4</v>
      </c>
      <c r="G94">
        <v>4</v>
      </c>
      <c r="H94">
        <v>0</v>
      </c>
      <c r="I94">
        <v>5</v>
      </c>
      <c r="J94">
        <v>5</v>
      </c>
      <c r="K94">
        <v>-2</v>
      </c>
      <c r="L94">
        <v>2</v>
      </c>
      <c r="M94" t="str">
        <f>TEXT(exam_mcq[[#This Row],[StudentNumber]],"0")</f>
        <v>2309354</v>
      </c>
    </row>
    <row r="95" spans="1:14">
      <c r="A95" s="165">
        <v>2308227</v>
      </c>
      <c r="B95">
        <v>5</v>
      </c>
      <c r="C95">
        <v>13</v>
      </c>
      <c r="D95">
        <v>0</v>
      </c>
      <c r="E95">
        <v>-3</v>
      </c>
      <c r="F95">
        <v>4</v>
      </c>
      <c r="G95">
        <v>4</v>
      </c>
      <c r="H95">
        <v>0</v>
      </c>
      <c r="I95">
        <v>3</v>
      </c>
      <c r="J95">
        <v>-5</v>
      </c>
      <c r="K95">
        <v>0</v>
      </c>
      <c r="L95">
        <v>2</v>
      </c>
      <c r="M95" t="str">
        <f>TEXT(exam_mcq[[#This Row],[StudentNumber]],"0")</f>
        <v>2308227</v>
      </c>
    </row>
    <row r="96" spans="1:14">
      <c r="A96" s="165">
        <v>2307157</v>
      </c>
      <c r="B96">
        <v>0</v>
      </c>
      <c r="C96">
        <v>7</v>
      </c>
      <c r="D96">
        <v>0</v>
      </c>
      <c r="E96">
        <v>-3</v>
      </c>
      <c r="F96">
        <v>1</v>
      </c>
      <c r="G96">
        <v>3</v>
      </c>
      <c r="H96">
        <v>0</v>
      </c>
      <c r="I96">
        <v>-2</v>
      </c>
      <c r="J96">
        <v>-1</v>
      </c>
      <c r="K96">
        <v>-1</v>
      </c>
      <c r="L96">
        <v>3</v>
      </c>
      <c r="M96" t="str">
        <f>TEXT(exam_mcq[[#This Row],[StudentNumber]],"0")</f>
        <v>2307157</v>
      </c>
    </row>
    <row r="97" spans="1:13">
      <c r="A97" s="165">
        <v>2306815</v>
      </c>
      <c r="B97">
        <v>5</v>
      </c>
      <c r="C97">
        <v>10</v>
      </c>
      <c r="D97">
        <v>0</v>
      </c>
      <c r="E97">
        <v>-2</v>
      </c>
      <c r="F97">
        <v>4</v>
      </c>
      <c r="G97">
        <v>1</v>
      </c>
      <c r="H97">
        <v>0</v>
      </c>
      <c r="I97">
        <v>-1</v>
      </c>
      <c r="J97">
        <v>-2</v>
      </c>
      <c r="K97">
        <v>0</v>
      </c>
      <c r="L97">
        <v>5</v>
      </c>
      <c r="M97" t="str">
        <f>TEXT(exam_mcq[[#This Row],[StudentNumber]],"0")</f>
        <v>2306815</v>
      </c>
    </row>
    <row r="98" spans="1:13">
      <c r="A98" s="165">
        <v>2305656</v>
      </c>
      <c r="B98">
        <v>13</v>
      </c>
      <c r="C98">
        <v>15</v>
      </c>
      <c r="D98">
        <v>0</v>
      </c>
      <c r="E98">
        <v>-2</v>
      </c>
      <c r="F98">
        <v>5</v>
      </c>
      <c r="G98">
        <v>1</v>
      </c>
      <c r="H98">
        <v>0</v>
      </c>
      <c r="I98">
        <v>3</v>
      </c>
      <c r="J98">
        <v>1</v>
      </c>
      <c r="K98">
        <v>3</v>
      </c>
      <c r="L98">
        <v>2</v>
      </c>
      <c r="M98" t="str">
        <f>TEXT(exam_mcq[[#This Row],[StudentNumber]],"0")</f>
        <v>2305656</v>
      </c>
    </row>
    <row r="99" spans="1:13">
      <c r="A99" s="165">
        <v>2306202</v>
      </c>
      <c r="B99">
        <v>18</v>
      </c>
      <c r="C99">
        <v>18</v>
      </c>
      <c r="D99">
        <v>0</v>
      </c>
      <c r="E99">
        <v>4</v>
      </c>
      <c r="F99">
        <v>5</v>
      </c>
      <c r="G99">
        <v>3</v>
      </c>
      <c r="H99">
        <v>0</v>
      </c>
      <c r="I99">
        <v>3</v>
      </c>
      <c r="J99">
        <v>1</v>
      </c>
      <c r="K99">
        <v>0</v>
      </c>
      <c r="L99">
        <v>2</v>
      </c>
      <c r="M99" t="str">
        <f>TEXT(exam_mcq[[#This Row],[StudentNumber]],"0")</f>
        <v>2306202</v>
      </c>
    </row>
    <row r="100" spans="1:13">
      <c r="A100" s="165">
        <v>2305580</v>
      </c>
      <c r="B100">
        <v>13</v>
      </c>
      <c r="C100">
        <v>17</v>
      </c>
      <c r="D100">
        <v>0</v>
      </c>
      <c r="E100">
        <v>-2</v>
      </c>
      <c r="F100">
        <v>5</v>
      </c>
      <c r="G100">
        <v>4</v>
      </c>
      <c r="H100">
        <v>0</v>
      </c>
      <c r="I100">
        <v>3</v>
      </c>
      <c r="J100">
        <v>3</v>
      </c>
      <c r="K100">
        <v>-2</v>
      </c>
      <c r="L100">
        <v>2</v>
      </c>
      <c r="M100" t="str">
        <f>TEXT(exam_mcq[[#This Row],[StudentNumber]],"0")</f>
        <v>2305580</v>
      </c>
    </row>
    <row r="101" spans="1:13">
      <c r="A101" s="165">
        <v>2305164</v>
      </c>
      <c r="B101">
        <v>3</v>
      </c>
      <c r="C101">
        <v>9</v>
      </c>
      <c r="D101">
        <v>0</v>
      </c>
      <c r="E101">
        <v>-5</v>
      </c>
      <c r="F101">
        <v>2</v>
      </c>
      <c r="G101">
        <v>-1</v>
      </c>
      <c r="H101">
        <v>0</v>
      </c>
      <c r="I101">
        <v>2</v>
      </c>
      <c r="J101">
        <v>3</v>
      </c>
      <c r="K101">
        <v>0</v>
      </c>
      <c r="L101">
        <v>2</v>
      </c>
      <c r="M101" t="str">
        <f>TEXT(exam_mcq[[#This Row],[StudentNumber]],"0")</f>
        <v>2305164</v>
      </c>
    </row>
    <row r="102" spans="1:13">
      <c r="A102" s="165">
        <v>2304928</v>
      </c>
      <c r="B102">
        <v>19</v>
      </c>
      <c r="C102">
        <v>19</v>
      </c>
      <c r="D102">
        <v>0</v>
      </c>
      <c r="E102">
        <v>3</v>
      </c>
      <c r="F102">
        <v>4</v>
      </c>
      <c r="G102">
        <v>4</v>
      </c>
      <c r="H102">
        <v>0</v>
      </c>
      <c r="I102">
        <v>1</v>
      </c>
      <c r="J102">
        <v>5</v>
      </c>
      <c r="K102">
        <v>0</v>
      </c>
      <c r="L102">
        <v>2</v>
      </c>
      <c r="M102" t="str">
        <f>TEXT(exam_mcq[[#This Row],[StudentNumber]],"0")</f>
        <v>2304928</v>
      </c>
    </row>
    <row r="103" spans="1:13">
      <c r="A103" s="165">
        <v>2304150</v>
      </c>
      <c r="B103">
        <v>13</v>
      </c>
      <c r="C103">
        <v>15</v>
      </c>
      <c r="D103">
        <v>0</v>
      </c>
      <c r="E103">
        <v>4</v>
      </c>
      <c r="F103">
        <v>1</v>
      </c>
      <c r="G103">
        <v>0</v>
      </c>
      <c r="H103">
        <v>0</v>
      </c>
      <c r="I103">
        <v>2</v>
      </c>
      <c r="J103">
        <v>3</v>
      </c>
      <c r="K103">
        <v>-2</v>
      </c>
      <c r="L103">
        <v>5</v>
      </c>
      <c r="M103" t="str">
        <f>TEXT(exam_mcq[[#This Row],[StudentNumber]],"0")</f>
        <v>2304150</v>
      </c>
    </row>
    <row r="104" spans="1:13">
      <c r="A104" s="165">
        <v>2303789</v>
      </c>
      <c r="B104">
        <v>11</v>
      </c>
      <c r="C104">
        <v>15</v>
      </c>
      <c r="D104">
        <v>0</v>
      </c>
      <c r="E104">
        <v>-2</v>
      </c>
      <c r="F104">
        <v>5</v>
      </c>
      <c r="G104">
        <v>4</v>
      </c>
      <c r="H104">
        <v>0</v>
      </c>
      <c r="I104">
        <v>3</v>
      </c>
      <c r="J104">
        <v>-2</v>
      </c>
      <c r="K104">
        <v>0</v>
      </c>
      <c r="L104">
        <v>3</v>
      </c>
      <c r="M104" t="str">
        <f>TEXT(exam_mcq[[#This Row],[StudentNumber]],"0")</f>
        <v>2303789</v>
      </c>
    </row>
    <row r="105" spans="1:13">
      <c r="A105" s="165">
        <v>1818219</v>
      </c>
      <c r="B105">
        <v>5</v>
      </c>
      <c r="C105">
        <v>9</v>
      </c>
      <c r="D105">
        <v>0</v>
      </c>
      <c r="E105">
        <v>-2</v>
      </c>
      <c r="F105">
        <v>2</v>
      </c>
      <c r="G105">
        <v>2</v>
      </c>
      <c r="H105">
        <v>0</v>
      </c>
      <c r="I105">
        <v>3</v>
      </c>
      <c r="J105">
        <v>-2</v>
      </c>
      <c r="K105">
        <v>0</v>
      </c>
      <c r="L105">
        <v>2</v>
      </c>
      <c r="M105" t="str">
        <f>TEXT(exam_mcq[[#This Row],[StudentNumber]],"0")</f>
        <v>1818219</v>
      </c>
    </row>
    <row r="106" spans="1:13">
      <c r="A106" s="165">
        <v>1823178</v>
      </c>
      <c r="B106">
        <v>14</v>
      </c>
      <c r="C106">
        <v>16</v>
      </c>
      <c r="D106">
        <v>0</v>
      </c>
      <c r="E106">
        <v>-2</v>
      </c>
      <c r="F106">
        <v>4</v>
      </c>
      <c r="G106">
        <v>4</v>
      </c>
      <c r="H106">
        <v>0</v>
      </c>
      <c r="I106">
        <v>3</v>
      </c>
      <c r="J106">
        <v>3</v>
      </c>
      <c r="K106">
        <v>0</v>
      </c>
      <c r="L106">
        <v>2</v>
      </c>
      <c r="M106" t="str">
        <f>TEXT(exam_mcq[[#This Row],[StudentNumber]],"0")</f>
        <v>1823178</v>
      </c>
    </row>
    <row r="107" spans="1:13">
      <c r="A107" s="165">
        <v>1823614</v>
      </c>
      <c r="B107">
        <v>13</v>
      </c>
      <c r="C107">
        <v>14</v>
      </c>
      <c r="D107">
        <v>0</v>
      </c>
      <c r="E107">
        <v>-1</v>
      </c>
      <c r="F107">
        <v>4</v>
      </c>
      <c r="G107">
        <v>2</v>
      </c>
      <c r="H107">
        <v>0</v>
      </c>
      <c r="I107">
        <v>3</v>
      </c>
      <c r="J107">
        <v>3</v>
      </c>
      <c r="K107">
        <v>0</v>
      </c>
      <c r="L107">
        <v>2</v>
      </c>
      <c r="M107" t="str">
        <f>TEXT(exam_mcq[[#This Row],[StudentNumber]],"0")</f>
        <v>1823614</v>
      </c>
    </row>
    <row r="108" spans="1:13">
      <c r="A108" s="165">
        <v>1826929</v>
      </c>
      <c r="B108">
        <v>12</v>
      </c>
      <c r="C108">
        <v>14</v>
      </c>
      <c r="D108">
        <v>0</v>
      </c>
      <c r="E108">
        <v>3</v>
      </c>
      <c r="F108">
        <v>4</v>
      </c>
      <c r="G108">
        <v>4</v>
      </c>
      <c r="H108">
        <v>0</v>
      </c>
      <c r="I108">
        <v>0</v>
      </c>
      <c r="J108">
        <v>-2</v>
      </c>
      <c r="K108">
        <v>0</v>
      </c>
      <c r="L108">
        <v>3</v>
      </c>
      <c r="M108" t="str">
        <f>TEXT(exam_mcq[[#This Row],[StudentNumber]],"0")</f>
        <v>1826929</v>
      </c>
    </row>
    <row r="109" spans="1:13">
      <c r="A109" s="165">
        <v>1827340</v>
      </c>
      <c r="B109">
        <v>12</v>
      </c>
      <c r="C109">
        <v>15</v>
      </c>
      <c r="D109">
        <v>0</v>
      </c>
      <c r="E109">
        <v>3</v>
      </c>
      <c r="F109">
        <v>4</v>
      </c>
      <c r="G109">
        <v>3</v>
      </c>
      <c r="H109">
        <v>0</v>
      </c>
      <c r="I109">
        <v>3</v>
      </c>
      <c r="J109">
        <v>0</v>
      </c>
      <c r="K109">
        <v>-3</v>
      </c>
      <c r="L109">
        <v>2</v>
      </c>
      <c r="M109" t="str">
        <f>TEXT(exam_mcq[[#This Row],[StudentNumber]],"0")</f>
        <v>1827340</v>
      </c>
    </row>
    <row r="110" spans="1:13">
      <c r="A110" s="165">
        <v>1830373</v>
      </c>
      <c r="B110">
        <v>-1</v>
      </c>
      <c r="C110">
        <v>5</v>
      </c>
      <c r="D110">
        <v>0</v>
      </c>
      <c r="E110">
        <v>-3</v>
      </c>
      <c r="F110">
        <v>2</v>
      </c>
      <c r="G110">
        <v>2</v>
      </c>
      <c r="H110">
        <v>0</v>
      </c>
      <c r="I110">
        <v>-1</v>
      </c>
      <c r="J110">
        <v>-2</v>
      </c>
      <c r="K110">
        <v>1</v>
      </c>
      <c r="L110">
        <v>0</v>
      </c>
      <c r="M110" t="str">
        <f>TEXT(exam_mcq[[#This Row],[StudentNumber]],"0")</f>
        <v>1830373</v>
      </c>
    </row>
    <row r="111" spans="1:13">
      <c r="A111" s="165">
        <v>1830380</v>
      </c>
      <c r="B111">
        <v>14</v>
      </c>
      <c r="C111">
        <v>17</v>
      </c>
      <c r="D111">
        <v>0</v>
      </c>
      <c r="E111">
        <v>3</v>
      </c>
      <c r="F111">
        <v>4</v>
      </c>
      <c r="G111">
        <v>1</v>
      </c>
      <c r="H111">
        <v>0</v>
      </c>
      <c r="I111">
        <v>3</v>
      </c>
      <c r="J111">
        <v>3</v>
      </c>
      <c r="K111">
        <v>-3</v>
      </c>
      <c r="L111">
        <v>3</v>
      </c>
      <c r="M111" t="str">
        <f>TEXT(exam_mcq[[#This Row],[StudentNumber]],"0")</f>
        <v>1830380</v>
      </c>
    </row>
    <row r="112" spans="1:13">
      <c r="A112" s="165">
        <v>1832055</v>
      </c>
      <c r="B112">
        <v>6</v>
      </c>
      <c r="C112">
        <v>12</v>
      </c>
      <c r="D112">
        <v>0</v>
      </c>
      <c r="E112">
        <v>-3</v>
      </c>
      <c r="F112">
        <v>1</v>
      </c>
      <c r="G112">
        <v>-3</v>
      </c>
      <c r="H112">
        <v>0</v>
      </c>
      <c r="I112">
        <v>3</v>
      </c>
      <c r="J112">
        <v>3</v>
      </c>
      <c r="K112">
        <v>0</v>
      </c>
      <c r="L112">
        <v>5</v>
      </c>
      <c r="M112" t="str">
        <f>TEXT(exam_mcq[[#This Row],[StudentNumber]],"0")</f>
        <v>1832055</v>
      </c>
    </row>
    <row r="113" spans="1:13">
      <c r="A113" s="165">
        <v>1832762</v>
      </c>
      <c r="B113">
        <v>13</v>
      </c>
      <c r="C113">
        <v>14</v>
      </c>
      <c r="D113">
        <v>0</v>
      </c>
      <c r="E113">
        <v>-1</v>
      </c>
      <c r="F113">
        <v>4</v>
      </c>
      <c r="G113">
        <v>5</v>
      </c>
      <c r="H113">
        <v>0</v>
      </c>
      <c r="I113">
        <v>3</v>
      </c>
      <c r="J113">
        <v>1</v>
      </c>
      <c r="K113">
        <v>0</v>
      </c>
      <c r="L113">
        <v>1</v>
      </c>
      <c r="M113" t="str">
        <f>TEXT(exam_mcq[[#This Row],[StudentNumber]],"0")</f>
        <v>1832762</v>
      </c>
    </row>
    <row r="114" spans="1:13">
      <c r="A114" s="165">
        <v>1832991</v>
      </c>
      <c r="B114">
        <v>13</v>
      </c>
      <c r="C114">
        <v>17</v>
      </c>
      <c r="D114">
        <v>0</v>
      </c>
      <c r="E114">
        <v>-3</v>
      </c>
      <c r="F114">
        <v>4</v>
      </c>
      <c r="G114">
        <v>4</v>
      </c>
      <c r="H114">
        <v>0</v>
      </c>
      <c r="I114">
        <v>3</v>
      </c>
      <c r="J114">
        <v>3</v>
      </c>
      <c r="K114">
        <v>-1</v>
      </c>
      <c r="L114">
        <v>3</v>
      </c>
      <c r="M114" t="str">
        <f>TEXT(exam_mcq[[#This Row],[StudentNumber]],"0")</f>
        <v>1832991</v>
      </c>
    </row>
    <row r="115" spans="1:13">
      <c r="A115" s="165">
        <v>1834022</v>
      </c>
      <c r="B115">
        <v>8</v>
      </c>
      <c r="C115">
        <v>15</v>
      </c>
      <c r="D115">
        <v>0</v>
      </c>
      <c r="E115">
        <v>-3</v>
      </c>
      <c r="F115">
        <v>4</v>
      </c>
      <c r="G115">
        <v>-3</v>
      </c>
      <c r="H115">
        <v>0</v>
      </c>
      <c r="I115">
        <v>-1</v>
      </c>
      <c r="J115">
        <v>5</v>
      </c>
      <c r="K115">
        <v>1</v>
      </c>
      <c r="L115">
        <v>5</v>
      </c>
      <c r="M115" t="str">
        <f>TEXT(exam_mcq[[#This Row],[StudentNumber]],"0")</f>
        <v>1834022</v>
      </c>
    </row>
    <row r="116" spans="1:13">
      <c r="A116" s="165">
        <v>1844501</v>
      </c>
      <c r="B116">
        <v>12</v>
      </c>
      <c r="C116">
        <v>14</v>
      </c>
      <c r="D116">
        <v>0</v>
      </c>
      <c r="E116">
        <v>-2</v>
      </c>
      <c r="F116">
        <v>4</v>
      </c>
      <c r="G116">
        <v>3</v>
      </c>
      <c r="H116">
        <v>0</v>
      </c>
      <c r="I116">
        <v>3</v>
      </c>
      <c r="J116">
        <v>1</v>
      </c>
      <c r="K116">
        <v>1</v>
      </c>
      <c r="L116">
        <v>2</v>
      </c>
      <c r="M116" t="str">
        <f>TEXT(exam_mcq[[#This Row],[StudentNumber]],"0")</f>
        <v>1844501</v>
      </c>
    </row>
    <row r="117" spans="1:13">
      <c r="A117" s="165">
        <v>1845217</v>
      </c>
      <c r="B117">
        <v>15</v>
      </c>
      <c r="C117">
        <v>18</v>
      </c>
      <c r="D117">
        <v>0</v>
      </c>
      <c r="E117">
        <v>3</v>
      </c>
      <c r="F117">
        <v>4</v>
      </c>
      <c r="G117">
        <v>-1</v>
      </c>
      <c r="H117">
        <v>0</v>
      </c>
      <c r="I117">
        <v>3</v>
      </c>
      <c r="J117">
        <v>3</v>
      </c>
      <c r="K117">
        <v>-2</v>
      </c>
      <c r="L117">
        <v>5</v>
      </c>
      <c r="M117" t="str">
        <f>TEXT(exam_mcq[[#This Row],[StudentNumber]],"0")</f>
        <v>1845217</v>
      </c>
    </row>
    <row r="118" spans="1:13">
      <c r="A118" s="165">
        <v>1848116</v>
      </c>
      <c r="B118">
        <v>10</v>
      </c>
      <c r="C118">
        <v>12</v>
      </c>
      <c r="D118">
        <v>0</v>
      </c>
      <c r="E118">
        <v>3</v>
      </c>
      <c r="F118">
        <v>1</v>
      </c>
      <c r="G118">
        <v>2</v>
      </c>
      <c r="H118">
        <v>0</v>
      </c>
      <c r="I118">
        <v>0</v>
      </c>
      <c r="J118">
        <v>3</v>
      </c>
      <c r="K118">
        <v>-2</v>
      </c>
      <c r="L118">
        <v>3</v>
      </c>
      <c r="M118" t="str">
        <f>TEXT(exam_mcq[[#This Row],[StudentNumber]],"0")</f>
        <v>1848116</v>
      </c>
    </row>
    <row r="119" spans="1:13">
      <c r="A119" s="165">
        <v>1852217</v>
      </c>
      <c r="B119">
        <v>10</v>
      </c>
      <c r="C119">
        <v>16</v>
      </c>
      <c r="D119">
        <v>0</v>
      </c>
      <c r="E119">
        <v>-2</v>
      </c>
      <c r="F119">
        <v>4</v>
      </c>
      <c r="G119">
        <v>4</v>
      </c>
      <c r="H119">
        <v>0</v>
      </c>
      <c r="I119">
        <v>3</v>
      </c>
      <c r="J119">
        <v>3</v>
      </c>
      <c r="K119">
        <v>-4</v>
      </c>
      <c r="L119">
        <v>2</v>
      </c>
      <c r="M119" t="str">
        <f>TEXT(exam_mcq[[#This Row],[StudentNumber]],"0")</f>
        <v>1852217</v>
      </c>
    </row>
    <row r="120" spans="1:13">
      <c r="A120" s="165">
        <v>2164579</v>
      </c>
      <c r="B120">
        <v>12</v>
      </c>
      <c r="C120">
        <v>14</v>
      </c>
      <c r="D120">
        <v>0</v>
      </c>
      <c r="E120">
        <v>2</v>
      </c>
      <c r="F120">
        <v>4</v>
      </c>
      <c r="G120">
        <v>3</v>
      </c>
      <c r="H120">
        <v>0</v>
      </c>
      <c r="I120">
        <v>0</v>
      </c>
      <c r="J120">
        <v>2</v>
      </c>
      <c r="K120">
        <v>-2</v>
      </c>
      <c r="L120">
        <v>3</v>
      </c>
      <c r="M120" t="str">
        <f>TEXT(exam_mcq[[#This Row],[StudentNumber]],"0")</f>
        <v>2164579</v>
      </c>
    </row>
    <row r="121" spans="1:13">
      <c r="A121" s="165">
        <v>2353833</v>
      </c>
      <c r="B121">
        <v>12</v>
      </c>
      <c r="C121">
        <v>13</v>
      </c>
      <c r="D121">
        <v>0</v>
      </c>
      <c r="E121">
        <v>-1</v>
      </c>
      <c r="F121">
        <v>4</v>
      </c>
      <c r="G121">
        <v>4</v>
      </c>
      <c r="H121">
        <v>0</v>
      </c>
      <c r="I121">
        <v>0</v>
      </c>
      <c r="J121">
        <v>1</v>
      </c>
      <c r="K121">
        <v>1</v>
      </c>
      <c r="L121">
        <v>3</v>
      </c>
      <c r="M121" t="str">
        <f>TEXT(exam_mcq[[#This Row],[StudentNumber]],"0")</f>
        <v>2353833</v>
      </c>
    </row>
    <row r="122" spans="1:13">
      <c r="A122" s="165">
        <v>2352044</v>
      </c>
      <c r="B122">
        <v>8</v>
      </c>
      <c r="C122">
        <v>12</v>
      </c>
      <c r="D122">
        <v>0</v>
      </c>
      <c r="E122">
        <v>-2</v>
      </c>
      <c r="F122">
        <v>4</v>
      </c>
      <c r="G122">
        <v>3</v>
      </c>
      <c r="H122">
        <v>0</v>
      </c>
      <c r="I122">
        <v>0</v>
      </c>
      <c r="J122">
        <v>3</v>
      </c>
      <c r="K122">
        <v>-2</v>
      </c>
      <c r="L122">
        <v>2</v>
      </c>
      <c r="M122" t="str">
        <f>TEXT(exam_mcq[[#This Row],[StudentNumber]],"0")</f>
        <v>2352044</v>
      </c>
    </row>
    <row r="123" spans="1:13">
      <c r="A123" s="165">
        <v>2355933</v>
      </c>
      <c r="B123">
        <v>10</v>
      </c>
      <c r="C123">
        <v>15</v>
      </c>
      <c r="D123">
        <v>0</v>
      </c>
      <c r="E123">
        <v>-3</v>
      </c>
      <c r="F123">
        <v>5</v>
      </c>
      <c r="G123">
        <v>4</v>
      </c>
      <c r="H123">
        <v>0</v>
      </c>
      <c r="I123">
        <v>3</v>
      </c>
      <c r="J123">
        <v>3</v>
      </c>
      <c r="K123">
        <v>-1</v>
      </c>
      <c r="L123">
        <v>-1</v>
      </c>
      <c r="M123" t="str">
        <f>TEXT(exam_mcq[[#This Row],[StudentNumber]],"0")</f>
        <v>2355933</v>
      </c>
    </row>
    <row r="124" spans="1:13">
      <c r="A124" s="165">
        <v>2356839</v>
      </c>
      <c r="B124">
        <v>3</v>
      </c>
      <c r="C124">
        <v>7</v>
      </c>
      <c r="D124">
        <v>0</v>
      </c>
      <c r="E124">
        <v>-2</v>
      </c>
      <c r="F124">
        <v>4</v>
      </c>
      <c r="G124">
        <v>-1</v>
      </c>
      <c r="H124">
        <v>0</v>
      </c>
      <c r="I124">
        <v>-1</v>
      </c>
      <c r="J124">
        <v>3</v>
      </c>
      <c r="K124">
        <v>0</v>
      </c>
      <c r="L124">
        <v>0</v>
      </c>
      <c r="M124" t="str">
        <f>TEXT(exam_mcq[[#This Row],[StudentNumber]],"0")</f>
        <v>2356839</v>
      </c>
    </row>
    <row r="125" spans="1:13">
      <c r="A125" s="165">
        <v>2366020</v>
      </c>
      <c r="B125">
        <v>14</v>
      </c>
      <c r="C125">
        <v>17</v>
      </c>
      <c r="D125">
        <v>0</v>
      </c>
      <c r="E125">
        <v>-3</v>
      </c>
      <c r="F125">
        <v>5</v>
      </c>
      <c r="G125">
        <v>4</v>
      </c>
      <c r="H125">
        <v>0</v>
      </c>
      <c r="I125">
        <v>3</v>
      </c>
      <c r="J125">
        <v>3</v>
      </c>
      <c r="K125">
        <v>0</v>
      </c>
      <c r="L125">
        <v>2</v>
      </c>
      <c r="M125" t="str">
        <f>TEXT(exam_mcq[[#This Row],[StudentNumber]],"0")</f>
        <v>2366020</v>
      </c>
    </row>
    <row r="126" spans="1:13">
      <c r="A126" s="165">
        <v>2366542</v>
      </c>
      <c r="B126">
        <v>16</v>
      </c>
      <c r="C126">
        <v>16</v>
      </c>
      <c r="D126">
        <v>0</v>
      </c>
      <c r="E126">
        <v>4</v>
      </c>
      <c r="F126">
        <v>4</v>
      </c>
      <c r="G126">
        <v>1</v>
      </c>
      <c r="H126">
        <v>0</v>
      </c>
      <c r="I126">
        <v>3</v>
      </c>
      <c r="J126">
        <v>3</v>
      </c>
      <c r="K126">
        <v>1</v>
      </c>
      <c r="L126">
        <v>0</v>
      </c>
      <c r="M126" t="str">
        <f>TEXT(exam_mcq[[#This Row],[StudentNumber]],"0")</f>
        <v>2366542</v>
      </c>
    </row>
    <row r="127" spans="1:13">
      <c r="A127" s="165">
        <v>2366643</v>
      </c>
      <c r="B127">
        <v>12</v>
      </c>
      <c r="C127">
        <v>15</v>
      </c>
      <c r="D127">
        <v>0</v>
      </c>
      <c r="E127">
        <v>-2</v>
      </c>
      <c r="F127">
        <v>5</v>
      </c>
      <c r="G127">
        <v>-1</v>
      </c>
      <c r="H127">
        <v>0</v>
      </c>
      <c r="I127">
        <v>2</v>
      </c>
      <c r="J127">
        <v>3</v>
      </c>
      <c r="K127">
        <v>2</v>
      </c>
      <c r="L127">
        <v>3</v>
      </c>
      <c r="M127" t="str">
        <f>TEXT(exam_mcq[[#This Row],[StudentNumber]],"0")</f>
        <v>2366643</v>
      </c>
    </row>
    <row r="128" spans="1:13">
      <c r="A128" s="165">
        <v>2367017</v>
      </c>
      <c r="B128">
        <v>18</v>
      </c>
      <c r="C128">
        <v>18</v>
      </c>
      <c r="D128">
        <v>0</v>
      </c>
      <c r="E128">
        <v>3</v>
      </c>
      <c r="F128">
        <v>5</v>
      </c>
      <c r="G128">
        <v>2</v>
      </c>
      <c r="H128">
        <v>0</v>
      </c>
      <c r="I128">
        <v>2</v>
      </c>
      <c r="J128">
        <v>3</v>
      </c>
      <c r="K128">
        <v>0</v>
      </c>
      <c r="L128">
        <v>3</v>
      </c>
      <c r="M128" t="str">
        <f>TEXT(exam_mcq[[#This Row],[StudentNumber]],"0")</f>
        <v>2367017</v>
      </c>
    </row>
    <row r="129" spans="1:13">
      <c r="A129" s="165">
        <v>2367318</v>
      </c>
      <c r="B129">
        <v>9</v>
      </c>
      <c r="C129">
        <v>11</v>
      </c>
      <c r="D129">
        <v>0</v>
      </c>
      <c r="E129">
        <v>-2</v>
      </c>
      <c r="F129">
        <v>4</v>
      </c>
      <c r="G129">
        <v>0</v>
      </c>
      <c r="H129">
        <v>0</v>
      </c>
      <c r="I129">
        <v>3</v>
      </c>
      <c r="J129">
        <v>1</v>
      </c>
      <c r="K129">
        <v>0</v>
      </c>
      <c r="L129">
        <v>3</v>
      </c>
      <c r="M129" t="str">
        <f>TEXT(exam_mcq[[#This Row],[StudentNumber]],"0")</f>
        <v>2367318</v>
      </c>
    </row>
    <row r="130" spans="1:13">
      <c r="A130" s="165">
        <v>2373926</v>
      </c>
      <c r="B130">
        <v>17</v>
      </c>
      <c r="C130">
        <v>19</v>
      </c>
      <c r="D130">
        <v>0</v>
      </c>
      <c r="E130">
        <v>3</v>
      </c>
      <c r="F130">
        <v>4</v>
      </c>
      <c r="G130">
        <v>4</v>
      </c>
      <c r="H130">
        <v>0</v>
      </c>
      <c r="I130">
        <v>3</v>
      </c>
      <c r="J130">
        <v>3</v>
      </c>
      <c r="K130">
        <v>-2</v>
      </c>
      <c r="L130">
        <v>2</v>
      </c>
      <c r="M130" t="str">
        <f>TEXT(exam_mcq[[#This Row],[StudentNumber]],"0")</f>
        <v>2373926</v>
      </c>
    </row>
    <row r="131" spans="1:13">
      <c r="A131" s="165">
        <v>2377042</v>
      </c>
      <c r="B131">
        <v>21</v>
      </c>
      <c r="C131">
        <v>21</v>
      </c>
      <c r="D131">
        <v>0</v>
      </c>
      <c r="E131">
        <v>3</v>
      </c>
      <c r="F131">
        <v>4</v>
      </c>
      <c r="G131">
        <v>4</v>
      </c>
      <c r="H131">
        <v>0</v>
      </c>
      <c r="I131">
        <v>3</v>
      </c>
      <c r="J131">
        <v>3</v>
      </c>
      <c r="K131">
        <v>2</v>
      </c>
      <c r="L131">
        <v>2</v>
      </c>
      <c r="M131" t="str">
        <f>TEXT(exam_mcq[[#This Row],[StudentNumber]],"0")</f>
        <v>2377042</v>
      </c>
    </row>
    <row r="132" spans="1:13">
      <c r="A132" s="165">
        <v>2388404</v>
      </c>
      <c r="B132">
        <v>16</v>
      </c>
      <c r="C132">
        <v>18</v>
      </c>
      <c r="D132">
        <v>0</v>
      </c>
      <c r="E132">
        <v>0</v>
      </c>
      <c r="F132">
        <v>5</v>
      </c>
      <c r="G132">
        <v>4</v>
      </c>
      <c r="H132">
        <v>0</v>
      </c>
      <c r="I132">
        <v>3</v>
      </c>
      <c r="J132">
        <v>3</v>
      </c>
      <c r="K132">
        <v>-2</v>
      </c>
      <c r="L132">
        <v>3</v>
      </c>
      <c r="M132" t="str">
        <f>TEXT(exam_mcq[[#This Row],[StudentNumber]],"0")</f>
        <v>2388404</v>
      </c>
    </row>
    <row r="133" spans="1:13">
      <c r="A133" s="165">
        <v>482412</v>
      </c>
      <c r="B133">
        <v>10</v>
      </c>
      <c r="C133">
        <v>13</v>
      </c>
      <c r="D133">
        <v>0</v>
      </c>
      <c r="E133">
        <v>-2</v>
      </c>
      <c r="F133">
        <v>5</v>
      </c>
      <c r="G133">
        <v>-1</v>
      </c>
      <c r="H133">
        <v>0</v>
      </c>
      <c r="I133">
        <v>2</v>
      </c>
      <c r="J133">
        <v>1</v>
      </c>
      <c r="K133">
        <v>0</v>
      </c>
      <c r="L133">
        <v>5</v>
      </c>
      <c r="M133" t="str">
        <f>TEXT(exam_mcq[[#This Row],[StudentNumber]],"0")</f>
        <v>482412</v>
      </c>
    </row>
    <row r="134" spans="1:13">
      <c r="A134" s="165">
        <v>704140</v>
      </c>
      <c r="B134">
        <v>11</v>
      </c>
      <c r="C134">
        <v>13</v>
      </c>
      <c r="D134">
        <v>0</v>
      </c>
      <c r="E134">
        <v>-2</v>
      </c>
      <c r="F134">
        <v>5</v>
      </c>
      <c r="G134">
        <v>1</v>
      </c>
      <c r="H134">
        <v>0</v>
      </c>
      <c r="I134">
        <v>3</v>
      </c>
      <c r="J134">
        <v>3</v>
      </c>
      <c r="K134">
        <v>0</v>
      </c>
      <c r="L134">
        <v>1</v>
      </c>
      <c r="M134" t="str">
        <f>TEXT(exam_mcq[[#This Row],[StudentNumber]],"0")</f>
        <v>704140</v>
      </c>
    </row>
    <row r="135" spans="1:13">
      <c r="A135" s="165">
        <v>957850</v>
      </c>
      <c r="B135">
        <v>3</v>
      </c>
      <c r="C135">
        <v>10</v>
      </c>
      <c r="D135">
        <v>0</v>
      </c>
      <c r="E135">
        <v>-2</v>
      </c>
      <c r="F135">
        <v>4</v>
      </c>
      <c r="G135">
        <v>-3</v>
      </c>
      <c r="H135">
        <v>0</v>
      </c>
      <c r="I135">
        <v>3</v>
      </c>
      <c r="J135">
        <v>3</v>
      </c>
      <c r="K135">
        <v>-2</v>
      </c>
      <c r="L135">
        <v>0</v>
      </c>
      <c r="M135" t="str">
        <f>TEXT(exam_mcq[[#This Row],[StudentNumber]],"0")</f>
        <v>957850</v>
      </c>
    </row>
  </sheetData>
  <pageMargins left="0.7" right="0.7" top="0.75" bottom="0.75" header="0.3" footer="0.3"/>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C85EBE068CD749AE776E405F89BB84" ma:contentTypeVersion="0" ma:contentTypeDescription="Create a new document." ma:contentTypeScope="" ma:versionID="5c122238da0f6df42f90404c89eab375">
  <xsd:schema xmlns:xsd="http://www.w3.org/2001/XMLSchema" xmlns:xs="http://www.w3.org/2001/XMLSchema" xmlns:p="http://schemas.microsoft.com/office/2006/metadata/properties" targetNamespace="http://schemas.microsoft.com/office/2006/metadata/properties" ma:root="true" ma:fieldsID="0967b7be50301903c78f9c39c6fd9af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E6FF7F-A93E-467B-8D72-B8374F4D43D0}">
  <ds:schemaRefs>
    <ds:schemaRef ds:uri="http://schemas.microsoft.com/sharepoint/v3/contenttype/forms"/>
  </ds:schemaRefs>
</ds:datastoreItem>
</file>

<file path=customXml/itemProps2.xml><?xml version="1.0" encoding="utf-8"?>
<ds:datastoreItem xmlns:ds="http://schemas.openxmlformats.org/officeDocument/2006/customXml" ds:itemID="{C5A6BE63-4954-4442-8346-84D1148F96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F8B99A4-E078-4B12-A3ED-EC6C46A63488}">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4</vt:i4>
      </vt:variant>
    </vt:vector>
  </HeadingPairs>
  <TitlesOfParts>
    <vt:vector size="22" baseType="lpstr">
      <vt:lpstr>Sup</vt:lpstr>
      <vt:lpstr>Overview</vt:lpstr>
      <vt:lpstr>Stats</vt:lpstr>
      <vt:lpstr>Moeniera Upload</vt:lpstr>
      <vt:lpstr>Captured</vt:lpstr>
      <vt:lpstr>Test</vt:lpstr>
      <vt:lpstr>Project</vt:lpstr>
      <vt:lpstr>Exam</vt:lpstr>
      <vt:lpstr>Exam-MCQ</vt:lpstr>
      <vt:lpstr>Def-Sup-MCQ</vt:lpstr>
      <vt:lpstr>Def</vt:lpstr>
      <vt:lpstr>Lab 1</vt:lpstr>
      <vt:lpstr>Lab 2</vt:lpstr>
      <vt:lpstr>Lab 3</vt:lpstr>
      <vt:lpstr>Lab 4</vt:lpstr>
      <vt:lpstr>Template</vt:lpstr>
      <vt:lpstr>Ulwazi Export</vt:lpstr>
      <vt:lpstr>Ulwazi Upload</vt:lpstr>
      <vt:lpstr>Ulwazi</vt:lpstr>
      <vt:lpstr>'Def-Sup-MCQ'!ValidMark</vt:lpstr>
      <vt:lpstr>'Moeniera Upload'!ValidMark</vt:lpstr>
      <vt:lpstr>ValidMark</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dc:creator>
  <cp:keywords/>
  <dc:description/>
  <cp:lastModifiedBy>Steve</cp:lastModifiedBy>
  <cp:revision/>
  <cp:lastPrinted>2020-06-01T21:04:16Z</cp:lastPrinted>
  <dcterms:created xsi:type="dcterms:W3CDTF">2015-06-01T19:14:25Z</dcterms:created>
  <dcterms:modified xsi:type="dcterms:W3CDTF">2023-05-05T07:40:03Z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0x0101002AC85EBE068CD749AE776E405F89BB84</vt:lpwstr>
  </property>
</Properties>
</file>