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ata\WitsEIE\Courses\ELEN4010-Software-Development-III\Assessment\Marks\"/>
    </mc:Choice>
  </mc:AlternateContent>
  <bookViews>
    <workbookView xWindow="0" yWindow="0" windowWidth="22104" windowHeight="9948" activeTab="8"/>
  </bookViews>
  <sheets>
    <sheet name="Overview" sheetId="1" r:id="rId1"/>
    <sheet name="Stats" sheetId="15" r:id="rId2"/>
    <sheet name="Labs" sheetId="17" r:id="rId3"/>
    <sheet name="Test" sheetId="18" r:id="rId4"/>
    <sheet name="Project" sheetId="16" r:id="rId5"/>
    <sheet name="Exam" sheetId="11" r:id="rId6"/>
    <sheet name="Def" sheetId="13" r:id="rId7"/>
    <sheet name="Sup" sheetId="12" r:id="rId8"/>
    <sheet name="Ulwazi" sheetId="14" r:id="rId9"/>
  </sheets>
  <calcPr calcId="152511"/>
</workbook>
</file>

<file path=xl/calcChain.xml><?xml version="1.0" encoding="utf-8"?>
<calcChain xmlns="http://schemas.openxmlformats.org/spreadsheetml/2006/main">
  <c r="D12" i="12" l="1"/>
  <c r="E12" i="12"/>
  <c r="F12" i="12"/>
  <c r="G12" i="12"/>
  <c r="H12" i="12"/>
  <c r="I12" i="12"/>
  <c r="J12" i="12"/>
  <c r="J12" i="13"/>
  <c r="I12" i="18" l="1"/>
  <c r="H12" i="18"/>
  <c r="G12" i="18"/>
  <c r="F12" i="18"/>
  <c r="E12" i="18"/>
  <c r="C11" i="18"/>
  <c r="B11" i="18"/>
  <c r="A11" i="18"/>
  <c r="J11" i="18" s="1"/>
  <c r="D11" i="18" s="1"/>
  <c r="C10" i="18"/>
  <c r="B10" i="18"/>
  <c r="A10" i="18"/>
  <c r="J10" i="18" s="1"/>
  <c r="D10" i="18" s="1"/>
  <c r="C9" i="18"/>
  <c r="B9" i="18"/>
  <c r="A9" i="18"/>
  <c r="J9" i="18" s="1"/>
  <c r="D9" i="18" s="1"/>
  <c r="C8" i="18"/>
  <c r="B8" i="18"/>
  <c r="A8" i="18"/>
  <c r="J8" i="18" s="1"/>
  <c r="D8" i="18" s="1"/>
  <c r="C7" i="18"/>
  <c r="B7" i="18"/>
  <c r="A7" i="18"/>
  <c r="J7" i="18" s="1"/>
  <c r="D7" i="18" s="1"/>
  <c r="J3" i="18"/>
  <c r="J5" i="18" s="1"/>
  <c r="M3" i="17"/>
  <c r="I12" i="17"/>
  <c r="H12" i="17"/>
  <c r="G12" i="17"/>
  <c r="F12" i="17"/>
  <c r="E12" i="17"/>
  <c r="C11" i="17"/>
  <c r="B11" i="17"/>
  <c r="A11" i="17"/>
  <c r="M11" i="17" s="1"/>
  <c r="D11" i="17" s="1"/>
  <c r="C10" i="17"/>
  <c r="B10" i="17"/>
  <c r="A10" i="17"/>
  <c r="M10" i="17" s="1"/>
  <c r="D10" i="17" s="1"/>
  <c r="C9" i="17"/>
  <c r="B9" i="17"/>
  <c r="A9" i="17"/>
  <c r="M9" i="17" s="1"/>
  <c r="D9" i="17" s="1"/>
  <c r="C8" i="17"/>
  <c r="B8" i="17"/>
  <c r="A8" i="17"/>
  <c r="M8" i="17" s="1"/>
  <c r="D8" i="17" s="1"/>
  <c r="C7" i="17"/>
  <c r="B7" i="17"/>
  <c r="A7" i="17"/>
  <c r="M5" i="17"/>
  <c r="C11" i="16"/>
  <c r="B11" i="16"/>
  <c r="A11" i="16"/>
  <c r="D11" i="16" s="1"/>
  <c r="C10" i="16"/>
  <c r="B10" i="16"/>
  <c r="A10" i="16"/>
  <c r="D10" i="16" s="1"/>
  <c r="D9" i="16"/>
  <c r="C9" i="16"/>
  <c r="B9" i="16"/>
  <c r="A9" i="16"/>
  <c r="C8" i="16"/>
  <c r="B8" i="16"/>
  <c r="A8" i="16"/>
  <c r="D8" i="16" s="1"/>
  <c r="C7" i="16"/>
  <c r="B7" i="16"/>
  <c r="A7" i="16"/>
  <c r="E5" i="16"/>
  <c r="M7" i="17" l="1"/>
  <c r="D7" i="17" s="1"/>
  <c r="M12" i="17"/>
  <c r="D7" i="16"/>
  <c r="D12" i="16" s="1"/>
  <c r="E12" i="16"/>
  <c r="D12" i="18" l="1"/>
  <c r="J12" i="18"/>
  <c r="D12" i="17"/>
  <c r="B7" i="11"/>
  <c r="B7" i="1" l="1"/>
  <c r="B8" i="1"/>
  <c r="B9" i="1"/>
  <c r="B10" i="1"/>
  <c r="B6" i="1"/>
  <c r="C6" i="1"/>
  <c r="C7" i="1"/>
  <c r="C8" i="1"/>
  <c r="C9" i="1"/>
  <c r="C10" i="1"/>
  <c r="A7" i="1"/>
  <c r="D7" i="1" s="1"/>
  <c r="A8" i="1"/>
  <c r="D8" i="1" s="1"/>
  <c r="A9" i="1"/>
  <c r="D9" i="1" s="1"/>
  <c r="A10" i="1"/>
  <c r="D10" i="1" s="1"/>
  <c r="A6" i="1"/>
  <c r="D6" i="1" s="1"/>
  <c r="A7" i="11"/>
  <c r="A8" i="11"/>
  <c r="J8" i="11" s="1"/>
  <c r="D8" i="11" s="1"/>
  <c r="A9" i="11"/>
  <c r="J9" i="11" s="1"/>
  <c r="D9" i="11" s="1"/>
  <c r="A10" i="11"/>
  <c r="J10" i="11" s="1"/>
  <c r="D10" i="11" s="1"/>
  <c r="A11" i="11"/>
  <c r="J11" i="11" s="1"/>
  <c r="D11" i="11" s="1"/>
  <c r="B8" i="11"/>
  <c r="C8" i="11"/>
  <c r="B9" i="11"/>
  <c r="C9" i="11"/>
  <c r="B10" i="11"/>
  <c r="C10" i="11"/>
  <c r="B11" i="11"/>
  <c r="C11" i="11"/>
  <c r="C7" i="11"/>
  <c r="A8" i="13"/>
  <c r="B8" i="13"/>
  <c r="C8" i="13"/>
  <c r="A9" i="13"/>
  <c r="B9" i="13"/>
  <c r="C9" i="13"/>
  <c r="A10" i="13"/>
  <c r="B10" i="13"/>
  <c r="C10" i="13"/>
  <c r="A11" i="13"/>
  <c r="B11" i="13"/>
  <c r="C11" i="13"/>
  <c r="C7" i="13"/>
  <c r="B7" i="13"/>
  <c r="A7" i="13"/>
  <c r="B7" i="12"/>
  <c r="B8" i="12"/>
  <c r="B9" i="12"/>
  <c r="B10" i="12"/>
  <c r="B11" i="12"/>
  <c r="C7" i="12"/>
  <c r="C8" i="12"/>
  <c r="C9" i="12"/>
  <c r="C10" i="12"/>
  <c r="C11" i="12"/>
  <c r="A7" i="12"/>
  <c r="A8" i="12"/>
  <c r="J8" i="12" s="1"/>
  <c r="D8" i="12" s="1"/>
  <c r="A9" i="12"/>
  <c r="J9" i="12" s="1"/>
  <c r="D9" i="12" s="1"/>
  <c r="A10" i="12"/>
  <c r="J10" i="12" s="1"/>
  <c r="D10" i="12" s="1"/>
  <c r="A11" i="12"/>
  <c r="J11" i="12" s="1"/>
  <c r="D11" i="12" s="1"/>
  <c r="J7" i="12" l="1"/>
  <c r="J7" i="11"/>
  <c r="E10" i="1"/>
  <c r="E9" i="1"/>
  <c r="E8" i="1"/>
  <c r="E6" i="1"/>
  <c r="F10" i="1"/>
  <c r="F9" i="1"/>
  <c r="F8" i="1"/>
  <c r="F7" i="1"/>
  <c r="F6" i="1"/>
  <c r="J8" i="13"/>
  <c r="D8" i="13" s="1"/>
  <c r="J11" i="13"/>
  <c r="D11" i="13" s="1"/>
  <c r="J10" i="13"/>
  <c r="D10" i="13" s="1"/>
  <c r="J9" i="13"/>
  <c r="D9" i="13" s="1"/>
  <c r="J7" i="13"/>
  <c r="B3" i="15"/>
  <c r="D7" i="11" l="1"/>
  <c r="J12" i="11"/>
  <c r="D7" i="12"/>
  <c r="E11" i="1"/>
  <c r="D11" i="1"/>
  <c r="F11" i="1"/>
  <c r="J3" i="13"/>
  <c r="J5" i="13" s="1"/>
  <c r="D7" i="13" s="1"/>
  <c r="I12" i="13" l="1"/>
  <c r="H12" i="13"/>
  <c r="G12" i="13"/>
  <c r="F12" i="13"/>
  <c r="E12" i="13"/>
  <c r="J3" i="12"/>
  <c r="P6" i="1" l="1"/>
  <c r="O6" i="1"/>
  <c r="P7" i="1" l="1"/>
  <c r="O10" i="1"/>
  <c r="O8" i="1"/>
  <c r="O9" i="1"/>
  <c r="O7" i="1"/>
  <c r="D12" i="13"/>
  <c r="J5" i="12" l="1"/>
  <c r="E12" i="11"/>
  <c r="F12" i="11"/>
  <c r="G12" i="11"/>
  <c r="H12" i="11"/>
  <c r="I12" i="11"/>
  <c r="P10" i="1" l="1"/>
  <c r="P8" i="1"/>
  <c r="P9" i="1"/>
  <c r="J3" i="11"/>
  <c r="J5" i="11" s="1"/>
  <c r="G6" i="1" s="1"/>
  <c r="P11" i="1" l="1"/>
  <c r="H6" i="1"/>
  <c r="G10" i="1"/>
  <c r="G9" i="1"/>
  <c r="G8" i="1"/>
  <c r="G7" i="1"/>
  <c r="G11" i="1" l="1"/>
  <c r="H7" i="1"/>
  <c r="H8" i="1"/>
  <c r="I8" i="1" s="1"/>
  <c r="L8" i="1" s="1"/>
  <c r="H9" i="1"/>
  <c r="I9" i="1" s="1"/>
  <c r="L9" i="1" s="1"/>
  <c r="H10" i="1"/>
  <c r="I10" i="1" s="1"/>
  <c r="L10" i="1" s="1"/>
  <c r="I6" i="1"/>
  <c r="D12" i="11"/>
  <c r="H4" i="1"/>
  <c r="I4" i="1" s="1"/>
  <c r="H11" i="1" l="1"/>
  <c r="L6" i="1"/>
  <c r="I7" i="1"/>
  <c r="L7" i="1" s="1"/>
  <c r="I11" i="1" l="1"/>
  <c r="B10" i="15"/>
  <c r="B11" i="15"/>
  <c r="B12" i="15"/>
  <c r="B13" i="15"/>
  <c r="B14" i="15"/>
  <c r="N9" i="1" l="1"/>
  <c r="N8" i="1"/>
  <c r="N10" i="1"/>
  <c r="N7" i="1"/>
  <c r="N6" i="1" l="1"/>
  <c r="J7" i="1"/>
  <c r="J10" i="1"/>
  <c r="J9" i="1"/>
  <c r="J6" i="1"/>
  <c r="J8" i="1"/>
  <c r="B7" i="15"/>
  <c r="B6" i="15" l="1"/>
</calcChain>
</file>

<file path=xl/sharedStrings.xml><?xml version="1.0" encoding="utf-8"?>
<sst xmlns="http://schemas.openxmlformats.org/spreadsheetml/2006/main" count="133" uniqueCount="59">
  <si>
    <t>Student No</t>
  </si>
  <si>
    <t>First Name</t>
  </si>
  <si>
    <t>Last Name</t>
  </si>
  <si>
    <t>Q1</t>
  </si>
  <si>
    <t>Q2</t>
  </si>
  <si>
    <t>Q3</t>
  </si>
  <si>
    <t>Q4</t>
  </si>
  <si>
    <t>Q5</t>
  </si>
  <si>
    <t>Exam</t>
  </si>
  <si>
    <t>Averages</t>
  </si>
  <si>
    <t>Final Results (unmoderated)</t>
  </si>
  <si>
    <t>Total number of students</t>
  </si>
  <si>
    <t>Pass rate (%)</t>
  </si>
  <si>
    <t>Average final mark (%)</t>
  </si>
  <si>
    <t>Students passing</t>
  </si>
  <si>
    <t>Students failing</t>
  </si>
  <si>
    <t>Students obtaining firsts</t>
  </si>
  <si>
    <t>Difference</t>
  </si>
  <si>
    <t>Capture Check</t>
  </si>
  <si>
    <t>Final Results (moderated)</t>
  </si>
  <si>
    <t>SIS User ID</t>
  </si>
  <si>
    <t>ID</t>
  </si>
  <si>
    <t>Student</t>
  </si>
  <si>
    <t>Weighting</t>
  </si>
  <si>
    <t>Course Components</t>
  </si>
  <si>
    <t>Comment</t>
  </si>
  <si>
    <t>Out of</t>
  </si>
  <si>
    <t>Overall Mark</t>
  </si>
  <si>
    <t>Moderated</t>
  </si>
  <si>
    <t>Total</t>
  </si>
  <si>
    <t>Total (%)</t>
  </si>
  <si>
    <t>Rank</t>
  </si>
  <si>
    <t>Course Mark</t>
  </si>
  <si>
    <t>Deferred</t>
  </si>
  <si>
    <t>Supplementary</t>
  </si>
  <si>
    <t>Def</t>
  </si>
  <si>
    <t>Mine</t>
  </si>
  <si>
    <t>Captured</t>
  </si>
  <si>
    <t>Sup</t>
  </si>
  <si>
    <t>For Conditional Formatting</t>
  </si>
  <si>
    <t>Legend</t>
  </si>
  <si>
    <t>FirstName</t>
  </si>
  <si>
    <t>LastName</t>
  </si>
  <si>
    <t>Borderline</t>
  </si>
  <si>
    <t>Modified</t>
  </si>
  <si>
    <t>Stats</t>
  </si>
  <si>
    <t>Test</t>
  </si>
  <si>
    <t>Software Development II (2022)</t>
  </si>
  <si>
    <t>Labs</t>
  </si>
  <si>
    <t>Project</t>
  </si>
  <si>
    <t>Lab 1</t>
  </si>
  <si>
    <t>Lab 2</t>
  </si>
  <si>
    <t>Lab 3</t>
  </si>
  <si>
    <t>Lab 4</t>
  </si>
  <si>
    <t>Lab 5</t>
  </si>
  <si>
    <t>Discussion</t>
  </si>
  <si>
    <t>GitHub Reg</t>
  </si>
  <si>
    <t>Discussion Bonus</t>
  </si>
  <si>
    <t>Bonus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</si>
</sst>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b/>
      <sz val="24"/>
      <color theme="3"/>
      <name val="Calibri"/>
      <family val="2"/>
      <scheme val="minor"/>
    </font>
    <font>
      <sz val="24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4"/>
      <color theme="5" tint="-0.249977111117893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2" tint="-9.9948118533890809E-2"/>
        <bgColor theme="4" tint="0.79992065187536243"/>
      </patternFill>
    </fill>
    <fill>
      <patternFill patternType="solid">
        <fgColor theme="9" tint="0.599963377788628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/>
      <right/>
      <top/>
      <bottom style="thin">
        <color theme="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</cellStyleXfs>
  <cellXfs count="60">
    <xf numFmtId="0" fontId="0" fillId="0" borderId="0" xfId="0"/>
    <xf numFmtId="0" fontId="16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  <xf numFmtId="0" fontId="16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20" fillId="0" borderId="0" xfId="0" applyFont="1"/>
    <xf numFmtId="0" fontId="16" fillId="0" borderId="0" xfId="0" applyFont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19" fillId="0" borderId="0" xfId="0" applyNumberFormat="1" applyFont="1" applyAlignment="1">
      <alignment horizontal="center"/>
    </xf>
    <xf numFmtId="1" fontId="18" fillId="0" borderId="0" xfId="0" applyNumberFormat="1" applyFont="1" applyAlignment="1">
      <alignment horizontal="center"/>
    </xf>
    <xf numFmtId="0" fontId="0" fillId="0" borderId="0" xfId="0" applyNumberFormat="1" applyFill="1" applyAlignment="1">
      <alignment horizontal="left"/>
    </xf>
    <xf numFmtId="2" fontId="0" fillId="0" borderId="0" xfId="0" applyNumberFormat="1" applyAlignment="1">
      <alignment horizontal="center"/>
    </xf>
    <xf numFmtId="1" fontId="23" fillId="0" borderId="0" xfId="0" applyNumberFormat="1" applyFont="1" applyFill="1" applyBorder="1" applyAlignment="1">
      <alignment horizontal="center"/>
    </xf>
    <xf numFmtId="0" fontId="25" fillId="0" borderId="1" xfId="2" applyFont="1"/>
    <xf numFmtId="0" fontId="22" fillId="0" borderId="0" xfId="0" applyFont="1" applyBorder="1"/>
    <xf numFmtId="0" fontId="22" fillId="0" borderId="0" xfId="0" applyFont="1" applyBorder="1" applyAlignment="1">
      <alignment horizontal="left"/>
    </xf>
    <xf numFmtId="0" fontId="22" fillId="0" borderId="0" xfId="0" applyFont="1" applyBorder="1" applyAlignment="1">
      <alignment horizontal="center" vertical="center"/>
    </xf>
    <xf numFmtId="0" fontId="13" fillId="9" borderId="0" xfId="18" applyFont="1" applyFill="1" applyBorder="1" applyAlignment="1">
      <alignment horizontal="center" vertical="center"/>
    </xf>
    <xf numFmtId="0" fontId="22" fillId="0" borderId="0" xfId="0" applyNumberFormat="1" applyFont="1" applyBorder="1" applyAlignment="1">
      <alignment horizontal="center"/>
    </xf>
    <xf numFmtId="0" fontId="25" fillId="0" borderId="0" xfId="2" applyFont="1" applyBorder="1"/>
    <xf numFmtId="49" fontId="23" fillId="0" borderId="0" xfId="0" applyNumberFormat="1" applyFont="1" applyFill="1" applyBorder="1"/>
    <xf numFmtId="0" fontId="23" fillId="0" borderId="0" xfId="0" applyFont="1" applyFill="1" applyBorder="1"/>
    <xf numFmtId="0" fontId="0" fillId="0" borderId="0" xfId="0" applyFill="1" applyBorder="1" applyAlignment="1">
      <alignment horizontal="center"/>
    </xf>
    <xf numFmtId="0" fontId="23" fillId="0" borderId="0" xfId="0" applyFont="1" applyFill="1" applyBorder="1" applyAlignment="1">
      <alignment horizontal="left"/>
    </xf>
    <xf numFmtId="0" fontId="3" fillId="0" borderId="1" xfId="2"/>
    <xf numFmtId="0" fontId="26" fillId="0" borderId="1" xfId="2" applyFont="1"/>
    <xf numFmtId="0" fontId="22" fillId="0" borderId="11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wrapText="1"/>
    </xf>
    <xf numFmtId="0" fontId="0" fillId="0" borderId="0" xfId="0" applyNumberFormat="1" applyAlignment="1">
      <alignment horizontal="left"/>
    </xf>
    <xf numFmtId="0" fontId="16" fillId="0" borderId="0" xfId="0" applyFont="1" applyBorder="1" applyAlignment="1">
      <alignment horizontal="center" vertical="center"/>
    </xf>
    <xf numFmtId="0" fontId="0" fillId="0" borderId="0" xfId="0" applyNumberFormat="1" applyFill="1" applyAlignment="1"/>
    <xf numFmtId="0" fontId="0" fillId="0" borderId="0" xfId="0" applyFill="1" applyAlignment="1">
      <alignment horizontal="center"/>
    </xf>
    <xf numFmtId="1" fontId="23" fillId="34" borderId="13" xfId="0" applyNumberFormat="1" applyFont="1" applyFill="1" applyBorder="1" applyAlignment="1">
      <alignment horizontal="center"/>
    </xf>
    <xf numFmtId="1" fontId="23" fillId="0" borderId="12" xfId="0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16" fillId="0" borderId="0" xfId="0" applyFont="1" applyAlignment="1">
      <alignment horizontal="center" vertical="center"/>
    </xf>
    <xf numFmtId="1" fontId="23" fillId="35" borderId="13" xfId="0" applyNumberFormat="1" applyFont="1" applyFill="1" applyBorder="1" applyAlignment="1">
      <alignment horizontal="center"/>
    </xf>
    <xf numFmtId="0" fontId="17" fillId="12" borderId="0" xfId="21" applyAlignment="1">
      <alignment horizontal="center" vertical="center"/>
    </xf>
    <xf numFmtId="1" fontId="23" fillId="0" borderId="10" xfId="0" applyNumberFormat="1" applyFont="1" applyBorder="1" applyAlignment="1">
      <alignment horizontal="center"/>
    </xf>
    <xf numFmtId="0" fontId="23" fillId="0" borderId="0" xfId="0" applyFont="1" applyFill="1" applyAlignment="1"/>
    <xf numFmtId="0" fontId="23" fillId="0" borderId="0" xfId="0" applyFont="1" applyFill="1" applyAlignment="1">
      <alignment horizontal="left"/>
    </xf>
    <xf numFmtId="0" fontId="22" fillId="0" borderId="0" xfId="0" applyNumberFormat="1" applyFont="1" applyFill="1" applyBorder="1"/>
    <xf numFmtId="0" fontId="23" fillId="0" borderId="0" xfId="0" applyFont="1" applyFill="1" applyAlignment="1">
      <alignment horizontal="center"/>
    </xf>
    <xf numFmtId="0" fontId="24" fillId="0" borderId="0" xfId="0" applyFont="1" applyFill="1" applyAlignment="1">
      <alignment horizontal="center" wrapText="1"/>
    </xf>
    <xf numFmtId="0" fontId="22" fillId="0" borderId="0" xfId="0" applyFont="1" applyFill="1" applyAlignment="1">
      <alignment horizontal="center"/>
    </xf>
    <xf numFmtId="0" fontId="17" fillId="9" borderId="0" xfId="18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7" fillId="13" borderId="0" xfId="22" applyBorder="1" applyAlignment="1">
      <alignment horizontal="center"/>
    </xf>
    <xf numFmtId="0" fontId="28" fillId="0" borderId="0" xfId="2" applyFont="1" applyBorder="1"/>
    <xf numFmtId="0" fontId="17" fillId="12" borderId="0" xfId="21" applyBorder="1" applyAlignment="1">
      <alignment horizontal="center"/>
    </xf>
    <xf numFmtId="0" fontId="17" fillId="12" borderId="15" xfId="21" applyBorder="1" applyAlignment="1">
      <alignment horizontal="center" vertical="center"/>
    </xf>
    <xf numFmtId="0" fontId="17" fillId="24" borderId="0" xfId="33" applyBorder="1" applyAlignment="1">
      <alignment horizontal="center" vertical="center"/>
    </xf>
    <xf numFmtId="0" fontId="17" fillId="33" borderId="0" xfId="0" applyFont="1" applyFill="1" applyAlignment="1">
      <alignment horizontal="center" vertical="center"/>
    </xf>
    <xf numFmtId="0" fontId="17" fillId="12" borderId="0" xfId="2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8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rgb="FF00B050"/>
      </font>
    </dxf>
    <dxf>
      <font>
        <b/>
        <i val="0"/>
        <color rgb="FFFF0000"/>
      </font>
    </dxf>
    <dxf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00B050"/>
      </font>
    </dxf>
    <dxf>
      <font>
        <b/>
        <i val="0"/>
        <color rgb="FFFF0000"/>
      </font>
    </dxf>
    <dxf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0"/>
      </font>
      <fill>
        <patternFill>
          <bgColor theme="5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2" tint="-9.9948118533890809E-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left style="thin">
          <color theme="3" tint="0.39994506668294322"/>
        </left>
        <right style="thin">
          <color theme="3" tint="0.39994506668294322"/>
        </right>
        <top style="thin">
          <color theme="3" tint="0.39994506668294322"/>
        </top>
        <bottom style="thin">
          <color theme="3" tint="0.39994506668294322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diagonalUp="0" diagonalDown="0" outline="0">
        <left/>
        <right/>
        <top/>
        <bottom/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diagonalUp="0" diagonalDown="0" outline="0">
        <left/>
        <right/>
        <top/>
        <bottom/>
      </border>
    </dxf>
    <dxf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diagonalUp="0" diagonalDown="0" outline="0">
        <left/>
        <right/>
        <top/>
        <bottom/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diagonalUp="0" diagonalDown="0" outline="0">
        <left/>
        <right/>
        <top/>
        <bottom/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diagonalUp="0" diagonalDown="0" outline="0">
        <left/>
        <right/>
        <top/>
        <bottom/>
      </border>
    </dxf>
    <dxf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diagonalUp="0" diagonalDown="0" outline="0">
        <left/>
        <right/>
        <top/>
        <bottom/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diagonalUp="0" diagonalDown="0" outline="0">
        <left/>
        <right/>
        <top/>
        <bottom/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diagonalUp="0" diagonalDown="0" outline="0">
        <left/>
        <right/>
        <top/>
        <bottom/>
      </border>
    </dxf>
    <dxf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diagonalUp="0" diagonalDown="0" outline="0">
        <left/>
        <right/>
        <top/>
        <bottom/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diagonalUp="0" diagonalDown="0" outline="0">
        <left/>
        <right/>
        <top/>
        <bottom/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diagonalUp="0" diagonalDown="0" outline="0">
        <left/>
        <right/>
        <top/>
        <bottom/>
      </border>
    </dxf>
    <dxf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diagonalUp="0" diagonalDown="0" outline="0">
        <left/>
        <right/>
        <top/>
        <bottom/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diagonalUp="0" diagonalDown="0" outline="0">
        <left/>
        <right/>
        <top/>
        <bottom/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diagonalUp="0" diagonalDown="0" outline="0">
        <left/>
        <right/>
        <top/>
        <bottom/>
      </border>
    </dxf>
    <dxf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diagonalUp="0" diagonalDown="0" outline="0">
        <left/>
        <right/>
        <top/>
        <bottom/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diagonalUp="0" diagonalDown="0" outline="0">
        <left/>
        <right/>
        <top/>
        <bottom/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diagonalUp="0" diagonalDown="0" outline="0">
        <left/>
        <right/>
        <top/>
        <bottom/>
      </border>
    </dxf>
    <dxf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FF99"/>
      <color rgb="FFFEF2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1" name="All" displayName="All" ref="A5:P11" totalsRowCount="1" headerRowDxfId="187" dataDxfId="186" tableBorderDxfId="185">
  <autoFilter ref="A5:P10"/>
  <sortState ref="A7:O91">
    <sortCondition ref="C6:C91"/>
  </sortState>
  <tableColumns count="16">
    <tableColumn id="1" name="Student No" dataDxfId="184" totalsRowDxfId="183">
      <calculatedColumnFormula>IF(NOT(ISBLANK(Ulwazi!$D2)),TRIM(LEFT(Ulwazi!$D2,FIND("@",Ulwazi!$D2)-1)),"")</calculatedColumnFormula>
    </tableColumn>
    <tableColumn id="2" name="First Name" totalsRowLabel="Averages" dataDxfId="182" totalsRowDxfId="181">
      <calculatedColumnFormula>IF(NOT(ISBLANK(Ulwazi!$B2)),Ulwazi!$B2,"")</calculatedColumnFormula>
    </tableColumn>
    <tableColumn id="3" name="Last Name" dataDxfId="180" totalsRowDxfId="179">
      <calculatedColumnFormula>IF(NOT(ISBLANK(Ulwazi!$A2)),Ulwazi!$A2,"")</calculatedColumnFormula>
    </tableColumn>
    <tableColumn id="4" name="Labs" totalsRowFunction="custom" dataDxfId="178" totalsRowDxfId="177">
      <calculatedColumnFormula>IF(NOT($A6=""),INDEX(Labs[Total (%)],MATCH($A6,Labs[Student No],0)),"")</calculatedColumnFormula>
      <totalsRowFormula xml:space="preserve"> IF(COUNT(All[Labs]) &gt;= 1, TEXT(AVERAGE(All[Labs]), "##.0") &amp; " %", "")</totalsRowFormula>
    </tableColumn>
    <tableColumn id="11" name="Test" totalsRowFunction="custom" dataDxfId="176" totalsRowDxfId="175">
      <calculatedColumnFormula>IF(NOT($A6=""),INDEX(Test[Total (%)],MATCH($A6,Test[Student No],0)),"")</calculatedColumnFormula>
      <totalsRowFormula xml:space="preserve"> IF(COUNT(All[Test]) &gt;= 1, TEXT(AVERAGE(All[Test]), "##.0") &amp; " %", "")</totalsRowFormula>
    </tableColumn>
    <tableColumn id="5" name="Project" totalsRowFunction="custom" dataDxfId="174" totalsRowDxfId="173">
      <calculatedColumnFormula>IF(NOT($A6=""),INDEX(Project[Total (%)],MATCH($A6,Project[Student No],0)),"")</calculatedColumnFormula>
      <totalsRowFormula xml:space="preserve"> IF(COUNT(All[Project]) &gt;= 1, TEXT(AVERAGE(All[Project]), "##.0") &amp; " %", "")</totalsRowFormula>
    </tableColumn>
    <tableColumn id="6" name="Exam" totalsRowFunction="custom" dataDxfId="172" totalsRowDxfId="171">
      <calculatedColumnFormula>IF(NOT($A6=""), IF(ISNUMBER(INDEX(Def[Total (%)],MATCH($A6,Def[Student No],0))),
    INDEX(Def[Total (%)],MATCH($A6,Def[Student No],0)),
      IF(ISNUMBER(INDEX(Exam[Total (%)],MATCH($A6,Exam[Student No],0))),
      INDEX(Exam[Total (%)],MATCH($A6,Exam[Student No],0)),
      "")
    ),"")</calculatedColumnFormula>
      <totalsRowFormula xml:space="preserve"> IF(COUNT(All[Exam]) &gt;= 1, TEXT(AVERAGE(All[Exam]), "##.0") &amp; " %", "")</totalsRowFormula>
    </tableColumn>
    <tableColumn id="7" name="Course Mark" totalsRowFunction="custom" dataDxfId="170" totalsRowDxfId="169">
      <calculatedColumnFormula>IF(NOT(ISBLANK(All[[#This Row],[Student No]])),IF(ISNUMBER(INDEX(Sup[Total (%)],MATCH($A6,Sup[Student No],0))),
    INDEX(Sup[Total (%)],MATCH($A6,Sup[Student No],0)),
    (IF(ISNUMBER(All[[#This Row],[Exam]]),ROUND(All[[#This Row],[Labs]]*$D$4+All[[#This Row],[Project]]*$F$4+All[[#This Row],[Exam]]*$G$4,0),""))),"")</calculatedColumnFormula>
      <totalsRowFormula xml:space="preserve"> IF(COUNT(All[Course Mark]) &gt;= 1, TEXT(AVERAGE(All[Course Mark]), "##.0") &amp; " %", "")</totalsRowFormula>
    </tableColumn>
    <tableColumn id="8" name="Moderated" totalsRowFunction="custom" dataDxfId="168" totalsRowDxfId="167">
      <calculatedColumnFormula>IF(NOT($A6=""),All[[#This Row],[Course Mark]],"")</calculatedColumnFormula>
      <totalsRowFormula xml:space="preserve"> IF(COUNT(All[Moderated]) &gt;= 1, TEXT(AVERAGE(All[Moderated]), "##.0") &amp; " %", "")</totalsRowFormula>
    </tableColumn>
    <tableColumn id="9" name="Rank" dataDxfId="166" totalsRowDxfId="165">
      <calculatedColumnFormula>IF(AND(NOT($A6=""),ISNUMBER(All[[#This Row],[Moderated]])),_xlfn.RANK.EQ(All[[#This Row],[Moderated]],All[Moderated]),"")</calculatedColumnFormula>
    </tableColumn>
    <tableColumn id="10" name="Comment" dataDxfId="164" totalsRowDxfId="163"/>
    <tableColumn id="12" name="Mine" dataDxfId="162" totalsRowDxfId="161">
      <calculatedColumnFormula>IF(NOT($A6=""),All[[#This Row],[Moderated]],"")</calculatedColumnFormula>
    </tableColumn>
    <tableColumn id="13" name="Captured" dataDxfId="160" totalsRowDxfId="159"/>
    <tableColumn id="18" name="Difference" dataDxfId="158" totalsRowDxfId="157">
      <calculatedColumnFormula xml:space="preserve"> IF(AND(ISNUMBER($M6), ISNUMBER($L6)), ABS($M6 - $L6) &lt;&gt; 0, $M6 &lt;&gt; $L6)</calculatedColumnFormula>
    </tableColumn>
    <tableColumn id="14" name="Def" dataDxfId="156" totalsRowDxfId="155">
      <calculatedColumnFormula>IF(ISNUMBER(INDEX(Def[Total (%)],MATCH($A6,Def[Student No],0))),TRUE,FALSE)</calculatedColumnFormula>
    </tableColumn>
    <tableColumn id="15" name="Sup" totalsRowFunction="count" dataDxfId="154" totalsRowDxfId="153">
      <calculatedColumnFormula>IF(ISNUMBER(INDEX(Sup[Total (%)],MATCH($A6,Sup[Student No],0))),TRUE,FALSE)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7" name="Labs" displayName="Labs" ref="A6:M12" totalsRowCount="1" headerRowDxfId="152" dataDxfId="151">
  <autoFilter ref="A6:M11"/>
  <sortState ref="A7:K91">
    <sortCondition ref="C6:C91"/>
  </sortState>
  <tableColumns count="13">
    <tableColumn id="1" name="Student No" dataDxfId="150" totalsRowDxfId="149">
      <calculatedColumnFormula>IF(NOT(ISBLANK(Ulwazi!$D2)),TRIM(LEFT(Ulwazi!$D2,FIND("@",Ulwazi!$D2)-1)),"")</calculatedColumnFormula>
    </tableColumn>
    <tableColumn id="3" name="First Name" totalsRowLabel="Averages" dataDxfId="148" totalsRowDxfId="147">
      <calculatedColumnFormula>IF(NOT(ISBLANK(Ulwazi!$B2)),Ulwazi!$B2,"")</calculatedColumnFormula>
    </tableColumn>
    <tableColumn id="22" name="Last Name" dataDxfId="146" totalsRowDxfId="145">
      <calculatedColumnFormula>IF(NOT(ISBLANK(Ulwazi!$A2)),Ulwazi!$A2,"")</calculatedColumnFormula>
    </tableColumn>
    <tableColumn id="5" name="Total (%)" totalsRowFunction="custom" dataDxfId="144" totalsRowDxfId="143">
      <calculatedColumnFormula>IF(ISNUMBER(Labs[[#This Row],[Total]]),ROUND(Labs[[#This Row],[Total]]/$M$5*100,0),"")</calculatedColumnFormula>
      <totalsRowFormula>IF(COUNT(Labs[Total (%)])&gt;0,TEXT(AVERAGE(Labs[Total (%)]),"0.0")&amp; "  (" &amp; TEXT(AVERAGE(Labs[Total (%)])/D$5*100,"###") &amp; "%)","")</totalsRowFormula>
    </tableColumn>
    <tableColumn id="7" name="Lab 1" totalsRowFunction="custom" dataDxfId="142" totalsRowDxfId="141">
      <totalsRowFormula>IF(COUNT(Labs[Lab 1])&gt;0,TEXT(AVERAGE(Labs[Lab 1]),"0.0")&amp; "  (" &amp; TEXT(AVERAGE(Labs[Lab 1])/E$5*100,"###") &amp; "%)","")</totalsRowFormula>
    </tableColumn>
    <tableColumn id="8" name="Lab 2" totalsRowFunction="custom" dataDxfId="140" totalsRowDxfId="139">
      <totalsRowFormula>IF(COUNT(Labs[Lab 2])&gt;0,TEXT(AVERAGE(Labs[Lab 2]),"0.0")&amp; "  (" &amp; TEXT(AVERAGE(Labs[Lab 2])/F$5*100,"###") &amp; "%)","")</totalsRowFormula>
    </tableColumn>
    <tableColumn id="9" name="Lab 3" totalsRowFunction="custom" dataDxfId="138" totalsRowDxfId="137">
      <totalsRowFormula>IF(COUNT(Labs[Lab 3])&gt;0,TEXT(AVERAGE(Labs[Lab 3]),"0.0")&amp; "  (" &amp; TEXT(AVERAGE(Labs[Lab 3])/G$5*100,"###") &amp; "%)","")</totalsRowFormula>
    </tableColumn>
    <tableColumn id="10" name="Lab 4" totalsRowFunction="custom" dataDxfId="136" totalsRowDxfId="135">
      <totalsRowFormula>IF(COUNT(Labs[Lab 4])&gt;0,TEXT(AVERAGE(Labs[Lab 4]),"0.0")&amp; "  (" &amp; TEXT(AVERAGE(Labs[Lab 4])/H$5*100,"###") &amp; "%)","")</totalsRowFormula>
    </tableColumn>
    <tableColumn id="11" name="Lab 5" totalsRowFunction="custom" dataDxfId="134" totalsRowDxfId="133">
      <totalsRowFormula>IF(COUNT(Labs[Lab 5])&gt;0,TEXT(AVERAGE(Labs[Lab 5]),"0.0")&amp; "  (" &amp; TEXT(AVERAGE(Labs[Lab 5])/I$5*100,"###") &amp; "%)","")</totalsRowFormula>
    </tableColumn>
    <tableColumn id="2" name="Discussion" dataDxfId="132" totalsRowDxfId="131"/>
    <tableColumn id="12" name="Discussion Bonus" dataDxfId="130" totalsRowDxfId="129"/>
    <tableColumn id="6" name="GitHub Reg" dataDxfId="128" totalsRowDxfId="127"/>
    <tableColumn id="13" name="Total" totalsRowFunction="custom" dataDxfId="126" totalsRowDxfId="125">
      <calculatedColumnFormula>IF(NOT($A7=""),(IF(COUNTBLANK(Labs[[#This Row],[Lab 1]:[Lab 5]])=0,SUM(Labs[[#This Row],[Lab 1]:[Lab 5]]),"")),"")</calculatedColumnFormula>
      <totalsRowFormula>IF(COUNT(#REF!)&gt;0,TEXT(AVERAGE(#REF!),"0.0")&amp; "  (" &amp; TEXT(AVERAGE(#REF!)/M$5*100,"###") &amp; "%)","")</totalsRow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8" name="Test" displayName="Test" ref="A6:J12" totalsRowCount="1" headerRowDxfId="124" dataDxfId="123">
  <autoFilter ref="A6:J11"/>
  <sortState ref="A7:J177">
    <sortCondition ref="C6:C177"/>
  </sortState>
  <tableColumns count="10">
    <tableColumn id="1" name="Student No" dataDxfId="122" totalsRowDxfId="121">
      <calculatedColumnFormula>IF(NOT(ISBLANK(Ulwazi!$D2)),TRIM(LEFT(Ulwazi!$D2,FIND("@",Ulwazi!$D2)-1)),"")</calculatedColumnFormula>
    </tableColumn>
    <tableColumn id="3" name="First Name" totalsRowLabel="Averages" dataDxfId="120" totalsRowDxfId="119">
      <calculatedColumnFormula>IF(NOT(ISBLANK(Ulwazi!$B2)),Ulwazi!$B2,"")</calculatedColumnFormula>
    </tableColumn>
    <tableColumn id="22" name="Last Name" dataDxfId="118" totalsRowDxfId="117">
      <calculatedColumnFormula>IF(NOT(ISBLANK(Ulwazi!$A2)),Ulwazi!$A2,"")</calculatedColumnFormula>
    </tableColumn>
    <tableColumn id="5" name="Total (%)" totalsRowFunction="custom" dataDxfId="116" totalsRowDxfId="115">
      <calculatedColumnFormula>IF(ISNUMBER(Test[Total]),ROUND(Test[Total]/$J$5*100,0),"")</calculatedColumnFormula>
      <totalsRowFormula>IF(COUNT(Test[Total (%)])&gt;0,TEXT(AVERAGE(Test[Total (%)]),"0.0")&amp; "  (" &amp; TEXT(AVERAGE(Test[Total (%)])/D$5*100,"###") &amp; "%)","")</totalsRowFormula>
    </tableColumn>
    <tableColumn id="7" name="Q1" totalsRowFunction="custom" dataDxfId="114" totalsRowDxfId="113">
      <totalsRowFormula>IF(COUNT(Test[Q1])&gt;0,TEXT(AVERAGE(Test[Q1]),"0.0")&amp; "  (" &amp; TEXT(AVERAGE(Test[Q1])/E$5*100,"###") &amp; "%)","")</totalsRowFormula>
    </tableColumn>
    <tableColumn id="8" name="Q2" totalsRowFunction="custom" dataDxfId="112" totalsRowDxfId="111">
      <totalsRowFormula>IF(COUNT(Test[Q2])&gt;0,TEXT(AVERAGE(Test[Q2]),"0.0")&amp; "  (" &amp; TEXT(AVERAGE(Test[Q2])/F$5*100,"###") &amp; "%)","")</totalsRowFormula>
    </tableColumn>
    <tableColumn id="9" name="Q3" totalsRowFunction="custom" dataDxfId="110" totalsRowDxfId="109">
      <totalsRowFormula>IF(COUNT(Test[Q3])&gt;0,TEXT(AVERAGE(Test[Q3]),"0.0")&amp; "  (" &amp; TEXT(AVERAGE(Test[Q3])/G$5*100,"###") &amp; "%)","")</totalsRowFormula>
    </tableColumn>
    <tableColumn id="10" name="Q4" totalsRowFunction="custom" dataDxfId="108" totalsRowDxfId="107">
      <totalsRowFormula>IF(COUNT(Test[Q4])&gt;0,TEXT(AVERAGE(Test[Q4]),"0.0")&amp; "  (" &amp; TEXT(AVERAGE(Test[Q4])/H$5*100,"###") &amp; "%)","")</totalsRowFormula>
    </tableColumn>
    <tableColumn id="11" name="Q5" totalsRowFunction="custom" dataDxfId="106" totalsRowDxfId="105">
      <totalsRowFormula>IF(COUNT(Test[Q5])&gt;0,TEXT(AVERAGE(Test[Q5]),"0.0")&amp; "  (" &amp; TEXT(AVERAGE(Test[Q5])/I$5*100,"###") &amp; "%)","")</totalsRowFormula>
    </tableColumn>
    <tableColumn id="2" name="Total" totalsRowFunction="custom" dataDxfId="104" totalsRowDxfId="103">
      <calculatedColumnFormula>IF(NOT($A7=""),(IF(COUNTBLANK(Test[[#This Row],[Q1]:[Q5]])=0,SUM(Test[[#This Row],[Q1]:[Q5]]),"")),"")</calculatedColumnFormula>
      <totalsRowFormula>IF(COUNT(#REF!)&gt;0,TEXT(AVERAGE(#REF!),"0.0")&amp; "  (" &amp; TEXT(AVERAGE(#REF!)/J$5*100,"###") &amp; "%)","")</totalsRow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Project" displayName="Project" ref="A6:E12" totalsRowCount="1" headerRowDxfId="102" dataDxfId="101">
  <autoFilter ref="A6:E11"/>
  <sortState ref="A7:K91">
    <sortCondition ref="C6:C91"/>
  </sortState>
  <tableColumns count="5">
    <tableColumn id="1" name="Student No" dataDxfId="100" totalsRowDxfId="99">
      <calculatedColumnFormula>IF(NOT(ISBLANK(Ulwazi!$D2)),TRIM(LEFT(Ulwazi!$D2,FIND("@",Ulwazi!$D2)-1)),"")</calculatedColumnFormula>
    </tableColumn>
    <tableColumn id="3" name="First Name" totalsRowLabel="Averages" dataDxfId="98" totalsRowDxfId="97">
      <calculatedColumnFormula>IF(NOT(ISBLANK(Ulwazi!$B2)),Ulwazi!$B2,"")</calculatedColumnFormula>
    </tableColumn>
    <tableColumn id="22" name="Last Name" dataDxfId="96" totalsRowDxfId="95">
      <calculatedColumnFormula>IF(NOT(ISBLANK(Ulwazi!$A2)),Ulwazi!$A2,"")</calculatedColumnFormula>
    </tableColumn>
    <tableColumn id="5" name="Total (%)" totalsRowFunction="custom" dataDxfId="94" totalsRowDxfId="93">
      <calculatedColumnFormula>IF(ISNUMBER(Project[[#This Row],[Total]]),ROUND(Project[[#This Row],[Total]]/$E$5*100,0),"")</calculatedColumnFormula>
      <totalsRowFormula>IF(COUNT(Project[Total (%)])&gt;0,TEXT(AVERAGE(Project[Total (%)]),"0.0")&amp; "  (" &amp; TEXT(AVERAGE(Project[Total (%)])/D$5*100,"###") &amp; "%)","")</totalsRowFormula>
    </tableColumn>
    <tableColumn id="4" name="Total" totalsRowFunction="custom" dataDxfId="92" totalsRowDxfId="91">
      <totalsRowFormula>IF(COUNT(Project[Total])&gt;0,TEXT(AVERAGE(Project[Total]),"0.0")&amp; "  (" &amp; TEXT(AVERAGE(Project[Total])/E$5*100,"###") &amp; "%)","")</totalsRow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3" name="Exam" displayName="Exam" ref="A6:J12" totalsRowCount="1" headerRowDxfId="42" dataDxfId="41">
  <autoFilter ref="A6:J11"/>
  <sortState ref="A7:K91">
    <sortCondition ref="C6:C91"/>
  </sortState>
  <tableColumns count="10">
    <tableColumn id="1" name="Student No" dataDxfId="39" totalsRowDxfId="40">
      <calculatedColumnFormula>IF(NOT(ISBLANK(Ulwazi!$D2)),TRIM(LEFT(Ulwazi!$D2,FIND("@",Ulwazi!$D2)-1)),"")</calculatedColumnFormula>
    </tableColumn>
    <tableColumn id="3" name="First Name" totalsRowLabel="Averages" dataDxfId="37" totalsRowDxfId="38">
      <calculatedColumnFormula>IF(NOT(ISBLANK(Ulwazi!$B2)),Ulwazi!$B2,"")</calculatedColumnFormula>
    </tableColumn>
    <tableColumn id="22" name="Last Name" dataDxfId="35" totalsRowDxfId="36">
      <calculatedColumnFormula>IF(NOT(ISBLANK(Ulwazi!$A2)),Ulwazi!$A2,"")</calculatedColumnFormula>
    </tableColumn>
    <tableColumn id="5" name="Total (%)" totalsRowFunction="custom" dataDxfId="33" totalsRowDxfId="34">
      <calculatedColumnFormula>IF(ISNUMBER(Exam[Total]),ROUND(Exam[Total]/$J$5*100,0),"")</calculatedColumnFormula>
      <totalsRowFormula>IF(COUNT(Exam[Total (%)])&gt;0,TEXT(AVERAGE(Exam[Total (%)]),"0.0")&amp; "  (" &amp; TEXT(AVERAGE(Exam[Total (%)])/D$5*100,"###") &amp; "%)","")</totalsRowFormula>
    </tableColumn>
    <tableColumn id="7" name="Q1" totalsRowFunction="custom" dataDxfId="31" totalsRowDxfId="32">
      <totalsRowFormula>IF(COUNT(Exam[Q1])&gt;0,TEXT(AVERAGE(Exam[Q1]),"0.0")&amp; "  (" &amp; TEXT(AVERAGE(Exam[Q1])/E$5*100,"###") &amp; "%)","")</totalsRowFormula>
    </tableColumn>
    <tableColumn id="8" name="Q2" totalsRowFunction="custom" dataDxfId="29" totalsRowDxfId="30">
      <totalsRowFormula>IF(COUNT(Exam[Q2])&gt;0,TEXT(AVERAGE(Exam[Q2]),"0.0")&amp; "  (" &amp; TEXT(AVERAGE(Exam[Q2])/F$5*100,"###") &amp; "%)","")</totalsRowFormula>
    </tableColumn>
    <tableColumn id="9" name="Q3" totalsRowFunction="custom" dataDxfId="27" totalsRowDxfId="28">
      <totalsRowFormula>IF(COUNT(Exam[Q3])&gt;0,TEXT(AVERAGE(Exam[Q3]),"0.0")&amp; "  (" &amp; TEXT(AVERAGE(Exam[Q3])/G$5*100,"###") &amp; "%)","")</totalsRowFormula>
    </tableColumn>
    <tableColumn id="10" name="Q4" totalsRowFunction="custom" dataDxfId="25" totalsRowDxfId="26">
      <totalsRowFormula>IF(COUNT(Exam[Q4])&gt;0,TEXT(AVERAGE(Exam[Q4]),"0.0")&amp; "  (" &amp; TEXT(AVERAGE(Exam[Q4])/H$5*100,"###") &amp; "%)","")</totalsRowFormula>
    </tableColumn>
    <tableColumn id="11" name="Q5" totalsRowFunction="custom" dataDxfId="23" totalsRowDxfId="24">
      <totalsRowFormula>IF(COUNT(Exam[Q5])&gt;0,TEXT(AVERAGE(Exam[Q5]),"0.0")&amp; "  (" &amp; TEXT(AVERAGE(Exam[Q5])/I$5*100,"###") &amp; "%)","")</totalsRowFormula>
    </tableColumn>
    <tableColumn id="2" name="Total" totalsRowFunction="custom" dataDxfId="21" totalsRowDxfId="22">
      <calculatedColumnFormula>IF(NOT($A7=""),(IF(COUNTBLANK(Exam[[#This Row],[Q1]:[Q5]])=0,SUM(Exam[[#This Row],[Q1]:[Q5]]),"")),"")</calculatedColumnFormula>
      <totalsRowFormula>IF(COUNT(Exam[Total])&gt;0,TEXT(AVERAGE(Exam[Total]),"0.0")&amp; "  (" &amp; TEXT(AVERAGE(Exam[Total])/J$5*100,"###") &amp; "%)","")</totalsRowFormula>
    </tableColumn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id="6" name="Def" displayName="Def" ref="A6:J12" totalsRowCount="1" headerRowDxfId="90" dataDxfId="89">
  <autoFilter ref="A6:J11"/>
  <sortState ref="A7:K91">
    <sortCondition ref="C6:C91"/>
  </sortState>
  <tableColumns count="10">
    <tableColumn id="1" name="Student No" dataDxfId="88" totalsRowDxfId="87">
      <calculatedColumnFormula>IF(NOT(ISBLANK(Ulwazi!$D2)),TRIM(LEFT(Ulwazi!$D2,FIND("@",Ulwazi!$D2)-1)),"")</calculatedColumnFormula>
    </tableColumn>
    <tableColumn id="3" name="First Name" totalsRowLabel="Averages" dataDxfId="86" totalsRowDxfId="85">
      <calculatedColumnFormula>IF(NOT(ISBLANK(Ulwazi!$B2)),Ulwazi!$B2,"")</calculatedColumnFormula>
    </tableColumn>
    <tableColumn id="22" name="Last Name" dataDxfId="84" totalsRowDxfId="83">
      <calculatedColumnFormula>IF(NOT(ISBLANK(Ulwazi!$A2)),Ulwazi!$A2,"")</calculatedColumnFormula>
    </tableColumn>
    <tableColumn id="5" name="Total (%)" totalsRowFunction="custom" dataDxfId="82" totalsRowDxfId="81">
      <calculatedColumnFormula>IF(ISNUMBER(Def[Total]),ROUND(Def[Total]/$J$5*100,0),"")</calculatedColumnFormula>
      <totalsRowFormula>IF(COUNT(Def[Total (%)])&gt;0,TEXT(AVERAGE(Def[Total (%)]),"0.0")&amp; "  (" &amp; TEXT(AVERAGE(Def[Total (%)])/D$5*100,"###") &amp; "%)","")</totalsRowFormula>
    </tableColumn>
    <tableColumn id="7" name="Q1" totalsRowFunction="custom" dataDxfId="80" totalsRowDxfId="79">
      <totalsRowFormula>IF(COUNT(Def[Q1])&gt;0,TEXT(AVERAGE(Def[Q1]),"0.0")&amp; "  (" &amp; TEXT(AVERAGE(Def[Q1])/E$5*100,"###") &amp; "%)","")</totalsRowFormula>
    </tableColumn>
    <tableColumn id="8" name="Q2" totalsRowFunction="custom" dataDxfId="78" totalsRowDxfId="77">
      <totalsRowFormula>IF(COUNT(Def[Q2])&gt;0,TEXT(AVERAGE(Def[Q2]),"0.0")&amp; "  (" &amp; TEXT(AVERAGE(Def[Q2])/F$5*100,"###") &amp; "%)","")</totalsRowFormula>
    </tableColumn>
    <tableColumn id="9" name="Q3" totalsRowFunction="custom" dataDxfId="76" totalsRowDxfId="75">
      <totalsRowFormula>IF(COUNT(Def[Q3])&gt;0,TEXT(AVERAGE(Def[Q3]),"0.0")&amp; "  (" &amp; TEXT(AVERAGE(Def[Q3])/G$5*100,"###") &amp; "%)","")</totalsRowFormula>
    </tableColumn>
    <tableColumn id="10" name="Q4" totalsRowFunction="custom" dataDxfId="74" totalsRowDxfId="73">
      <totalsRowFormula>IF(COUNT(Def[Q4])&gt;0,TEXT(AVERAGE(Def[Q4]),"0.0")&amp; "  (" &amp; TEXT(AVERAGE(Def[Q4])/H$5*100,"###") &amp; "%)","")</totalsRowFormula>
    </tableColumn>
    <tableColumn id="11" name="Q5" totalsRowFunction="custom" dataDxfId="72" totalsRowDxfId="71">
      <totalsRowFormula>IF(COUNT(Def[Q5])&gt;0,TEXT(AVERAGE(Def[Q5]),"0.0")&amp; "  (" &amp; TEXT(AVERAGE(Def[Q5])/I$5*100,"###") &amp; "%)","")</totalsRowFormula>
    </tableColumn>
    <tableColumn id="2" name="Total" totalsRowFunction="custom" dataDxfId="70" totalsRowDxfId="69">
      <calculatedColumnFormula>IF(NOT($A7=""),(IF(COUNTBLANK(Def[[#This Row],[Q1]:[Q5]])=0,SUM(Def[[#This Row],[Q1]:[Q5]]),"")),"")</calculatedColumnFormula>
      <totalsRowFormula>IF(COUNT(Def[Total])&gt;0,TEXT(AVERAGE(Def[Total]),"0.0")&amp; "  (" &amp; TEXT(AVERAGE(Def[Total])/J$5*100,"###") &amp; "%)","")</totalsRowFormula>
    </tableColumn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id="9" name="Sup" displayName="Sup" ref="A6:J12" totalsRowCount="1" headerRowDxfId="68" dataDxfId="67">
  <autoFilter ref="A6:J11"/>
  <sortState ref="A7:J86">
    <sortCondition ref="C6:C86"/>
  </sortState>
  <tableColumns count="10">
    <tableColumn id="1" name="Student No" dataDxfId="66" totalsRowDxfId="65">
      <calculatedColumnFormula>IF(NOT(ISBLANK(Ulwazi!$D2)),TRIM(LEFT(Ulwazi!$D2,FIND("@",Ulwazi!$D2)-1)),"")</calculatedColumnFormula>
    </tableColumn>
    <tableColumn id="3" name="First Name" totalsRowLabel="Averages" dataDxfId="64" totalsRowDxfId="63">
      <calculatedColumnFormula>IF(NOT(ISBLANK(Ulwazi!$B2)),Ulwazi!$B2,"")</calculatedColumnFormula>
    </tableColumn>
    <tableColumn id="22" name="Last Name" dataDxfId="62" totalsRowDxfId="61">
      <calculatedColumnFormula>IF(NOT(ISBLANK(Ulwazi!$A2)),Ulwazi!$A2,"")</calculatedColumnFormula>
    </tableColumn>
    <tableColumn id="5" name="Total (%)" totalsRowFunction="custom" dataDxfId="60" totalsRowDxfId="59">
      <calculatedColumnFormula>IF(ISNUMBER(Sup[Total]),IF(ROUND((Sup[Total]/$J$5*100),0)&gt;50,50,ROUND(Sup[Total]/$J$5*100,0)),"")</calculatedColumnFormula>
      <totalsRowFormula>IF(COUNT(Sup[Total (%)])&gt;0,TEXT(AVERAGE(Sup[Total (%)]),"0.0")&amp; "  (" &amp; TEXT(AVERAGE(Sup[Total (%)])/D$5*100,"###") &amp; "%)","")</totalsRowFormula>
    </tableColumn>
    <tableColumn id="7" name="Q1" totalsRowFunction="custom" dataDxfId="58" totalsRowDxfId="57">
      <totalsRowFormula>IF(COUNT(Sup[Q1])&gt;0,TEXT(AVERAGE(Sup[Q1]),"0.0")&amp; "  (" &amp; TEXT(AVERAGE(Sup[Q1])/E$5*100,"###") &amp; "%)","")</totalsRowFormula>
    </tableColumn>
    <tableColumn id="8" name="Q2" totalsRowFunction="custom" dataDxfId="56" totalsRowDxfId="55">
      <totalsRowFormula>IF(COUNT(Sup[Q2])&gt;0,TEXT(AVERAGE(Sup[Q2]),"0.0")&amp; "  (" &amp; TEXT(AVERAGE(Sup[Q2])/F$5*100,"###") &amp; "%)","")</totalsRowFormula>
    </tableColumn>
    <tableColumn id="9" name="Q3" totalsRowFunction="custom" dataDxfId="54" totalsRowDxfId="53">
      <totalsRowFormula>IF(COUNT(Sup[Q3])&gt;0,TEXT(AVERAGE(Sup[Q3]),"0.0")&amp; "  (" &amp; TEXT(AVERAGE(Sup[Q3])/G$5*100,"###") &amp; "%)","")</totalsRowFormula>
    </tableColumn>
    <tableColumn id="10" name="Q4" totalsRowFunction="custom" dataDxfId="52" totalsRowDxfId="51">
      <totalsRowFormula>IF(COUNT(Sup[Q4])&gt;0,TEXT(AVERAGE(Sup[Q4]),"0.0")&amp; "  (" &amp; TEXT(AVERAGE(Sup[Q4])/H$5*100,"###") &amp; "%)","")</totalsRowFormula>
    </tableColumn>
    <tableColumn id="11" name="Q5" totalsRowFunction="custom" dataDxfId="50" totalsRowDxfId="49">
      <totalsRowFormula>IF(COUNT(Sup[Q5])&gt;0,TEXT(AVERAGE(Sup[Q5]),"0.0")&amp; "  (" &amp; TEXT(AVERAGE(Sup[Q5])/I$5*100,"###") &amp; "%)","")</totalsRowFormula>
    </tableColumn>
    <tableColumn id="2" name="Total" totalsRowFunction="custom" dataDxfId="48" totalsRowDxfId="47">
      <calculatedColumnFormula>IF(NOT($A7=""),(IF(COUNTBLANK(Sup[[#This Row],[Q1]:[Q5]])=0,SUM(Sup[[#This Row],[Q1]:[Q5]]),"")),"")</calculatedColumnFormula>
      <totalsRowFormula>IF(COUNT(Sup[Total])&gt;0,TEXT(AVERAGE(Sup[Total]),"0.0")&amp; "  (" &amp; TEXT(AVERAGE(Sup[Total])/J$5*100,"###") &amp; "%)","")</totalsRowFormula>
    </tableColumn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id="5" name="Ulwazi" displayName="Ulwazi" ref="A1:D6" totalsRowShown="0">
  <sortState ref="A2:D86">
    <sortCondition ref="A1:A86"/>
  </sortState>
  <tableColumns count="4">
    <tableColumn id="1" name="LastName" dataDxfId="46"/>
    <tableColumn id="2" name="FirstName" dataDxfId="45"/>
    <tableColumn id="3" name="ID" dataDxfId="44"/>
    <tableColumn id="4" name="SIS User ID" dataDxfId="43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7" tint="0.59999389629810485"/>
  </sheetPr>
  <dimension ref="A1:S11"/>
  <sheetViews>
    <sheetView workbookViewId="0">
      <pane ySplit="5" topLeftCell="A6" activePane="bottomLeft" state="frozen"/>
      <selection pane="bottomLeft" activeCell="D9" sqref="D9"/>
    </sheetView>
  </sheetViews>
  <sheetFormatPr defaultColWidth="9.109375" defaultRowHeight="14.4" x14ac:dyDescent="0.3"/>
  <cols>
    <col min="1" max="1" width="12.44140625" customWidth="1"/>
    <col min="2" max="2" width="12.5546875" customWidth="1"/>
    <col min="3" max="3" width="14.33203125" customWidth="1"/>
    <col min="4" max="4" width="11.21875" bestFit="1" customWidth="1"/>
    <col min="5" max="5" width="11.21875" customWidth="1"/>
    <col min="6" max="6" width="14.6640625" style="2" customWidth="1"/>
    <col min="7" max="7" width="12.44140625" style="2" customWidth="1"/>
    <col min="8" max="8" width="16.33203125" style="2" customWidth="1"/>
    <col min="9" max="9" width="16" style="2" customWidth="1"/>
    <col min="10" max="10" width="9.6640625" style="2" bestFit="1" customWidth="1"/>
    <col min="11" max="11" width="26.44140625" style="2" customWidth="1"/>
    <col min="12" max="12" width="11.21875" style="2" customWidth="1"/>
    <col min="13" max="13" width="13.109375" style="2" customWidth="1"/>
    <col min="14" max="14" width="14.6640625" style="2" hidden="1" customWidth="1"/>
    <col min="15" max="16" width="12.6640625" hidden="1" customWidth="1"/>
    <col min="17" max="17" width="6.21875" customWidth="1"/>
    <col min="18" max="18" width="12.6640625" bestFit="1" customWidth="1"/>
    <col min="19" max="19" width="14.5546875" customWidth="1"/>
    <col min="20" max="33" width="12.6640625" bestFit="1" customWidth="1"/>
    <col min="34" max="34" width="12.6640625" customWidth="1"/>
    <col min="35" max="37" width="12.6640625" bestFit="1" customWidth="1"/>
    <col min="38" max="38" width="10.6640625" bestFit="1" customWidth="1"/>
  </cols>
  <sheetData>
    <row r="1" spans="1:19" ht="31.8" thickBot="1" x14ac:dyDescent="0.65">
      <c r="A1" s="29" t="s">
        <v>47</v>
      </c>
      <c r="B1" s="17"/>
      <c r="C1" s="17"/>
      <c r="D1" s="28"/>
      <c r="E1" s="28"/>
      <c r="K1"/>
    </row>
    <row r="2" spans="1:19" ht="21.6" thickTop="1" x14ac:dyDescent="0.4">
      <c r="A2" s="9"/>
      <c r="D2" s="24"/>
      <c r="E2" s="24"/>
      <c r="F2" s="25"/>
      <c r="G2" s="25"/>
      <c r="H2" s="16"/>
      <c r="I2" s="16"/>
      <c r="J2" s="16"/>
      <c r="K2" s="16"/>
      <c r="L2" s="26"/>
      <c r="R2" s="56" t="s">
        <v>40</v>
      </c>
      <c r="S2" s="56"/>
    </row>
    <row r="3" spans="1:19" ht="15.6" customHeight="1" x14ac:dyDescent="0.3">
      <c r="A3" s="58" t="s">
        <v>22</v>
      </c>
      <c r="B3" s="58"/>
      <c r="C3" s="58"/>
      <c r="D3" s="59" t="s">
        <v>24</v>
      </c>
      <c r="E3" s="59"/>
      <c r="F3" s="59"/>
      <c r="G3" s="59"/>
      <c r="H3" s="58" t="s">
        <v>27</v>
      </c>
      <c r="I3" s="58"/>
      <c r="J3" s="58"/>
      <c r="K3" s="41" t="s">
        <v>25</v>
      </c>
      <c r="L3" s="57" t="s">
        <v>18</v>
      </c>
      <c r="M3" s="57"/>
      <c r="N3" s="55" t="s">
        <v>39</v>
      </c>
      <c r="O3" s="55"/>
      <c r="P3" s="55"/>
      <c r="R3" s="36" t="s">
        <v>33</v>
      </c>
      <c r="S3" s="40" t="s">
        <v>34</v>
      </c>
    </row>
    <row r="4" spans="1:19" ht="14.4" customHeight="1" x14ac:dyDescent="0.3">
      <c r="A4" t="s">
        <v>23</v>
      </c>
      <c r="D4" s="15">
        <v>0.1</v>
      </c>
      <c r="E4" s="15">
        <v>0.15</v>
      </c>
      <c r="F4" s="15">
        <v>0.3</v>
      </c>
      <c r="G4" s="15">
        <v>0.45</v>
      </c>
      <c r="H4" s="15">
        <f>SUM(D4:G4)</f>
        <v>1</v>
      </c>
      <c r="I4" s="15">
        <f>H4</f>
        <v>1</v>
      </c>
      <c r="K4"/>
      <c r="Q4" s="39"/>
      <c r="R4" s="37" t="s">
        <v>43</v>
      </c>
      <c r="S4" s="38" t="s">
        <v>44</v>
      </c>
    </row>
    <row r="5" spans="1:19" x14ac:dyDescent="0.3">
      <c r="A5" s="19" t="s">
        <v>0</v>
      </c>
      <c r="B5" s="18" t="s">
        <v>1</v>
      </c>
      <c r="C5" s="18" t="s">
        <v>2</v>
      </c>
      <c r="D5" s="20" t="s">
        <v>48</v>
      </c>
      <c r="E5" s="20" t="s">
        <v>46</v>
      </c>
      <c r="F5" s="20" t="s">
        <v>49</v>
      </c>
      <c r="G5" s="20" t="s">
        <v>8</v>
      </c>
      <c r="H5" s="20" t="s">
        <v>32</v>
      </c>
      <c r="I5" s="21" t="s">
        <v>28</v>
      </c>
      <c r="J5" s="20" t="s">
        <v>31</v>
      </c>
      <c r="K5" s="22" t="s">
        <v>25</v>
      </c>
      <c r="L5" s="30" t="s">
        <v>36</v>
      </c>
      <c r="M5" s="30" t="s">
        <v>37</v>
      </c>
      <c r="N5" s="30" t="s">
        <v>17</v>
      </c>
      <c r="O5" s="30" t="s">
        <v>35</v>
      </c>
      <c r="P5" s="30" t="s">
        <v>38</v>
      </c>
    </row>
    <row r="6" spans="1:19" x14ac:dyDescent="0.3">
      <c r="A6" s="32" t="str">
        <f>IF(NOT(ISBLANK(Ulwazi!$D2)),TRIM(LEFT(Ulwazi!$D2,FIND("@",Ulwazi!$D2)-1)),"")</f>
        <v/>
      </c>
      <c r="B6" s="25" t="str">
        <f>IF(NOT(ISBLANK(Ulwazi!$B2)),Ulwazi!$B2,"")</f>
        <v/>
      </c>
      <c r="C6" s="25" t="str">
        <f>IF(NOT(ISBLANK(Ulwazi!$A2)),Ulwazi!$A2,"")</f>
        <v/>
      </c>
      <c r="D6" s="16" t="str">
        <f>IF(NOT($A6=""),INDEX(Labs[Total (%)],MATCH($A6,Labs[Student No],0)),"")</f>
        <v/>
      </c>
      <c r="E6" s="16" t="str">
        <f>IF(NOT($A6=""),INDEX(Test[Total (%)],MATCH($A6,Test[Student No],0)),"")</f>
        <v/>
      </c>
      <c r="F6" s="16" t="str">
        <f>IF(NOT($A6=""),INDEX(Project[Total (%)],MATCH($A6,Project[Student No],0)),"")</f>
        <v/>
      </c>
      <c r="G6" s="16" t="str">
        <f>IF(NOT($A6=""), IF(ISNUMBER(INDEX(Def[Total (%)],MATCH($A6,Def[Student No],0))),
    INDEX(Def[Total (%)],MATCH($A6,Def[Student No],0)),
      IF(ISNUMBER(INDEX(Exam[Total (%)],MATCH($A6,Exam[Student No],0))),
      INDEX(Exam[Total (%)],MATCH($A6,Exam[Student No],0)),
      "")
    ),"")</f>
        <v/>
      </c>
      <c r="H6" s="16" t="str">
        <f>IF(NOT(ISBLANK(All[[#This Row],[Student No]])),IF(ISNUMBER(INDEX(Sup[Total (%)],MATCH($A6,Sup[Student No],0))),
    INDEX(Sup[Total (%)],MATCH($A6,Sup[Student No],0)),
    (IF(ISNUMBER(All[[#This Row],[Exam]]),ROUND(All[[#This Row],[Labs]]*$D$4+All[[#This Row],[Project]]*$F$4+All[[#This Row],[Exam]]*$G$4,0),""))),"")</f>
        <v/>
      </c>
      <c r="I6" s="16" t="str">
        <f>IF(NOT($A6=""),All[[#This Row],[Course Mark]],"")</f>
        <v/>
      </c>
      <c r="J6" s="16" t="str">
        <f>IF(AND(NOT($A6=""),ISNUMBER(All[[#This Row],[Moderated]])),_xlfn.RANK.EQ(All[[#This Row],[Moderated]],All[Moderated]),"")</f>
        <v/>
      </c>
      <c r="K6" s="27"/>
      <c r="L6" s="16" t="str">
        <f>IF(NOT($A6=""),All[[#This Row],[Moderated]],"")</f>
        <v/>
      </c>
      <c r="M6" s="31"/>
      <c r="N6" s="16" t="b">
        <f t="shared" ref="N6:N10" si="0" xml:space="preserve"> IF(AND(ISNUMBER($M6), ISNUMBER($L6)), ABS($M6 - $L6) &lt;&gt; 0, $M6 &lt;&gt; $L6)</f>
        <v>0</v>
      </c>
      <c r="O6" s="16" t="b">
        <f>IF(ISNUMBER(INDEX(Def[Total (%)],MATCH($A6,Def[Student No],0))),TRUE,FALSE)</f>
        <v>0</v>
      </c>
      <c r="P6" s="16" t="b">
        <f>IF(ISNUMBER(INDEX(Sup[Total (%)],MATCH($A6,Sup[Student No],0))),TRUE,FALSE)</f>
        <v>0</v>
      </c>
    </row>
    <row r="7" spans="1:19" x14ac:dyDescent="0.3">
      <c r="A7" s="32" t="str">
        <f>IF(NOT(ISBLANK(Ulwazi!$D3)),TRIM(LEFT(Ulwazi!$D3,FIND("@",Ulwazi!$D3)-1)),"")</f>
        <v/>
      </c>
      <c r="B7" s="25" t="str">
        <f>IF(NOT(ISBLANK(Ulwazi!$B3)),Ulwazi!$B3,"")</f>
        <v/>
      </c>
      <c r="C7" s="25" t="str">
        <f>IF(NOT(ISBLANK(Ulwazi!$A3)),Ulwazi!$A3,"")</f>
        <v/>
      </c>
      <c r="D7" s="16" t="str">
        <f>IF(NOT($A7=""),INDEX(Labs[Total (%)],MATCH($A7,Labs[Student No],0)),"")</f>
        <v/>
      </c>
      <c r="E7" s="16"/>
      <c r="F7" s="16" t="str">
        <f>IF(NOT($A7=""),INDEX(Project[Total (%)],MATCH($A7,Project[Student No],0)),"")</f>
        <v/>
      </c>
      <c r="G7" s="16" t="str">
        <f>IF(NOT($A7=""), IF(ISNUMBER(INDEX(Def[Total (%)],MATCH($A7,Def[Student No],0))),
    INDEX(Def[Total (%)],MATCH($A7,Def[Student No],0)),
      IF(ISNUMBER(INDEX(Exam[Total (%)],MATCH($A7,Exam[Student No],0))),
      INDEX(Exam[Total (%)],MATCH($A7,Exam[Student No],0)),
      "")
    ),"")</f>
        <v/>
      </c>
      <c r="H7" s="16" t="str">
        <f>IF(NOT(ISBLANK(All[[#This Row],[Student No]])),IF(ISNUMBER(INDEX(Sup[Total (%)],MATCH($A7,Sup[Student No],0))),
    INDEX(Sup[Total (%)],MATCH($A7,Sup[Student No],0)),
    (IF(ISNUMBER(All[[#This Row],[Exam]]),ROUND(All[[#This Row],[Labs]]*$D$4+All[[#This Row],[Project]]*$F$4+All[[#This Row],[Exam]]*$G$4,0),""))),"")</f>
        <v/>
      </c>
      <c r="I7" s="16" t="str">
        <f>IF(NOT($A7=""),All[[#This Row],[Course Mark]],"")</f>
        <v/>
      </c>
      <c r="J7" s="16" t="str">
        <f>IF(AND(NOT($A7=""),ISNUMBER(All[[#This Row],[Moderated]])),_xlfn.RANK.EQ(All[[#This Row],[Moderated]],All[Moderated]),"")</f>
        <v/>
      </c>
      <c r="K7" s="27"/>
      <c r="L7" s="16" t="str">
        <f>IF(NOT($A7=""),All[[#This Row],[Moderated]],"")</f>
        <v/>
      </c>
      <c r="M7" s="31"/>
      <c r="N7" s="16" t="b">
        <f t="shared" si="0"/>
        <v>0</v>
      </c>
      <c r="O7" s="16" t="b">
        <f>IF(ISNUMBER(INDEX(Def[Total (%)],MATCH($A7,Def[Student No],0))),TRUE,FALSE)</f>
        <v>0</v>
      </c>
      <c r="P7" s="16" t="b">
        <f>IF(ISNUMBER(INDEX(Sup[Total (%)],MATCH($A7,Sup[Student No],0))),TRUE,FALSE)</f>
        <v>0</v>
      </c>
    </row>
    <row r="8" spans="1:19" x14ac:dyDescent="0.3">
      <c r="A8" s="32" t="str">
        <f>IF(NOT(ISBLANK(Ulwazi!$D4)),TRIM(LEFT(Ulwazi!$D4,FIND("@",Ulwazi!$D4)-1)),"")</f>
        <v/>
      </c>
      <c r="B8" s="25" t="str">
        <f>IF(NOT(ISBLANK(Ulwazi!$B4)),Ulwazi!$B4,"")</f>
        <v/>
      </c>
      <c r="C8" s="25" t="str">
        <f>IF(NOT(ISBLANK(Ulwazi!$A4)),Ulwazi!$A4,"")</f>
        <v/>
      </c>
      <c r="D8" s="16" t="str">
        <f>IF(NOT($A8=""),INDEX(Labs[Total (%)],MATCH($A8,Labs[Student No],0)),"")</f>
        <v/>
      </c>
      <c r="E8" s="16" t="str">
        <f>IF(NOT($A8=""),INDEX(Test[Total (%)],MATCH($A8,Test[Student No],0)),"")</f>
        <v/>
      </c>
      <c r="F8" s="16" t="str">
        <f>IF(NOT($A8=""),INDEX(Project[Total (%)],MATCH($A8,Project[Student No],0)),"")</f>
        <v/>
      </c>
      <c r="G8" s="16" t="str">
        <f>IF(NOT($A8=""), IF(ISNUMBER(INDEX(Def[Total (%)],MATCH($A8,Def[Student No],0))),
    INDEX(Def[Total (%)],MATCH($A8,Def[Student No],0)),
      IF(ISNUMBER(INDEX(Exam[Total (%)],MATCH($A8,Exam[Student No],0))),
      INDEX(Exam[Total (%)],MATCH($A8,Exam[Student No],0)),
      "")
    ),"")</f>
        <v/>
      </c>
      <c r="H8" s="16" t="str">
        <f>IF(NOT(ISBLANK(All[[#This Row],[Student No]])),IF(ISNUMBER(INDEX(Sup[Total (%)],MATCH($A8,Sup[Student No],0))),
    INDEX(Sup[Total (%)],MATCH($A8,Sup[Student No],0)),
    (IF(ISNUMBER(All[[#This Row],[Exam]]),ROUND(All[[#This Row],[Labs]]*$D$4+All[[#This Row],[Project]]*$F$4+All[[#This Row],[Exam]]*$G$4,0),""))),"")</f>
        <v/>
      </c>
      <c r="I8" s="16" t="str">
        <f>IF(NOT($A8=""),All[[#This Row],[Course Mark]],"")</f>
        <v/>
      </c>
      <c r="J8" s="16" t="str">
        <f>IF(AND(NOT($A8=""),ISNUMBER(All[[#This Row],[Moderated]])),_xlfn.RANK.EQ(All[[#This Row],[Moderated]],All[Moderated]),"")</f>
        <v/>
      </c>
      <c r="K8" s="27"/>
      <c r="L8" s="16" t="str">
        <f>IF(NOT($A8=""),All[[#This Row],[Moderated]],"")</f>
        <v/>
      </c>
      <c r="M8" s="31"/>
      <c r="N8" s="16" t="b">
        <f t="shared" si="0"/>
        <v>0</v>
      </c>
      <c r="O8" s="16" t="b">
        <f>IF(ISNUMBER(INDEX(Def[Total (%)],MATCH($A8,Def[Student No],0))),TRUE,FALSE)</f>
        <v>0</v>
      </c>
      <c r="P8" s="16" t="b">
        <f>IF(ISNUMBER(INDEX(Sup[Total (%)],MATCH($A8,Sup[Student No],0))),TRUE,FALSE)</f>
        <v>0</v>
      </c>
    </row>
    <row r="9" spans="1:19" x14ac:dyDescent="0.3">
      <c r="A9" s="32" t="str">
        <f>IF(NOT(ISBLANK(Ulwazi!$D5)),TRIM(LEFT(Ulwazi!$D5,FIND("@",Ulwazi!$D5)-1)),"")</f>
        <v/>
      </c>
      <c r="B9" s="25" t="str">
        <f>IF(NOT(ISBLANK(Ulwazi!$B5)),Ulwazi!$B5,"")</f>
        <v/>
      </c>
      <c r="C9" s="25" t="str">
        <f>IF(NOT(ISBLANK(Ulwazi!$A5)),Ulwazi!$A5,"")</f>
        <v/>
      </c>
      <c r="D9" s="16" t="str">
        <f>IF(NOT($A9=""),INDEX(Labs[Total (%)],MATCH($A9,Labs[Student No],0)),"")</f>
        <v/>
      </c>
      <c r="E9" s="16" t="str">
        <f>IF(NOT($A9=""),INDEX(Test[Total (%)],MATCH($A9,Test[Student No],0)),"")</f>
        <v/>
      </c>
      <c r="F9" s="16" t="str">
        <f>IF(NOT($A9=""),INDEX(Project[Total (%)],MATCH($A9,Project[Student No],0)),"")</f>
        <v/>
      </c>
      <c r="G9" s="16" t="str">
        <f>IF(NOT($A9=""), IF(ISNUMBER(INDEX(Def[Total (%)],MATCH($A9,Def[Student No],0))),
    INDEX(Def[Total (%)],MATCH($A9,Def[Student No],0)),
      IF(ISNUMBER(INDEX(Exam[Total (%)],MATCH($A9,Exam[Student No],0))),
      INDEX(Exam[Total (%)],MATCH($A9,Exam[Student No],0)),
      "")
    ),"")</f>
        <v/>
      </c>
      <c r="H9" s="16" t="str">
        <f>IF(NOT(ISBLANK(All[[#This Row],[Student No]])),IF(ISNUMBER(INDEX(Sup[Total (%)],MATCH($A9,Sup[Student No],0))),
    INDEX(Sup[Total (%)],MATCH($A9,Sup[Student No],0)),
    (IF(ISNUMBER(All[[#This Row],[Exam]]),ROUND(All[[#This Row],[Labs]]*$D$4+All[[#This Row],[Project]]*$F$4+All[[#This Row],[Exam]]*$G$4,0),""))),"")</f>
        <v/>
      </c>
      <c r="I9" s="16" t="str">
        <f>IF(NOT($A9=""),All[[#This Row],[Course Mark]],"")</f>
        <v/>
      </c>
      <c r="J9" s="16" t="str">
        <f>IF(AND(NOT($A9=""),ISNUMBER(All[[#This Row],[Moderated]])),_xlfn.RANK.EQ(All[[#This Row],[Moderated]],All[Moderated]),"")</f>
        <v/>
      </c>
      <c r="K9" s="27"/>
      <c r="L9" s="16" t="str">
        <f>IF(NOT($A9=""),All[[#This Row],[Moderated]],"")</f>
        <v/>
      </c>
      <c r="M9" s="31"/>
      <c r="N9" s="16" t="b">
        <f t="shared" si="0"/>
        <v>0</v>
      </c>
      <c r="O9" s="16" t="b">
        <f>IF(ISNUMBER(INDEX(Def[Total (%)],MATCH($A9,Def[Student No],0))),TRUE,FALSE)</f>
        <v>0</v>
      </c>
      <c r="P9" s="16" t="b">
        <f>IF(ISNUMBER(INDEX(Sup[Total (%)],MATCH($A9,Sup[Student No],0))),TRUE,FALSE)</f>
        <v>0</v>
      </c>
    </row>
    <row r="10" spans="1:19" x14ac:dyDescent="0.3">
      <c r="A10" s="32" t="str">
        <f>IF(NOT(ISBLANK(Ulwazi!$D6)),TRIM(LEFT(Ulwazi!$D6,FIND("@",Ulwazi!$D6)-1)),"")</f>
        <v/>
      </c>
      <c r="B10" s="25" t="str">
        <f>IF(NOT(ISBLANK(Ulwazi!$B6)),Ulwazi!$B6,"")</f>
        <v/>
      </c>
      <c r="C10" s="25" t="str">
        <f>IF(NOT(ISBLANK(Ulwazi!$A6)),Ulwazi!$A6,"")</f>
        <v/>
      </c>
      <c r="D10" s="16" t="str">
        <f>IF(NOT($A10=""),INDEX(Labs[Total (%)],MATCH($A10,Labs[Student No],0)),"")</f>
        <v/>
      </c>
      <c r="E10" s="16" t="str">
        <f>IF(NOT($A10=""),INDEX(Test[Total (%)],MATCH($A10,Test[Student No],0)),"")</f>
        <v/>
      </c>
      <c r="F10" s="16" t="str">
        <f>IF(NOT($A10=""),INDEX(Project[Total (%)],MATCH($A10,Project[Student No],0)),"")</f>
        <v/>
      </c>
      <c r="G10" s="16" t="str">
        <f>IF(NOT($A10=""), IF(ISNUMBER(INDEX(Def[Total (%)],MATCH($A10,Def[Student No],0))),
    INDEX(Def[Total (%)],MATCH($A10,Def[Student No],0)),
      IF(ISNUMBER(INDEX(Exam[Total (%)],MATCH($A10,Exam[Student No],0))),
      INDEX(Exam[Total (%)],MATCH($A10,Exam[Student No],0)),
      "")
    ),"")</f>
        <v/>
      </c>
      <c r="H10" s="16" t="str">
        <f>IF(NOT(ISBLANK(All[[#This Row],[Student No]])),IF(ISNUMBER(INDEX(Sup[Total (%)],MATCH($A10,Sup[Student No],0))),
    INDEX(Sup[Total (%)],MATCH($A10,Sup[Student No],0)),
    (IF(ISNUMBER(All[[#This Row],[Exam]]),ROUND(All[[#This Row],[Labs]]*$D$4+All[[#This Row],[Project]]*$F$4+All[[#This Row],[Exam]]*$G$4,0),""))),"")</f>
        <v/>
      </c>
      <c r="I10" s="16" t="str">
        <f>IF(NOT($A10=""),All[[#This Row],[Course Mark]],"")</f>
        <v/>
      </c>
      <c r="J10" s="16" t="str">
        <f>IF(AND(NOT($A10=""),ISNUMBER(All[[#This Row],[Moderated]])),_xlfn.RANK.EQ(All[[#This Row],[Moderated]],All[Moderated]),"")</f>
        <v/>
      </c>
      <c r="K10" s="27"/>
      <c r="L10" s="16" t="str">
        <f>IF(NOT($A10=""),All[[#This Row],[Moderated]],"")</f>
        <v/>
      </c>
      <c r="M10" s="31"/>
      <c r="N10" s="16" t="b">
        <f t="shared" si="0"/>
        <v>0</v>
      </c>
      <c r="O10" s="16" t="b">
        <f>IF(ISNUMBER(INDEX(Def[Total (%)],MATCH($A10,Def[Student No],0))),TRUE,FALSE)</f>
        <v>0</v>
      </c>
      <c r="P10" s="16" t="b">
        <f>IF(ISNUMBER(INDEX(Sup[Total (%)],MATCH($A10,Sup[Student No],0))),TRUE,FALSE)</f>
        <v>0</v>
      </c>
    </row>
    <row r="11" spans="1:19" x14ac:dyDescent="0.3">
      <c r="A11" s="44"/>
      <c r="B11" s="45" t="s">
        <v>9</v>
      </c>
      <c r="C11" s="43"/>
      <c r="D11" s="42" t="str">
        <f xml:space="preserve"> IF(COUNT(All[Labs]) &gt;= 1, TEXT(AVERAGE(All[Labs]), "##.0") &amp; " %", "")</f>
        <v/>
      </c>
      <c r="E11" s="42" t="str">
        <f xml:space="preserve"> IF(COUNT(All[Test]) &gt;= 1, TEXT(AVERAGE(All[Test]), "##.0") &amp; " %", "")</f>
        <v/>
      </c>
      <c r="F11" s="42" t="str">
        <f xml:space="preserve"> IF(COUNT(All[Project]) &gt;= 1, TEXT(AVERAGE(All[Project]), "##.0") &amp; " %", "")</f>
        <v/>
      </c>
      <c r="G11" s="42" t="str">
        <f xml:space="preserve"> IF(COUNT(All[Exam]) &gt;= 1, TEXT(AVERAGE(All[Exam]), "##.0") &amp; " %", "")</f>
        <v/>
      </c>
      <c r="H11" s="42" t="str">
        <f xml:space="preserve"> IF(COUNT(All[Course Mark]) &gt;= 1, TEXT(AVERAGE(All[Course Mark]), "##.0") &amp; " %", "")</f>
        <v/>
      </c>
      <c r="I11" s="42" t="str">
        <f xml:space="preserve"> IF(COUNT(All[Moderated]) &gt;= 1, TEXT(AVERAGE(All[Moderated]), "##.0") &amp; " %", "")</f>
        <v/>
      </c>
      <c r="J11" s="46"/>
      <c r="K11" s="44"/>
      <c r="L11" s="46"/>
      <c r="M11" s="47"/>
      <c r="N11" s="48"/>
      <c r="O11" s="46"/>
      <c r="P11" s="46">
        <f>SUBTOTAL(103,All[Sup])</f>
        <v>5</v>
      </c>
    </row>
  </sheetData>
  <dataConsolidate link="1"/>
  <mergeCells count="6">
    <mergeCell ref="N3:P3"/>
    <mergeCell ref="R2:S2"/>
    <mergeCell ref="L3:M3"/>
    <mergeCell ref="A3:C3"/>
    <mergeCell ref="D3:G3"/>
    <mergeCell ref="H3:J3"/>
  </mergeCells>
  <conditionalFormatting sqref="I6:I10">
    <cfRule type="expression" dxfId="20" priority="39">
      <formula>$I6&lt;&gt;$H6</formula>
    </cfRule>
  </conditionalFormatting>
  <conditionalFormatting sqref="G6:G10">
    <cfRule type="expression" dxfId="19" priority="49">
      <formula>$O6</formula>
    </cfRule>
  </conditionalFormatting>
  <conditionalFormatting sqref="L6:M10">
    <cfRule type="expression" dxfId="18" priority="73">
      <formula>IF(NOT(ISBLANK($M6)),$N6,FALSE)</formula>
    </cfRule>
  </conditionalFormatting>
  <conditionalFormatting sqref="H6:H10">
    <cfRule type="expression" dxfId="17" priority="61">
      <formula>$P6</formula>
    </cfRule>
  </conditionalFormatting>
  <conditionalFormatting sqref="H6:I10">
    <cfRule type="cellIs" dxfId="16" priority="42" operator="between">
      <formula>47.5</formula>
      <formula>49.49999</formula>
    </cfRule>
    <cfRule type="cellIs" dxfId="15" priority="48" operator="between">
      <formula>73.5</formula>
      <formula>74.49999</formula>
    </cfRule>
    <cfRule type="expression" dxfId="14" priority="74">
      <formula>IF(ISNUMBER(H6),H6&lt;49.5,FALSE)</formula>
    </cfRule>
    <cfRule type="expression" dxfId="13" priority="75">
      <formula>IF(ISNUMBER(H6),H6&gt;=74.5,FALSE)</formula>
    </cfRule>
  </conditionalFormatting>
  <conditionalFormatting sqref="R4">
    <cfRule type="cellIs" dxfId="12" priority="13" operator="between">
      <formula>47.5</formula>
      <formula>49.49999</formula>
    </cfRule>
    <cfRule type="cellIs" dxfId="11" priority="14" operator="between">
      <formula>73.5</formula>
      <formula>74.49999</formula>
    </cfRule>
    <cfRule type="expression" dxfId="10" priority="16">
      <formula>IF(ISNUMBER(R4),R4&lt;49.5,FALSE)</formula>
    </cfRule>
    <cfRule type="expression" dxfId="9" priority="17">
      <formula>IF(ISNUMBER(R4),R4&gt;=74.5,FALSE)</formula>
    </cfRule>
  </conditionalFormatting>
  <conditionalFormatting sqref="R4">
    <cfRule type="expression" dxfId="8" priority="76">
      <formula>#REF!</formula>
    </cfRule>
  </conditionalFormatting>
  <conditionalFormatting sqref="D6:I10">
    <cfRule type="expression" dxfId="7" priority="2" stopIfTrue="1">
      <formula>NOT(OR(AND(ISNUMBER(D6),D6&gt;=0,D6&lt;=100), D6="", AND(NOT(ISNUMBER(D6)), OR(ISNUMBER(FIND("ABS", D6)),ISNUMBER(FIND("EXEMPT", D6))))))</formula>
    </cfRule>
  </conditionalFormatting>
  <conditionalFormatting sqref="H4:I4">
    <cfRule type="cellIs" dxfId="6" priority="1" operator="notEqual">
      <formula>1</formula>
    </cfRule>
  </conditionalFormatting>
  <dataValidations disablePrompts="1" count="1">
    <dataValidation type="custom" operator="greaterThan" allowBlank="1" showInputMessage="1" showErrorMessage="1" sqref="H2:K2">
      <formula1>OR(ISNUMBER(FIND("ABS",H2)),AND(ISNUMBER(H2),H2&gt;=0,H2&lt;=#REF!),ISNUMBER(FIND("EXEMPT",H2)),H2="")</formula1>
    </dataValidation>
  </dataValidations>
  <pageMargins left="0.70866141732283472" right="0.70866141732283472" top="0.55118110236220474" bottom="0.55118110236220474" header="0.31496062992125984" footer="0.31496062992125984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E18" sqref="E18"/>
    </sheetView>
  </sheetViews>
  <sheetFormatPr defaultRowHeight="14.4" x14ac:dyDescent="0.3"/>
  <cols>
    <col min="1" max="1" width="26.109375" customWidth="1"/>
    <col min="2" max="2" width="5.77734375" customWidth="1"/>
  </cols>
  <sheetData>
    <row r="1" spans="1:2" ht="31.2" x14ac:dyDescent="0.6">
      <c r="A1" s="23" t="s">
        <v>45</v>
      </c>
    </row>
    <row r="3" spans="1:2" x14ac:dyDescent="0.3">
      <c r="A3" s="3" t="s">
        <v>11</v>
      </c>
      <c r="B3" s="2" t="str">
        <f xml:space="preserve"> IF(ROWS(All[])-COUNTBLANK(All[Student No])&gt;0,COUNTA(All[Student No]),"")</f>
        <v/>
      </c>
    </row>
    <row r="4" spans="1:2" x14ac:dyDescent="0.3">
      <c r="B4" s="2"/>
    </row>
    <row r="5" spans="1:2" x14ac:dyDescent="0.3">
      <c r="A5" s="1" t="s">
        <v>10</v>
      </c>
      <c r="B5" s="2"/>
    </row>
    <row r="6" spans="1:2" x14ac:dyDescent="0.3">
      <c r="A6" s="3" t="s">
        <v>12</v>
      </c>
      <c r="B6" s="4" t="str">
        <f xml:space="preserve"> IF(COUNT(All[Course Mark]) &gt;= 1, COUNTIF(All[Course Mark],"&gt;=50")/$B$3*100,"")</f>
        <v/>
      </c>
    </row>
    <row r="7" spans="1:2" x14ac:dyDescent="0.3">
      <c r="A7" s="3" t="s">
        <v>13</v>
      </c>
      <c r="B7" s="4" t="str">
        <f xml:space="preserve"> IF(COUNT(All[Course Mark]) &gt;= 1, IF(COUNT(All[Course Mark]) &gt;= 1, AVERAGE(All[Course Mark]), ""),"")</f>
        <v/>
      </c>
    </row>
    <row r="8" spans="1:2" x14ac:dyDescent="0.3">
      <c r="A8" s="3"/>
      <c r="B8" s="2"/>
    </row>
    <row r="9" spans="1:2" x14ac:dyDescent="0.3">
      <c r="A9" s="1" t="s">
        <v>19</v>
      </c>
      <c r="B9" s="2"/>
    </row>
    <row r="10" spans="1:2" x14ac:dyDescent="0.3">
      <c r="A10" s="3" t="s">
        <v>12</v>
      </c>
      <c r="B10" s="4" t="str">
        <f xml:space="preserve"> IF(AND($B$3&lt;&gt;"",COUNT(All[Moderated]) &gt;= 1), COUNTIF(All[Moderated],"&gt;=50")/$B$3*100,"")</f>
        <v/>
      </c>
    </row>
    <row r="11" spans="1:2" x14ac:dyDescent="0.3">
      <c r="A11" s="3" t="s">
        <v>13</v>
      </c>
      <c r="B11" s="4" t="str">
        <f xml:space="preserve"> IF(AND($B$3&lt;&gt;"",COUNT(All[Moderated]) &gt;= 1), AVERAGE(All[Moderated]),"")</f>
        <v/>
      </c>
    </row>
    <row r="12" spans="1:2" x14ac:dyDescent="0.3">
      <c r="A12" s="3" t="s">
        <v>14</v>
      </c>
      <c r="B12" s="2" t="str">
        <f xml:space="preserve"> IF(AND($B$3&lt;&gt;"",COUNT(All[Moderated]) &gt;= 1),COUNTIF(All[Moderated],"&gt;=50"),"")</f>
        <v/>
      </c>
    </row>
    <row r="13" spans="1:2" x14ac:dyDescent="0.3">
      <c r="A13" s="3" t="s">
        <v>15</v>
      </c>
      <c r="B13" s="12" t="str">
        <f xml:space="preserve"> IF(AND($B$3&lt;&gt;"",COUNT(All[Moderated]) &gt;= 1),COUNTIF(All[Moderated],"&lt;50")+COUNTIF(All[Moderated],"=FABS"),"")</f>
        <v/>
      </c>
    </row>
    <row r="14" spans="1:2" x14ac:dyDescent="0.3">
      <c r="A14" s="3" t="s">
        <v>16</v>
      </c>
      <c r="B14" s="13" t="str">
        <f xml:space="preserve"> IF(AND($B$3&lt;&gt;"",COUNT(All[Moderated]) &gt;= 1),COUNTIF(All[Moderated],"&gt;=75"),"")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9.9978637043366805E-2"/>
  </sheetPr>
  <dimension ref="A1:M12"/>
  <sheetViews>
    <sheetView workbookViewId="0">
      <selection activeCell="D23" sqref="D23"/>
    </sheetView>
  </sheetViews>
  <sheetFormatPr defaultColWidth="9.109375" defaultRowHeight="14.4" x14ac:dyDescent="0.3"/>
  <cols>
    <col min="1" max="1" width="12.33203125" customWidth="1"/>
    <col min="2" max="2" width="12.5546875" customWidth="1"/>
    <col min="3" max="3" width="14.33203125" customWidth="1"/>
    <col min="4" max="4" width="12.6640625" bestFit="1" customWidth="1"/>
    <col min="5" max="5" width="10.6640625" customWidth="1"/>
    <col min="6" max="9" width="10.6640625" style="2" customWidth="1"/>
    <col min="10" max="10" width="15.44140625" style="2" customWidth="1"/>
    <col min="11" max="11" width="20" customWidth="1"/>
    <col min="12" max="12" width="19.88671875" bestFit="1" customWidth="1"/>
    <col min="13" max="13" width="10.5546875" style="2" customWidth="1"/>
    <col min="14" max="21" width="12.6640625" bestFit="1" customWidth="1"/>
    <col min="22" max="22" width="12.6640625" customWidth="1"/>
    <col min="23" max="25" width="12.6640625" bestFit="1" customWidth="1"/>
    <col min="26" max="26" width="10.6640625" bestFit="1" customWidth="1"/>
  </cols>
  <sheetData>
    <row r="1" spans="1:13" ht="31.2" x14ac:dyDescent="0.6">
      <c r="A1" s="54" t="s">
        <v>48</v>
      </c>
      <c r="B1" s="23"/>
      <c r="E1" s="2"/>
      <c r="J1"/>
      <c r="M1"/>
    </row>
    <row r="2" spans="1:13" ht="21" x14ac:dyDescent="0.4">
      <c r="A2" s="9"/>
      <c r="E2" s="2"/>
      <c r="J2"/>
    </row>
    <row r="3" spans="1:13" x14ac:dyDescent="0.3">
      <c r="A3" s="3" t="s">
        <v>29</v>
      </c>
      <c r="E3" s="6"/>
      <c r="F3" s="6"/>
      <c r="G3" s="6"/>
      <c r="H3" s="6"/>
      <c r="I3" s="6"/>
      <c r="J3" s="7"/>
      <c r="K3" s="7"/>
      <c r="M3" s="2">
        <f>SUM(E5:L5)</f>
        <v>12</v>
      </c>
    </row>
    <row r="4" spans="1:13" x14ac:dyDescent="0.3">
      <c r="A4" s="3" t="s">
        <v>58</v>
      </c>
      <c r="E4" s="6"/>
      <c r="F4" s="6"/>
      <c r="G4" s="6"/>
      <c r="H4" s="6"/>
      <c r="I4" s="6"/>
      <c r="J4" s="7"/>
      <c r="K4" s="7"/>
      <c r="M4" s="2">
        <v>2</v>
      </c>
    </row>
    <row r="5" spans="1:13" x14ac:dyDescent="0.3">
      <c r="A5" t="s">
        <v>26</v>
      </c>
      <c r="D5" s="6">
        <v>100</v>
      </c>
      <c r="E5" s="6">
        <v>1.2</v>
      </c>
      <c r="F5" s="6">
        <v>1.2</v>
      </c>
      <c r="G5" s="6">
        <v>1.2</v>
      </c>
      <c r="H5" s="6">
        <v>1.2</v>
      </c>
      <c r="I5" s="6">
        <v>1.2</v>
      </c>
      <c r="J5" s="26">
        <v>2</v>
      </c>
      <c r="K5" s="26">
        <v>2</v>
      </c>
      <c r="L5" s="26">
        <v>2</v>
      </c>
      <c r="M5" s="2">
        <f>M3-M4</f>
        <v>10</v>
      </c>
    </row>
    <row r="6" spans="1:13" x14ac:dyDescent="0.3">
      <c r="A6" s="5" t="s">
        <v>0</v>
      </c>
      <c r="B6" s="1" t="s">
        <v>1</v>
      </c>
      <c r="C6" s="1" t="s">
        <v>2</v>
      </c>
      <c r="D6" s="53" t="s">
        <v>30</v>
      </c>
      <c r="E6" s="33" t="s">
        <v>50</v>
      </c>
      <c r="F6" s="33" t="s">
        <v>51</v>
      </c>
      <c r="G6" s="33" t="s">
        <v>52</v>
      </c>
      <c r="H6" s="33" t="s">
        <v>53</v>
      </c>
      <c r="I6" s="33" t="s">
        <v>54</v>
      </c>
      <c r="J6" s="51" t="s">
        <v>55</v>
      </c>
      <c r="K6" s="51" t="s">
        <v>57</v>
      </c>
      <c r="L6" s="52" t="s">
        <v>56</v>
      </c>
      <c r="M6" s="52" t="s">
        <v>29</v>
      </c>
    </row>
    <row r="7" spans="1:13" x14ac:dyDescent="0.3">
      <c r="A7" s="32" t="str">
        <f>IF(NOT(ISBLANK(Ulwazi!$D2)),TRIM(LEFT(Ulwazi!$D2,FIND("@",Ulwazi!$D2)-1)),"")</f>
        <v/>
      </c>
      <c r="B7" t="str">
        <f>IF(NOT(ISBLANK(Ulwazi!$B2)),Ulwazi!$B2,"")</f>
        <v/>
      </c>
      <c r="C7" s="7" t="str">
        <f>IF(NOT(ISBLANK(Ulwazi!$A2)),Ulwazi!$A2,"")</f>
        <v/>
      </c>
      <c r="D7" s="11" t="str">
        <f>IF(ISNUMBER(Labs[[#This Row],[Total]]),ROUND(Labs[[#This Row],[Total]]/$M$5*100,0),"")</f>
        <v/>
      </c>
      <c r="E7" s="6"/>
      <c r="F7" s="6"/>
      <c r="G7" s="6"/>
      <c r="H7" s="6"/>
      <c r="I7" s="6"/>
      <c r="K7" s="2"/>
      <c r="L7" s="2"/>
      <c r="M7" s="6" t="str">
        <f>IF(NOT($A7=""),(IF(COUNTBLANK(Labs[[#This Row],[Lab 1]:[Lab 5]])=0,SUM(Labs[[#This Row],[Lab 1]:[Lab 5]]),"")),"")</f>
        <v/>
      </c>
    </row>
    <row r="8" spans="1:13" x14ac:dyDescent="0.3">
      <c r="A8" s="32" t="str">
        <f>IF(NOT(ISBLANK(Ulwazi!$D3)),TRIM(LEFT(Ulwazi!$D3,FIND("@",Ulwazi!$D3)-1)),"")</f>
        <v/>
      </c>
      <c r="B8" t="str">
        <f>IF(NOT(ISBLANK(Ulwazi!$B3)),Ulwazi!$B3,"")</f>
        <v/>
      </c>
      <c r="C8" s="7" t="str">
        <f>IF(NOT(ISBLANK(Ulwazi!$A3)),Ulwazi!$A3,"")</f>
        <v/>
      </c>
      <c r="D8" s="11" t="str">
        <f>IF(ISNUMBER(Labs[[#This Row],[Total]]),ROUND(Labs[[#This Row],[Total]]/$M$5*100,0),"")</f>
        <v/>
      </c>
      <c r="E8" s="6"/>
      <c r="F8" s="6"/>
      <c r="G8" s="6"/>
      <c r="H8" s="6"/>
      <c r="I8" s="6"/>
      <c r="K8" s="2"/>
      <c r="L8" s="2"/>
      <c r="M8" s="6" t="str">
        <f>IF(NOT($A8=""),(IF(COUNTBLANK(Labs[[#This Row],[Lab 1]:[Lab 5]])=0,SUM(Labs[[#This Row],[Lab 1]:[Lab 5]]),"")),"")</f>
        <v/>
      </c>
    </row>
    <row r="9" spans="1:13" x14ac:dyDescent="0.3">
      <c r="A9" s="32" t="str">
        <f>IF(NOT(ISBLANK(Ulwazi!$D4)),TRIM(LEFT(Ulwazi!$D4,FIND("@",Ulwazi!$D4)-1)),"")</f>
        <v/>
      </c>
      <c r="B9" t="str">
        <f>IF(NOT(ISBLANK(Ulwazi!$B4)),Ulwazi!$B4,"")</f>
        <v/>
      </c>
      <c r="C9" s="7" t="str">
        <f>IF(NOT(ISBLANK(Ulwazi!$A4)),Ulwazi!$A4,"")</f>
        <v/>
      </c>
      <c r="D9" s="11" t="str">
        <f>IF(ISNUMBER(Labs[[#This Row],[Total]]),ROUND(Labs[[#This Row],[Total]]/$M$5*100,0),"")</f>
        <v/>
      </c>
      <c r="E9" s="6"/>
      <c r="F9" s="6"/>
      <c r="G9" s="6"/>
      <c r="H9" s="6"/>
      <c r="I9" s="6"/>
      <c r="K9" s="2"/>
      <c r="L9" s="2"/>
      <c r="M9" s="6" t="str">
        <f>IF(NOT($A9=""),(IF(COUNTBLANK(Labs[[#This Row],[Lab 1]:[Lab 5]])=0,SUM(Labs[[#This Row],[Lab 1]:[Lab 5]]),"")),"")</f>
        <v/>
      </c>
    </row>
    <row r="10" spans="1:13" x14ac:dyDescent="0.3">
      <c r="A10" s="32" t="str">
        <f>IF(NOT(ISBLANK(Ulwazi!$D5)),TRIM(LEFT(Ulwazi!$D5,FIND("@",Ulwazi!$D5)-1)),"")</f>
        <v/>
      </c>
      <c r="B10" t="str">
        <f>IF(NOT(ISBLANK(Ulwazi!$B5)),Ulwazi!$B5,"")</f>
        <v/>
      </c>
      <c r="C10" s="7" t="str">
        <f>IF(NOT(ISBLANK(Ulwazi!$A5)),Ulwazi!$A5,"")</f>
        <v/>
      </c>
      <c r="D10" s="11" t="str">
        <f>IF(ISNUMBER(Labs[[#This Row],[Total]]),ROUND(Labs[[#This Row],[Total]]/$M$5*100,0),"")</f>
        <v/>
      </c>
      <c r="E10" s="6"/>
      <c r="F10" s="6"/>
      <c r="G10" s="6"/>
      <c r="H10" s="6"/>
      <c r="I10" s="6"/>
      <c r="K10" s="2"/>
      <c r="L10" s="2"/>
      <c r="M10" s="6" t="str">
        <f>IF(NOT($A10=""),(IF(COUNTBLANK(Labs[[#This Row],[Lab 1]:[Lab 5]])=0,SUM(Labs[[#This Row],[Lab 1]:[Lab 5]]),"")),"")</f>
        <v/>
      </c>
    </row>
    <row r="11" spans="1:13" x14ac:dyDescent="0.3">
      <c r="A11" s="32" t="str">
        <f>IF(NOT(ISBLANK(Ulwazi!$D6)),TRIM(LEFT(Ulwazi!$D6,FIND("@",Ulwazi!$D6)-1)),"")</f>
        <v/>
      </c>
      <c r="B11" t="str">
        <f>IF(NOT(ISBLANK(Ulwazi!$B6)),Ulwazi!$B6,"")</f>
        <v/>
      </c>
      <c r="C11" s="7" t="str">
        <f>IF(NOT(ISBLANK(Ulwazi!$A6)),Ulwazi!$A6,"")</f>
        <v/>
      </c>
      <c r="D11" s="11" t="str">
        <f>IF(ISNUMBER(Labs[[#This Row],[Total]]),ROUND(Labs[[#This Row],[Total]]/$M$5*100,0),"")</f>
        <v/>
      </c>
      <c r="E11" s="6"/>
      <c r="F11" s="6"/>
      <c r="G11" s="6"/>
      <c r="H11" s="6"/>
      <c r="I11" s="6"/>
      <c r="K11" s="2"/>
      <c r="L11" s="2"/>
      <c r="M11" s="6" t="str">
        <f>IF(NOT($A11=""),(IF(COUNTBLANK(Labs[[#This Row],[Lab 1]:[Lab 5]])=0,SUM(Labs[[#This Row],[Lab 1]:[Lab 5]]),"")),"")</f>
        <v/>
      </c>
    </row>
    <row r="12" spans="1:13" x14ac:dyDescent="0.3">
      <c r="A12" s="7"/>
      <c r="B12" s="7" t="s">
        <v>9</v>
      </c>
      <c r="C12" s="7"/>
      <c r="D12" s="8" t="str">
        <f>IF(COUNT(Labs[Total (%)])&gt;0,TEXT(AVERAGE(Labs[Total (%)]),"0.0")&amp; "  (" &amp; TEXT(AVERAGE(Labs[Total (%)])/D$5*100,"###") &amp; "%)","")</f>
        <v/>
      </c>
      <c r="E12" s="8" t="str">
        <f>IF(COUNT(Labs[Lab 1])&gt;0,TEXT(AVERAGE(Labs[Lab 1]),"0.0")&amp; "  (" &amp; TEXT(AVERAGE(Labs[Lab 1])/E$5*100,"###") &amp; "%)","")</f>
        <v/>
      </c>
      <c r="F12" s="8" t="str">
        <f>IF(COUNT(Labs[Lab 2])&gt;0,TEXT(AVERAGE(Labs[Lab 2]),"0.0")&amp; "  (" &amp; TEXT(AVERAGE(Labs[Lab 2])/F$5*100,"###") &amp; "%)","")</f>
        <v/>
      </c>
      <c r="G12" s="8" t="str">
        <f>IF(COUNT(Labs[Lab 3])&gt;0,TEXT(AVERAGE(Labs[Lab 3]),"0.0")&amp; "  (" &amp; TEXT(AVERAGE(Labs[Lab 3])/G$5*100,"###") &amp; "%)","")</f>
        <v/>
      </c>
      <c r="H12" s="8" t="str">
        <f>IF(COUNT(Labs[Lab 4])&gt;0,TEXT(AVERAGE(Labs[Lab 4]),"0.0")&amp; "  (" &amp; TEXT(AVERAGE(Labs[Lab 4])/H$5*100,"###") &amp; "%)","")</f>
        <v/>
      </c>
      <c r="I12" s="8" t="str">
        <f>IF(COUNT(Labs[Lab 5])&gt;0,TEXT(AVERAGE(Labs[Lab 5]),"0.0")&amp; "  (" &amp; TEXT(AVERAGE(Labs[Lab 5])/I$5*100,"###") &amp; "%)","")</f>
        <v/>
      </c>
      <c r="J12" s="6"/>
      <c r="K12" s="6"/>
      <c r="L12" s="6"/>
      <c r="M12" s="6" t="str">
        <f>IF(COUNT(#REF!)&gt;0,TEXT(AVERAGE(#REF!),"0.0")&amp; "  (" &amp; TEXT(AVERAGE(#REF!)/M$5*100,"###") &amp; "%)","")</f>
        <v/>
      </c>
    </row>
  </sheetData>
  <conditionalFormatting sqref="D7:D11 M7:M11">
    <cfRule type="expression" dxfId="5" priority="1">
      <formula>IF(ISNUMBER(D7),OR(D7&lt;0,D7&gt;D$5))</formula>
    </cfRule>
  </conditionalFormatting>
  <dataValidations count="1">
    <dataValidation type="custom" allowBlank="1" showInputMessage="1" showErrorMessage="1" sqref="E7:I11 M7:M11 D7:D11">
      <formula1>OR(AND(ISNUMBER(D7),D7&gt;=0,D7&lt;=D$5),D7="")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9.9978637043366805E-2"/>
  </sheetPr>
  <dimension ref="A1:J12"/>
  <sheetViews>
    <sheetView workbookViewId="0">
      <selection activeCell="C22" sqref="C22"/>
    </sheetView>
  </sheetViews>
  <sheetFormatPr defaultColWidth="9.109375" defaultRowHeight="14.4" x14ac:dyDescent="0.3"/>
  <cols>
    <col min="1" max="1" width="12.33203125" customWidth="1"/>
    <col min="2" max="2" width="12.5546875" customWidth="1"/>
    <col min="3" max="3" width="14.33203125" customWidth="1"/>
    <col min="4" max="4" width="12.6640625" bestFit="1" customWidth="1"/>
    <col min="5" max="9" width="11.6640625" style="2" customWidth="1"/>
    <col min="10" max="10" width="10.5546875" style="2" customWidth="1"/>
    <col min="11" max="19" width="12.6640625" bestFit="1" customWidth="1"/>
    <col min="20" max="20" width="12.6640625" customWidth="1"/>
    <col min="21" max="23" width="12.6640625" bestFit="1" customWidth="1"/>
    <col min="24" max="24" width="10.6640625" bestFit="1" customWidth="1"/>
  </cols>
  <sheetData>
    <row r="1" spans="1:10" ht="31.2" x14ac:dyDescent="0.6">
      <c r="A1" s="54" t="s">
        <v>46</v>
      </c>
      <c r="B1" s="23"/>
      <c r="J1"/>
    </row>
    <row r="2" spans="1:10" ht="21" x14ac:dyDescent="0.4">
      <c r="A2" s="9"/>
    </row>
    <row r="3" spans="1:10" x14ac:dyDescent="0.3">
      <c r="A3" s="3" t="s">
        <v>29</v>
      </c>
      <c r="E3" s="6"/>
      <c r="F3" s="6"/>
      <c r="G3" s="6"/>
      <c r="H3" s="6"/>
      <c r="I3" s="6"/>
      <c r="J3" s="2">
        <f>SUM(E5:I5)</f>
        <v>70</v>
      </c>
    </row>
    <row r="4" spans="1:10" x14ac:dyDescent="0.3">
      <c r="A4" s="3" t="s">
        <v>58</v>
      </c>
      <c r="E4" s="6"/>
      <c r="F4" s="6"/>
      <c r="G4" s="6"/>
      <c r="H4" s="6"/>
      <c r="I4" s="6"/>
      <c r="J4" s="2">
        <v>5</v>
      </c>
    </row>
    <row r="5" spans="1:10" x14ac:dyDescent="0.3">
      <c r="A5" t="s">
        <v>26</v>
      </c>
      <c r="D5" s="6">
        <v>100</v>
      </c>
      <c r="E5" s="6">
        <v>12</v>
      </c>
      <c r="F5" s="6">
        <v>18</v>
      </c>
      <c r="G5" s="6">
        <v>13</v>
      </c>
      <c r="H5" s="6">
        <v>16</v>
      </c>
      <c r="I5" s="6">
        <v>11</v>
      </c>
      <c r="J5" s="2">
        <f>J3-J4</f>
        <v>65</v>
      </c>
    </row>
    <row r="6" spans="1:10" x14ac:dyDescent="0.3">
      <c r="A6" s="5" t="s">
        <v>0</v>
      </c>
      <c r="B6" s="1" t="s">
        <v>1</v>
      </c>
      <c r="C6" s="1" t="s">
        <v>2</v>
      </c>
      <c r="D6" s="53" t="s">
        <v>30</v>
      </c>
      <c r="E6" s="33" t="s">
        <v>3</v>
      </c>
      <c r="F6" s="33" t="s">
        <v>4</v>
      </c>
      <c r="G6" s="33" t="s">
        <v>5</v>
      </c>
      <c r="H6" s="33" t="s">
        <v>6</v>
      </c>
      <c r="I6" s="33" t="s">
        <v>7</v>
      </c>
      <c r="J6" s="52" t="s">
        <v>29</v>
      </c>
    </row>
    <row r="7" spans="1:10" x14ac:dyDescent="0.3">
      <c r="A7" s="32" t="str">
        <f>IF(NOT(ISBLANK(Ulwazi!$D2)),TRIM(LEFT(Ulwazi!$D2,FIND("@",Ulwazi!$D2)-1)),"")</f>
        <v/>
      </c>
      <c r="B7" t="str">
        <f>IF(NOT(ISBLANK(Ulwazi!$B2)),Ulwazi!$B2,"")</f>
        <v/>
      </c>
      <c r="C7" s="7" t="str">
        <f>IF(NOT(ISBLANK(Ulwazi!$A2)),Ulwazi!$A2,"")</f>
        <v/>
      </c>
      <c r="D7" s="11" t="str">
        <f>IF(ISNUMBER(Test[Total]),ROUND(Test[Total]/$J$5*100,0),"")</f>
        <v/>
      </c>
      <c r="E7" s="6"/>
      <c r="F7" s="6"/>
      <c r="G7" s="6"/>
      <c r="H7" s="6"/>
      <c r="I7" s="6"/>
      <c r="J7" s="6" t="str">
        <f>IF(NOT($A7=""),(IF(COUNTBLANK(Test[[#This Row],[Q1]:[Q5]])=0,SUM(Test[[#This Row],[Q1]:[Q5]]),"")),"")</f>
        <v/>
      </c>
    </row>
    <row r="8" spans="1:10" x14ac:dyDescent="0.3">
      <c r="A8" s="32" t="str">
        <f>IF(NOT(ISBLANK(Ulwazi!$D3)),TRIM(LEFT(Ulwazi!$D3,FIND("@",Ulwazi!$D3)-1)),"")</f>
        <v/>
      </c>
      <c r="B8" t="str">
        <f>IF(NOT(ISBLANK(Ulwazi!$B3)),Ulwazi!$B3,"")</f>
        <v/>
      </c>
      <c r="C8" s="7" t="str">
        <f>IF(NOT(ISBLANK(Ulwazi!$A3)),Ulwazi!$A3,"")</f>
        <v/>
      </c>
      <c r="D8" s="11" t="str">
        <f>IF(ISNUMBER(Test[Total]),ROUND(Test[Total]/$J$5*100,0),"")</f>
        <v/>
      </c>
      <c r="E8" s="6"/>
      <c r="F8" s="6"/>
      <c r="G8" s="6"/>
      <c r="H8" s="6"/>
      <c r="I8" s="6"/>
      <c r="J8" s="6" t="str">
        <f>IF(NOT($A8=""),(IF(COUNTBLANK(Test[[#This Row],[Q1]:[Q5]])=0,SUM(Test[[#This Row],[Q1]:[Q5]]),"")),"")</f>
        <v/>
      </c>
    </row>
    <row r="9" spans="1:10" x14ac:dyDescent="0.3">
      <c r="A9" s="32" t="str">
        <f>IF(NOT(ISBLANK(Ulwazi!$D4)),TRIM(LEFT(Ulwazi!$D4,FIND("@",Ulwazi!$D4)-1)),"")</f>
        <v/>
      </c>
      <c r="B9" t="str">
        <f>IF(NOT(ISBLANK(Ulwazi!$B4)),Ulwazi!$B4,"")</f>
        <v/>
      </c>
      <c r="C9" s="7" t="str">
        <f>IF(NOT(ISBLANK(Ulwazi!$A4)),Ulwazi!$A4,"")</f>
        <v/>
      </c>
      <c r="D9" s="11" t="str">
        <f>IF(ISNUMBER(Test[Total]),ROUND(Test[Total]/$J$5*100,0),"")</f>
        <v/>
      </c>
      <c r="E9" s="6"/>
      <c r="F9" s="6"/>
      <c r="G9" s="6"/>
      <c r="H9" s="6"/>
      <c r="I9" s="6"/>
      <c r="J9" s="6" t="str">
        <f>IF(NOT($A9=""),(IF(COUNTBLANK(Test[[#This Row],[Q1]:[Q5]])=0,SUM(Test[[#This Row],[Q1]:[Q5]]),"")),"")</f>
        <v/>
      </c>
    </row>
    <row r="10" spans="1:10" x14ac:dyDescent="0.3">
      <c r="A10" s="32" t="str">
        <f>IF(NOT(ISBLANK(Ulwazi!$D5)),TRIM(LEFT(Ulwazi!$D5,FIND("@",Ulwazi!$D5)-1)),"")</f>
        <v/>
      </c>
      <c r="B10" t="str">
        <f>IF(NOT(ISBLANK(Ulwazi!$B5)),Ulwazi!$B5,"")</f>
        <v/>
      </c>
      <c r="C10" s="7" t="str">
        <f>IF(NOT(ISBLANK(Ulwazi!$A5)),Ulwazi!$A5,"")</f>
        <v/>
      </c>
      <c r="D10" s="11" t="str">
        <f>IF(ISNUMBER(Test[Total]),ROUND(Test[Total]/$J$5*100,0),"")</f>
        <v/>
      </c>
      <c r="E10" s="6"/>
      <c r="F10" s="6"/>
      <c r="G10" s="6"/>
      <c r="H10" s="6"/>
      <c r="I10" s="6"/>
      <c r="J10" s="6" t="str">
        <f>IF(NOT($A10=""),(IF(COUNTBLANK(Test[[#This Row],[Q1]:[Q5]])=0,SUM(Test[[#This Row],[Q1]:[Q5]]),"")),"")</f>
        <v/>
      </c>
    </row>
    <row r="11" spans="1:10" x14ac:dyDescent="0.3">
      <c r="A11" s="32" t="str">
        <f>IF(NOT(ISBLANK(Ulwazi!$D6)),TRIM(LEFT(Ulwazi!$D6,FIND("@",Ulwazi!$D6)-1)),"")</f>
        <v/>
      </c>
      <c r="B11" t="str">
        <f>IF(NOT(ISBLANK(Ulwazi!$B6)),Ulwazi!$B6,"")</f>
        <v/>
      </c>
      <c r="C11" s="7" t="str">
        <f>IF(NOT(ISBLANK(Ulwazi!$A6)),Ulwazi!$A6,"")</f>
        <v/>
      </c>
      <c r="D11" s="11" t="str">
        <f>IF(ISNUMBER(Test[Total]),ROUND(Test[Total]/$J$5*100,0),"")</f>
        <v/>
      </c>
      <c r="E11" s="6"/>
      <c r="F11" s="6"/>
      <c r="G11" s="6"/>
      <c r="H11" s="6"/>
      <c r="I11" s="6"/>
      <c r="J11" s="6" t="str">
        <f>IF(NOT($A11=""),(IF(COUNTBLANK(Test[[#This Row],[Q1]:[Q5]])=0,SUM(Test[[#This Row],[Q1]:[Q5]]),"")),"")</f>
        <v/>
      </c>
    </row>
    <row r="12" spans="1:10" x14ac:dyDescent="0.3">
      <c r="A12" s="7"/>
      <c r="B12" s="7" t="s">
        <v>9</v>
      </c>
      <c r="C12" s="7"/>
      <c r="D12" s="8" t="str">
        <f>IF(COUNT(Test[Total (%)])&gt;0,TEXT(AVERAGE(Test[Total (%)]),"0.0")&amp; "  (" &amp; TEXT(AVERAGE(Test[Total (%)])/D$5*100,"###") &amp; "%)","")</f>
        <v/>
      </c>
      <c r="E12" s="8" t="str">
        <f>IF(COUNT(Test[Q1])&gt;0,TEXT(AVERAGE(Test[Q1]),"0.0")&amp; "  (" &amp; TEXT(AVERAGE(Test[Q1])/E$5*100,"###") &amp; "%)","")</f>
        <v/>
      </c>
      <c r="F12" s="8" t="str">
        <f>IF(COUNT(Test[Q2])&gt;0,TEXT(AVERAGE(Test[Q2]),"0.0")&amp; "  (" &amp; TEXT(AVERAGE(Test[Q2])/F$5*100,"###") &amp; "%)","")</f>
        <v/>
      </c>
      <c r="G12" s="8" t="str">
        <f>IF(COUNT(Test[Q3])&gt;0,TEXT(AVERAGE(Test[Q3]),"0.0")&amp; "  (" &amp; TEXT(AVERAGE(Test[Q3])/G$5*100,"###") &amp; "%)","")</f>
        <v/>
      </c>
      <c r="H12" s="8" t="str">
        <f>IF(COUNT(Test[Q4])&gt;0,TEXT(AVERAGE(Test[Q4]),"0.0")&amp; "  (" &amp; TEXT(AVERAGE(Test[Q4])/H$5*100,"###") &amp; "%)","")</f>
        <v/>
      </c>
      <c r="I12" s="8" t="str">
        <f>IF(COUNT(Test[Q5])&gt;0,TEXT(AVERAGE(Test[Q5]),"0.0")&amp; "  (" &amp; TEXT(AVERAGE(Test[Q5])/I$5*100,"###") &amp; "%)","")</f>
        <v/>
      </c>
      <c r="J12" s="6" t="str">
        <f>IF(COUNT(#REF!)&gt;0,TEXT(AVERAGE(#REF!),"0.0")&amp; "  (" &amp; TEXT(AVERAGE(#REF!)/J$5*100,"###") &amp; "%)","")</f>
        <v/>
      </c>
    </row>
  </sheetData>
  <conditionalFormatting sqref="D7:D11 J7:J11">
    <cfRule type="expression" dxfId="4" priority="1">
      <formula>IF(ISNUMBER(D7),OR(D7&lt;0,D7&gt;D$5))</formula>
    </cfRule>
  </conditionalFormatting>
  <dataValidations count="1">
    <dataValidation type="custom" allowBlank="1" showInputMessage="1" showErrorMessage="1" sqref="D7:J11">
      <formula1>OR(AND(ISNUMBER(D7),D7&gt;=0,D7&lt;=D$5),D7="")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9.9978637043366805E-2"/>
  </sheetPr>
  <dimension ref="A1:F12"/>
  <sheetViews>
    <sheetView workbookViewId="0">
      <selection activeCell="C23" sqref="C23"/>
    </sheetView>
  </sheetViews>
  <sheetFormatPr defaultColWidth="9.109375" defaultRowHeight="14.4" x14ac:dyDescent="0.3"/>
  <cols>
    <col min="1" max="1" width="12.33203125" customWidth="1"/>
    <col min="2" max="2" width="12.5546875" customWidth="1"/>
    <col min="3" max="3" width="14.33203125" customWidth="1"/>
    <col min="4" max="4" width="12.6640625" bestFit="1" customWidth="1"/>
    <col min="5" max="5" width="10.5546875" style="2" customWidth="1"/>
    <col min="7" max="16" width="12.6640625" bestFit="1" customWidth="1"/>
    <col min="17" max="17" width="12.6640625" customWidth="1"/>
    <col min="18" max="20" width="12.6640625" bestFit="1" customWidth="1"/>
    <col min="21" max="21" width="10.6640625" bestFit="1" customWidth="1"/>
  </cols>
  <sheetData>
    <row r="1" spans="1:6" ht="31.2" x14ac:dyDescent="0.6">
      <c r="A1" s="54" t="s">
        <v>49</v>
      </c>
      <c r="B1" s="23"/>
      <c r="E1"/>
    </row>
    <row r="2" spans="1:6" ht="21" x14ac:dyDescent="0.4">
      <c r="A2" s="9"/>
    </row>
    <row r="3" spans="1:6" x14ac:dyDescent="0.3">
      <c r="A3" s="3" t="s">
        <v>29</v>
      </c>
      <c r="E3" s="2">
        <v>100</v>
      </c>
      <c r="F3" s="7"/>
    </row>
    <row r="4" spans="1:6" x14ac:dyDescent="0.3">
      <c r="A4" s="3" t="s">
        <v>58</v>
      </c>
      <c r="E4" s="2">
        <v>0</v>
      </c>
      <c r="F4" s="7"/>
    </row>
    <row r="5" spans="1:6" x14ac:dyDescent="0.3">
      <c r="A5" t="s">
        <v>26</v>
      </c>
      <c r="D5" s="6">
        <v>100</v>
      </c>
      <c r="E5" s="2">
        <f>E3-E4</f>
        <v>100</v>
      </c>
      <c r="F5" s="7"/>
    </row>
    <row r="6" spans="1:6" x14ac:dyDescent="0.3">
      <c r="A6" s="5" t="s">
        <v>0</v>
      </c>
      <c r="B6" s="1" t="s">
        <v>1</v>
      </c>
      <c r="C6" s="1" t="s">
        <v>2</v>
      </c>
      <c r="D6" s="53" t="s">
        <v>30</v>
      </c>
      <c r="E6" s="39" t="s">
        <v>29</v>
      </c>
      <c r="F6" s="7"/>
    </row>
    <row r="7" spans="1:6" x14ac:dyDescent="0.3">
      <c r="A7" s="32" t="str">
        <f>IF(NOT(ISBLANK(Ulwazi!$D2)),TRIM(LEFT(Ulwazi!$D2,FIND("@",Ulwazi!$D2)-1)),"")</f>
        <v/>
      </c>
      <c r="B7" t="str">
        <f>IF(NOT(ISBLANK(Ulwazi!$B2)),Ulwazi!$B2,"")</f>
        <v/>
      </c>
      <c r="C7" s="7" t="str">
        <f>IF(NOT(ISBLANK(Ulwazi!$A2)),Ulwazi!$A2,"")</f>
        <v/>
      </c>
      <c r="D7" s="11" t="str">
        <f>IF(ISNUMBER(Project[[#This Row],[Total]]),ROUND(Project[[#This Row],[Total]]/$E$5*100,0),"")</f>
        <v/>
      </c>
      <c r="E7" s="6"/>
    </row>
    <row r="8" spans="1:6" x14ac:dyDescent="0.3">
      <c r="A8" s="32" t="str">
        <f>IF(NOT(ISBLANK(Ulwazi!$D3)),TRIM(LEFT(Ulwazi!$D3,FIND("@",Ulwazi!$D3)-1)),"")</f>
        <v/>
      </c>
      <c r="B8" t="str">
        <f>IF(NOT(ISBLANK(Ulwazi!$B3)),Ulwazi!$B3,"")</f>
        <v/>
      </c>
      <c r="C8" s="7" t="str">
        <f>IF(NOT(ISBLANK(Ulwazi!$A3)),Ulwazi!$A3,"")</f>
        <v/>
      </c>
      <c r="D8" s="11" t="str">
        <f>IF(ISNUMBER(Project[[#This Row],[Total]]),ROUND(Project[[#This Row],[Total]]/$E$5*100,0),"")</f>
        <v/>
      </c>
      <c r="E8" s="6"/>
    </row>
    <row r="9" spans="1:6" x14ac:dyDescent="0.3">
      <c r="A9" s="32" t="str">
        <f>IF(NOT(ISBLANK(Ulwazi!$D4)),TRIM(LEFT(Ulwazi!$D4,FIND("@",Ulwazi!$D4)-1)),"")</f>
        <v/>
      </c>
      <c r="B9" t="str">
        <f>IF(NOT(ISBLANK(Ulwazi!$B4)),Ulwazi!$B4,"")</f>
        <v/>
      </c>
      <c r="C9" s="7" t="str">
        <f>IF(NOT(ISBLANK(Ulwazi!$A4)),Ulwazi!$A4,"")</f>
        <v/>
      </c>
      <c r="D9" s="11" t="str">
        <f>IF(ISNUMBER(Project[[#This Row],[Total]]),ROUND(Project[[#This Row],[Total]]/$E$5*100,0),"")</f>
        <v/>
      </c>
      <c r="E9" s="6"/>
    </row>
    <row r="10" spans="1:6" x14ac:dyDescent="0.3">
      <c r="A10" s="32" t="str">
        <f>IF(NOT(ISBLANK(Ulwazi!$D5)),TRIM(LEFT(Ulwazi!$D5,FIND("@",Ulwazi!$D5)-1)),"")</f>
        <v/>
      </c>
      <c r="B10" t="str">
        <f>IF(NOT(ISBLANK(Ulwazi!$B5)),Ulwazi!$B5,"")</f>
        <v/>
      </c>
      <c r="C10" s="7" t="str">
        <f>IF(NOT(ISBLANK(Ulwazi!$A5)),Ulwazi!$A5,"")</f>
        <v/>
      </c>
      <c r="D10" s="11" t="str">
        <f>IF(ISNUMBER(Project[[#This Row],[Total]]),ROUND(Project[[#This Row],[Total]]/$E$5*100,0),"")</f>
        <v/>
      </c>
      <c r="E10" s="6"/>
    </row>
    <row r="11" spans="1:6" x14ac:dyDescent="0.3">
      <c r="A11" s="32" t="str">
        <f>IF(NOT(ISBLANK(Ulwazi!$D6)),TRIM(LEFT(Ulwazi!$D6,FIND("@",Ulwazi!$D6)-1)),"")</f>
        <v/>
      </c>
      <c r="B11" t="str">
        <f>IF(NOT(ISBLANK(Ulwazi!$B6)),Ulwazi!$B6,"")</f>
        <v/>
      </c>
      <c r="C11" s="7" t="str">
        <f>IF(NOT(ISBLANK(Ulwazi!$A6)),Ulwazi!$A6,"")</f>
        <v/>
      </c>
      <c r="D11" s="11" t="str">
        <f>IF(ISNUMBER(Project[[#This Row],[Total]]),ROUND(Project[[#This Row],[Total]]/$E$5*100,0),"")</f>
        <v/>
      </c>
      <c r="E11" s="6"/>
    </row>
    <row r="12" spans="1:6" x14ac:dyDescent="0.3">
      <c r="A12" s="7"/>
      <c r="B12" s="7" t="s">
        <v>9</v>
      </c>
      <c r="C12" s="7"/>
      <c r="D12" s="8" t="str">
        <f>IF(COUNT(Project[Total (%)])&gt;0,TEXT(AVERAGE(Project[Total (%)]),"0.0")&amp; "  (" &amp; TEXT(AVERAGE(Project[Total (%)])/D$5*100,"###") &amp; "%)","")</f>
        <v/>
      </c>
      <c r="E12" s="8" t="str">
        <f>IF(COUNT(Project[Total])&gt;0,TEXT(AVERAGE(Project[Total]),"0.0")&amp; "  (" &amp; TEXT(AVERAGE(Project[Total])/E$5*100,"###") &amp; "%)","")</f>
        <v/>
      </c>
    </row>
  </sheetData>
  <conditionalFormatting sqref="D7:E11">
    <cfRule type="expression" dxfId="3" priority="1">
      <formula>IF(ISNUMBER(D7),OR(D7&lt;0,D7&gt;D$5))</formula>
    </cfRule>
  </conditionalFormatting>
  <dataValidations count="1">
    <dataValidation type="custom" allowBlank="1" showInputMessage="1" showErrorMessage="1" sqref="D7:E11">
      <formula1>OR(AND(ISNUMBER(D7),D7&gt;=0,D7&lt;=D$5),D7="")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J12"/>
  <sheetViews>
    <sheetView workbookViewId="0">
      <selection activeCell="J11" sqref="J11"/>
    </sheetView>
  </sheetViews>
  <sheetFormatPr defaultColWidth="9.109375" defaultRowHeight="14.4" x14ac:dyDescent="0.3"/>
  <cols>
    <col min="1" max="1" width="12.33203125" customWidth="1"/>
    <col min="2" max="2" width="12.5546875" customWidth="1"/>
    <col min="3" max="3" width="14.33203125" customWidth="1"/>
    <col min="4" max="4" width="12.6640625" bestFit="1" customWidth="1"/>
    <col min="5" max="5" width="11.6640625" customWidth="1"/>
    <col min="6" max="9" width="11.6640625" style="2" customWidth="1"/>
    <col min="10" max="10" width="10.5546875" style="2" customWidth="1"/>
    <col min="11" max="20" width="12.6640625" bestFit="1" customWidth="1"/>
    <col min="21" max="21" width="12.6640625" customWidth="1"/>
    <col min="22" max="24" width="12.6640625" bestFit="1" customWidth="1"/>
    <col min="25" max="25" width="10.6640625" bestFit="1" customWidth="1"/>
  </cols>
  <sheetData>
    <row r="1" spans="1:10" ht="31.2" x14ac:dyDescent="0.6">
      <c r="A1" s="23" t="s">
        <v>8</v>
      </c>
      <c r="B1" s="23"/>
      <c r="E1" s="2"/>
      <c r="J1"/>
    </row>
    <row r="2" spans="1:10" ht="21" x14ac:dyDescent="0.4">
      <c r="A2" s="9"/>
      <c r="E2" s="2"/>
    </row>
    <row r="3" spans="1:10" x14ac:dyDescent="0.3">
      <c r="A3" s="3" t="s">
        <v>29</v>
      </c>
      <c r="E3" s="6"/>
      <c r="F3" s="6"/>
      <c r="G3" s="6"/>
      <c r="H3" s="6"/>
      <c r="I3" s="6"/>
      <c r="J3" s="2">
        <f>SUM(E5:I5)</f>
        <v>70</v>
      </c>
    </row>
    <row r="4" spans="1:10" x14ac:dyDescent="0.3">
      <c r="A4" s="3" t="s">
        <v>58</v>
      </c>
      <c r="E4" s="6"/>
      <c r="F4" s="6"/>
      <c r="G4" s="6"/>
      <c r="H4" s="6"/>
      <c r="I4" s="6"/>
      <c r="J4" s="2">
        <v>5</v>
      </c>
    </row>
    <row r="5" spans="1:10" x14ac:dyDescent="0.3">
      <c r="A5" t="s">
        <v>26</v>
      </c>
      <c r="D5" s="6">
        <v>100</v>
      </c>
      <c r="E5" s="6">
        <v>12</v>
      </c>
      <c r="F5" s="6">
        <v>18</v>
      </c>
      <c r="G5" s="6">
        <v>13</v>
      </c>
      <c r="H5" s="6">
        <v>16</v>
      </c>
      <c r="I5" s="6">
        <v>11</v>
      </c>
      <c r="J5" s="2">
        <f>J3-J4</f>
        <v>65</v>
      </c>
    </row>
    <row r="6" spans="1:10" x14ac:dyDescent="0.3">
      <c r="A6" s="5" t="s">
        <v>0</v>
      </c>
      <c r="B6" s="1" t="s">
        <v>1</v>
      </c>
      <c r="C6" s="1" t="s">
        <v>2</v>
      </c>
      <c r="D6" s="49" t="s">
        <v>30</v>
      </c>
      <c r="E6" s="33" t="s">
        <v>3</v>
      </c>
      <c r="F6" s="33" t="s">
        <v>4</v>
      </c>
      <c r="G6" s="33" t="s">
        <v>5</v>
      </c>
      <c r="H6" s="33" t="s">
        <v>6</v>
      </c>
      <c r="I6" s="33" t="s">
        <v>7</v>
      </c>
      <c r="J6" s="10" t="s">
        <v>29</v>
      </c>
    </row>
    <row r="7" spans="1:10" x14ac:dyDescent="0.3">
      <c r="A7" s="32" t="str">
        <f>IF(NOT(ISBLANK(Ulwazi!$D2)),TRIM(LEFT(Ulwazi!$D2,FIND("@",Ulwazi!$D2)-1)),"")</f>
        <v/>
      </c>
      <c r="B7" t="str">
        <f>IF(NOT(ISBLANK(Ulwazi!$B2)),Ulwazi!$B2,"")</f>
        <v/>
      </c>
      <c r="C7" s="7" t="str">
        <f>IF(NOT(ISBLANK(Ulwazi!$A2)),Ulwazi!$A2,"")</f>
        <v/>
      </c>
      <c r="D7" s="11" t="str">
        <f>IF(ISNUMBER(Exam[Total]),ROUND(Exam[Total]/$J$5*100,0),"")</f>
        <v/>
      </c>
      <c r="E7" s="6"/>
      <c r="F7" s="6"/>
      <c r="G7" s="6"/>
      <c r="H7" s="6"/>
      <c r="I7" s="6"/>
      <c r="J7" s="6" t="str">
        <f>IF(NOT($A7=""),(IF(COUNTBLANK(Exam[[#This Row],[Q1]:[Q5]])=0,SUM(Exam[[#This Row],[Q1]:[Q5]]),"")),"")</f>
        <v/>
      </c>
    </row>
    <row r="8" spans="1:10" x14ac:dyDescent="0.3">
      <c r="A8" s="32" t="str">
        <f>IF(NOT(ISBLANK(Ulwazi!$D3)),TRIM(LEFT(Ulwazi!$D3,FIND("@",Ulwazi!$D3)-1)),"")</f>
        <v/>
      </c>
      <c r="B8" t="str">
        <f>IF(NOT(ISBLANK(Ulwazi!$B3)),Ulwazi!$B3,"")</f>
        <v/>
      </c>
      <c r="C8" s="7" t="str">
        <f>IF(NOT(ISBLANK(Ulwazi!$A3)),Ulwazi!$A3,"")</f>
        <v/>
      </c>
      <c r="D8" s="11" t="str">
        <f>IF(ISNUMBER(Exam[Total]),ROUND(Exam[Total]/$J$5*100,0),"")</f>
        <v/>
      </c>
      <c r="E8" s="6"/>
      <c r="F8" s="6"/>
      <c r="G8" s="6"/>
      <c r="H8" s="6"/>
      <c r="I8" s="6"/>
      <c r="J8" s="6" t="str">
        <f>IF(NOT($A8=""),(IF(COUNTBLANK(Exam[[#This Row],[Q1]:[Q5]])=0,SUM(Exam[[#This Row],[Q1]:[Q5]]),"")),"")</f>
        <v/>
      </c>
    </row>
    <row r="9" spans="1:10" x14ac:dyDescent="0.3">
      <c r="A9" s="32" t="str">
        <f>IF(NOT(ISBLANK(Ulwazi!$D4)),TRIM(LEFT(Ulwazi!$D4,FIND("@",Ulwazi!$D4)-1)),"")</f>
        <v/>
      </c>
      <c r="B9" t="str">
        <f>IF(NOT(ISBLANK(Ulwazi!$B4)),Ulwazi!$B4,"")</f>
        <v/>
      </c>
      <c r="C9" s="7" t="str">
        <f>IF(NOT(ISBLANK(Ulwazi!$A4)),Ulwazi!$A4,"")</f>
        <v/>
      </c>
      <c r="D9" s="11" t="str">
        <f>IF(ISNUMBER(Exam[Total]),ROUND(Exam[Total]/$J$5*100,0),"")</f>
        <v/>
      </c>
      <c r="E9" s="6"/>
      <c r="F9" s="6"/>
      <c r="G9" s="6"/>
      <c r="H9" s="6"/>
      <c r="I9" s="6"/>
      <c r="J9" s="6" t="str">
        <f>IF(NOT($A9=""),(IF(COUNTBLANK(Exam[[#This Row],[Q1]:[Q5]])=0,SUM(Exam[[#This Row],[Q1]:[Q5]]),"")),"")</f>
        <v/>
      </c>
    </row>
    <row r="10" spans="1:10" x14ac:dyDescent="0.3">
      <c r="A10" s="32" t="str">
        <f>IF(NOT(ISBLANK(Ulwazi!$D5)),TRIM(LEFT(Ulwazi!$D5,FIND("@",Ulwazi!$D5)-1)),"")</f>
        <v/>
      </c>
      <c r="B10" t="str">
        <f>IF(NOT(ISBLANK(Ulwazi!$B5)),Ulwazi!$B5,"")</f>
        <v/>
      </c>
      <c r="C10" s="7" t="str">
        <f>IF(NOT(ISBLANK(Ulwazi!$A5)),Ulwazi!$A5,"")</f>
        <v/>
      </c>
      <c r="D10" s="11" t="str">
        <f>IF(ISNUMBER(Exam[Total]),ROUND(Exam[Total]/$J$5*100,0),"")</f>
        <v/>
      </c>
      <c r="E10" s="6"/>
      <c r="F10" s="6"/>
      <c r="G10" s="6"/>
      <c r="H10" s="6"/>
      <c r="I10" s="6"/>
      <c r="J10" s="6" t="str">
        <f>IF(NOT($A10=""),(IF(COUNTBLANK(Exam[[#This Row],[Q1]:[Q5]])=0,SUM(Exam[[#This Row],[Q1]:[Q5]]),"")),"")</f>
        <v/>
      </c>
    </row>
    <row r="11" spans="1:10" x14ac:dyDescent="0.3">
      <c r="A11" s="32" t="str">
        <f>IF(NOT(ISBLANK(Ulwazi!$D6)),TRIM(LEFT(Ulwazi!$D6,FIND("@",Ulwazi!$D6)-1)),"")</f>
        <v/>
      </c>
      <c r="B11" t="str">
        <f>IF(NOT(ISBLANK(Ulwazi!$B6)),Ulwazi!$B6,"")</f>
        <v/>
      </c>
      <c r="C11" s="7" t="str">
        <f>IF(NOT(ISBLANK(Ulwazi!$A6)),Ulwazi!$A6,"")</f>
        <v/>
      </c>
      <c r="D11" s="11" t="str">
        <f>IF(ISNUMBER(Exam[Total]),ROUND(Exam[Total]/$J$5*100,0),"")</f>
        <v/>
      </c>
      <c r="E11" s="6"/>
      <c r="F11" s="6"/>
      <c r="G11" s="6"/>
      <c r="H11" s="6"/>
      <c r="I11" s="6"/>
      <c r="J11" s="6" t="str">
        <f>IF(NOT($A11=""),(IF(COUNTBLANK(Exam[[#This Row],[Q1]:[Q5]])=0,SUM(Exam[[#This Row],[Q1]:[Q5]]),"")),"")</f>
        <v/>
      </c>
    </row>
    <row r="12" spans="1:10" x14ac:dyDescent="0.3">
      <c r="A12" s="7"/>
      <c r="B12" s="7" t="s">
        <v>9</v>
      </c>
      <c r="C12" s="7"/>
      <c r="D12" s="8" t="str">
        <f>IF(COUNT(Exam[Total (%)])&gt;0,TEXT(AVERAGE(Exam[Total (%)]),"0.0")&amp; "  (" &amp; TEXT(AVERAGE(Exam[Total (%)])/D$5*100,"###") &amp; "%)","")</f>
        <v/>
      </c>
      <c r="E12" s="8" t="str">
        <f>IF(COUNT(Exam[Q1])&gt;0,TEXT(AVERAGE(Exam[Q1]),"0.0")&amp; "  (" &amp; TEXT(AVERAGE(Exam[Q1])/E$5*100,"###") &amp; "%)","")</f>
        <v/>
      </c>
      <c r="F12" s="8" t="str">
        <f>IF(COUNT(Exam[Q2])&gt;0,TEXT(AVERAGE(Exam[Q2]),"0.0")&amp; "  (" &amp; TEXT(AVERAGE(Exam[Q2])/F$5*100,"###") &amp; "%)","")</f>
        <v/>
      </c>
      <c r="G12" s="8" t="str">
        <f>IF(COUNT(Exam[Q3])&gt;0,TEXT(AVERAGE(Exam[Q3]),"0.0")&amp; "  (" &amp; TEXT(AVERAGE(Exam[Q3])/G$5*100,"###") &amp; "%)","")</f>
        <v/>
      </c>
      <c r="H12" s="8" t="str">
        <f>IF(COUNT(Exam[Q4])&gt;0,TEXT(AVERAGE(Exam[Q4]),"0.0")&amp; "  (" &amp; TEXT(AVERAGE(Exam[Q4])/H$5*100,"###") &amp; "%)","")</f>
        <v/>
      </c>
      <c r="I12" s="8" t="str">
        <f>IF(COUNT(Exam[Q5])&gt;0,TEXT(AVERAGE(Exam[Q5]),"0.0")&amp; "  (" &amp; TEXT(AVERAGE(Exam[Q5])/I$5*100,"###") &amp; "%)","")</f>
        <v/>
      </c>
      <c r="J12" s="8" t="str">
        <f>IF(COUNT(Exam[Total])&gt;0,TEXT(AVERAGE(Exam[Total]),"0.0")&amp; "  (" &amp; TEXT(AVERAGE(Exam[Total])/J$5*100,"###") &amp; "%)","")</f>
        <v/>
      </c>
    </row>
  </sheetData>
  <conditionalFormatting sqref="D7:D11 J7:J11">
    <cfRule type="expression" dxfId="2" priority="21">
      <formula>IF(ISNUMBER(D7),OR(D7&lt;0,D7&gt;D$5))</formula>
    </cfRule>
  </conditionalFormatting>
  <dataValidations count="1">
    <dataValidation type="custom" allowBlank="1" showInputMessage="1" showErrorMessage="1" sqref="D7:J11">
      <formula1>OR(AND(ISNUMBER(D7),D7&gt;=0,D7&lt;=D$5),D7="")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J12"/>
  <sheetViews>
    <sheetView workbookViewId="0">
      <selection activeCell="L23" sqref="L23"/>
    </sheetView>
  </sheetViews>
  <sheetFormatPr defaultColWidth="9.109375" defaultRowHeight="14.4" x14ac:dyDescent="0.3"/>
  <cols>
    <col min="1" max="1" width="12.33203125" customWidth="1"/>
    <col min="2" max="2" width="12.5546875" customWidth="1"/>
    <col min="3" max="3" width="14.33203125" customWidth="1"/>
    <col min="4" max="4" width="12.6640625" bestFit="1" customWidth="1"/>
    <col min="5" max="9" width="11.6640625" style="2" customWidth="1"/>
    <col min="10" max="10" width="10.5546875" style="2" customWidth="1"/>
    <col min="11" max="18" width="12.6640625" bestFit="1" customWidth="1"/>
    <col min="19" max="19" width="12.6640625" customWidth="1"/>
    <col min="20" max="22" width="12.6640625" bestFit="1" customWidth="1"/>
    <col min="23" max="23" width="10.6640625" bestFit="1" customWidth="1"/>
  </cols>
  <sheetData>
    <row r="1" spans="1:10" ht="31.2" x14ac:dyDescent="0.6">
      <c r="A1" s="23" t="s">
        <v>33</v>
      </c>
      <c r="B1" s="23"/>
      <c r="C1" s="7"/>
      <c r="J1"/>
    </row>
    <row r="2" spans="1:10" ht="21" x14ac:dyDescent="0.4">
      <c r="A2" s="9"/>
    </row>
    <row r="3" spans="1:10" x14ac:dyDescent="0.3">
      <c r="A3" s="3" t="s">
        <v>29</v>
      </c>
      <c r="J3" s="2">
        <f>SUM(E5:I5)</f>
        <v>70</v>
      </c>
    </row>
    <row r="4" spans="1:10" x14ac:dyDescent="0.3">
      <c r="A4" s="3" t="s">
        <v>58</v>
      </c>
      <c r="E4" s="6"/>
      <c r="F4" s="6"/>
      <c r="G4" s="6"/>
      <c r="H4" s="6"/>
      <c r="I4" s="6"/>
      <c r="J4" s="2">
        <v>5</v>
      </c>
    </row>
    <row r="5" spans="1:10" x14ac:dyDescent="0.3">
      <c r="A5" t="s">
        <v>26</v>
      </c>
      <c r="D5" s="2">
        <v>100</v>
      </c>
      <c r="E5" s="6">
        <v>15</v>
      </c>
      <c r="F5" s="6">
        <v>13</v>
      </c>
      <c r="G5" s="6">
        <v>12</v>
      </c>
      <c r="H5" s="6">
        <v>18</v>
      </c>
      <c r="I5" s="6">
        <v>12</v>
      </c>
      <c r="J5" s="2">
        <f>J3-J4</f>
        <v>65</v>
      </c>
    </row>
    <row r="6" spans="1:10" x14ac:dyDescent="0.3">
      <c r="A6" s="5" t="s">
        <v>0</v>
      </c>
      <c r="B6" s="1" t="s">
        <v>1</v>
      </c>
      <c r="C6" s="1" t="s">
        <v>2</v>
      </c>
      <c r="D6" s="49" t="s">
        <v>30</v>
      </c>
      <c r="E6" s="33" t="s">
        <v>3</v>
      </c>
      <c r="F6" s="33" t="s">
        <v>4</v>
      </c>
      <c r="G6" s="33" t="s">
        <v>5</v>
      </c>
      <c r="H6" s="33" t="s">
        <v>6</v>
      </c>
      <c r="I6" s="33" t="s">
        <v>7</v>
      </c>
      <c r="J6" s="52" t="s">
        <v>29</v>
      </c>
    </row>
    <row r="7" spans="1:10" x14ac:dyDescent="0.3">
      <c r="A7" s="32" t="str">
        <f>IF(NOT(ISBLANK(Ulwazi!$D2)),TRIM(LEFT(Ulwazi!$D2,FIND("@",Ulwazi!$D2)-1)),"")</f>
        <v/>
      </c>
      <c r="B7" t="str">
        <f>IF(NOT(ISBLANK(Ulwazi!$B2)),Ulwazi!$B2,"")</f>
        <v/>
      </c>
      <c r="C7" s="7" t="str">
        <f>IF(NOT(ISBLANK(Ulwazi!$A2)),Ulwazi!$A2,"")</f>
        <v/>
      </c>
      <c r="D7" s="11" t="str">
        <f>IF(ISNUMBER(Def[Total]),ROUND(Def[Total]/$J$5*100,0),"")</f>
        <v/>
      </c>
      <c r="E7" s="6"/>
      <c r="F7" s="6"/>
      <c r="G7" s="6"/>
      <c r="H7" s="6"/>
      <c r="I7" s="6"/>
      <c r="J7" s="6" t="str">
        <f>IF(NOT($A7=""),(IF(COUNTBLANK(Def[[#This Row],[Q1]:[Q5]])=0,SUM(Def[[#This Row],[Q1]:[Q5]]),"")),"")</f>
        <v/>
      </c>
    </row>
    <row r="8" spans="1:10" x14ac:dyDescent="0.3">
      <c r="A8" s="32" t="str">
        <f>IF(NOT(ISBLANK(Ulwazi!$D3)),TRIM(LEFT(Ulwazi!$D3,FIND("@",Ulwazi!$D3)-1)),"")</f>
        <v/>
      </c>
      <c r="B8" t="str">
        <f>IF(NOT(ISBLANK(Ulwazi!$B3)),Ulwazi!$B3,"")</f>
        <v/>
      </c>
      <c r="C8" s="7" t="str">
        <f>IF(NOT(ISBLANK(Ulwazi!$A3)),Ulwazi!$A3,"")</f>
        <v/>
      </c>
      <c r="D8" s="11" t="str">
        <f>IF(ISNUMBER(Def[Total]),ROUND(Def[Total]/$J$5*100,0),"")</f>
        <v/>
      </c>
      <c r="E8" s="6"/>
      <c r="F8" s="6"/>
      <c r="G8" s="6"/>
      <c r="H8" s="6"/>
      <c r="I8" s="6"/>
      <c r="J8" s="6" t="str">
        <f>IF(NOT($A8=""),(IF(COUNTBLANK(Def[[#This Row],[Q1]:[Q5]])=0,SUM(Def[[#This Row],[Q1]:[Q5]]),"")),"")</f>
        <v/>
      </c>
    </row>
    <row r="9" spans="1:10" x14ac:dyDescent="0.3">
      <c r="A9" s="32" t="str">
        <f>IF(NOT(ISBLANK(Ulwazi!$D4)),TRIM(LEFT(Ulwazi!$D4,FIND("@",Ulwazi!$D4)-1)),"")</f>
        <v/>
      </c>
      <c r="B9" t="str">
        <f>IF(NOT(ISBLANK(Ulwazi!$B4)),Ulwazi!$B4,"")</f>
        <v/>
      </c>
      <c r="C9" s="7" t="str">
        <f>IF(NOT(ISBLANK(Ulwazi!$A4)),Ulwazi!$A4,"")</f>
        <v/>
      </c>
      <c r="D9" s="11" t="str">
        <f>IF(ISNUMBER(Def[Total]),ROUND(Def[Total]/$J$5*100,0),"")</f>
        <v/>
      </c>
      <c r="E9" s="6"/>
      <c r="F9" s="6"/>
      <c r="G9" s="6"/>
      <c r="H9" s="6"/>
      <c r="I9" s="6"/>
      <c r="J9" s="6" t="str">
        <f>IF(NOT($A9=""),(IF(COUNTBLANK(Def[[#This Row],[Q1]:[Q5]])=0,SUM(Def[[#This Row],[Q1]:[Q5]]),"")),"")</f>
        <v/>
      </c>
    </row>
    <row r="10" spans="1:10" x14ac:dyDescent="0.3">
      <c r="A10" s="32" t="str">
        <f>IF(NOT(ISBLANK(Ulwazi!$D5)),TRIM(LEFT(Ulwazi!$D5,FIND("@",Ulwazi!$D5)-1)),"")</f>
        <v/>
      </c>
      <c r="B10" t="str">
        <f>IF(NOT(ISBLANK(Ulwazi!$B5)),Ulwazi!$B5,"")</f>
        <v/>
      </c>
      <c r="C10" s="7" t="str">
        <f>IF(NOT(ISBLANK(Ulwazi!$A5)),Ulwazi!$A5,"")</f>
        <v/>
      </c>
      <c r="D10" s="11" t="str">
        <f>IF(ISNUMBER(Def[Total]),ROUND(Def[Total]/$J$5*100,0),"")</f>
        <v/>
      </c>
      <c r="E10" s="6"/>
      <c r="F10" s="6"/>
      <c r="G10" s="6"/>
      <c r="H10" s="6"/>
      <c r="I10" s="6"/>
      <c r="J10" s="6" t="str">
        <f>IF(NOT($A10=""),(IF(COUNTBLANK(Def[[#This Row],[Q1]:[Q5]])=0,SUM(Def[[#This Row],[Q1]:[Q5]]),"")),"")</f>
        <v/>
      </c>
    </row>
    <row r="11" spans="1:10" x14ac:dyDescent="0.3">
      <c r="A11" s="32" t="str">
        <f>IF(NOT(ISBLANK(Ulwazi!$D6)),TRIM(LEFT(Ulwazi!$D6,FIND("@",Ulwazi!$D6)-1)),"")</f>
        <v/>
      </c>
      <c r="B11" t="str">
        <f>IF(NOT(ISBLANK(Ulwazi!$B6)),Ulwazi!$B6,"")</f>
        <v/>
      </c>
      <c r="C11" s="7" t="str">
        <f>IF(NOT(ISBLANK(Ulwazi!$A6)),Ulwazi!$A6,"")</f>
        <v/>
      </c>
      <c r="D11" s="11" t="str">
        <f>IF(ISNUMBER(Def[Total]),ROUND(Def[Total]/$J$5*100,0),"")</f>
        <v/>
      </c>
      <c r="E11" s="6"/>
      <c r="F11" s="6"/>
      <c r="G11" s="6"/>
      <c r="H11" s="6"/>
      <c r="I11" s="6"/>
      <c r="J11" s="6" t="str">
        <f>IF(NOT($A11=""),(IF(COUNTBLANK(Def[[#This Row],[Q1]:[Q5]])=0,SUM(Def[[#This Row],[Q1]:[Q5]]),"")),"")</f>
        <v/>
      </c>
    </row>
    <row r="12" spans="1:10" x14ac:dyDescent="0.3">
      <c r="A12" s="7"/>
      <c r="B12" s="7" t="s">
        <v>9</v>
      </c>
      <c r="C12" s="7"/>
      <c r="D12" s="8" t="str">
        <f>IF(COUNT(Def[Total (%)])&gt;0,TEXT(AVERAGE(Def[Total (%)]),"0.0")&amp; "  (" &amp; TEXT(AVERAGE(Def[Total (%)])/D$5*100,"###") &amp; "%)","")</f>
        <v/>
      </c>
      <c r="E12" s="8" t="str">
        <f>IF(COUNT(Def[Q1])&gt;0,TEXT(AVERAGE(Def[Q1]),"0.0")&amp; "  (" &amp; TEXT(AVERAGE(Def[Q1])/E$5*100,"###") &amp; "%)","")</f>
        <v/>
      </c>
      <c r="F12" s="8" t="str">
        <f>IF(COUNT(Def[Q2])&gt;0,TEXT(AVERAGE(Def[Q2]),"0.0")&amp; "  (" &amp; TEXT(AVERAGE(Def[Q2])/F$5*100,"###") &amp; "%)","")</f>
        <v/>
      </c>
      <c r="G12" s="8" t="str">
        <f>IF(COUNT(Def[Q3])&gt;0,TEXT(AVERAGE(Def[Q3]),"0.0")&amp; "  (" &amp; TEXT(AVERAGE(Def[Q3])/G$5*100,"###") &amp; "%)","")</f>
        <v/>
      </c>
      <c r="H12" s="8" t="str">
        <f>IF(COUNT(Def[Q4])&gt;0,TEXT(AVERAGE(Def[Q4]),"0.0")&amp; "  (" &amp; TEXT(AVERAGE(Def[Q4])/H$5*100,"###") &amp; "%)","")</f>
        <v/>
      </c>
      <c r="I12" s="8" t="str">
        <f>IF(COUNT(Def[Q5])&gt;0,TEXT(AVERAGE(Def[Q5]),"0.0")&amp; "  (" &amp; TEXT(AVERAGE(Def[Q5])/I$5*100,"###") &amp; "%)","")</f>
        <v/>
      </c>
      <c r="J12" s="8" t="str">
        <f>IF(COUNT(Def[Total])&gt;0,TEXT(AVERAGE(Def[Total]),"0.0")&amp; "  (" &amp; TEXT(AVERAGE(Def[Total])/J$5*100,"###") &amp; "%)","")</f>
        <v/>
      </c>
    </row>
  </sheetData>
  <conditionalFormatting sqref="D7:D12 J7:J11">
    <cfRule type="expression" dxfId="1" priority="1">
      <formula>IF(ISNUMBER(D7),OR(D7&lt;0,D7&gt;D$5))</formula>
    </cfRule>
  </conditionalFormatting>
  <dataValidations count="1">
    <dataValidation type="custom" allowBlank="1" showInputMessage="1" showErrorMessage="1" sqref="D7:J11">
      <formula1>OR(AND(ISNUMBER(D7),D7&gt;=0,D7&lt;=D$5),D7="")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J12"/>
  <sheetViews>
    <sheetView workbookViewId="0">
      <selection activeCell="J12" sqref="J12"/>
    </sheetView>
  </sheetViews>
  <sheetFormatPr defaultColWidth="9.109375" defaultRowHeight="14.4" x14ac:dyDescent="0.3"/>
  <cols>
    <col min="1" max="1" width="12.33203125" customWidth="1"/>
    <col min="2" max="2" width="12.5546875" customWidth="1"/>
    <col min="3" max="3" width="14.33203125" customWidth="1"/>
    <col min="4" max="4" width="12.6640625" style="7" bestFit="1" customWidth="1"/>
    <col min="5" max="5" width="11.6640625" style="6" customWidth="1"/>
    <col min="6" max="9" width="11.6640625" style="2" customWidth="1"/>
    <col min="10" max="10" width="10.5546875" style="2" customWidth="1"/>
    <col min="11" max="19" width="12.6640625" bestFit="1" customWidth="1"/>
    <col min="20" max="20" width="12.6640625" customWidth="1"/>
    <col min="21" max="23" width="12.6640625" bestFit="1" customWidth="1"/>
    <col min="24" max="24" width="10.6640625" bestFit="1" customWidth="1"/>
  </cols>
  <sheetData>
    <row r="1" spans="1:10" ht="31.2" x14ac:dyDescent="0.6">
      <c r="A1" s="23" t="s">
        <v>34</v>
      </c>
      <c r="B1" s="23"/>
      <c r="C1" s="7"/>
      <c r="J1"/>
    </row>
    <row r="2" spans="1:10" ht="21" x14ac:dyDescent="0.4">
      <c r="A2" s="9"/>
    </row>
    <row r="3" spans="1:10" x14ac:dyDescent="0.3">
      <c r="A3" s="3" t="s">
        <v>29</v>
      </c>
      <c r="F3" s="6"/>
      <c r="G3" s="6"/>
      <c r="H3" s="6"/>
      <c r="I3" s="6"/>
      <c r="J3" s="2">
        <f>SUM(E5:I5)</f>
        <v>70</v>
      </c>
    </row>
    <row r="4" spans="1:10" x14ac:dyDescent="0.3">
      <c r="A4" s="3" t="s">
        <v>58</v>
      </c>
      <c r="F4" s="6"/>
      <c r="G4" s="6"/>
      <c r="H4" s="6"/>
      <c r="I4" s="6"/>
      <c r="J4" s="2">
        <v>5</v>
      </c>
    </row>
    <row r="5" spans="1:10" x14ac:dyDescent="0.3">
      <c r="A5" t="s">
        <v>26</v>
      </c>
      <c r="D5" s="6">
        <v>100</v>
      </c>
      <c r="E5" s="6">
        <v>12</v>
      </c>
      <c r="F5" s="6">
        <v>18</v>
      </c>
      <c r="G5" s="6">
        <v>13</v>
      </c>
      <c r="H5" s="6">
        <v>16</v>
      </c>
      <c r="I5" s="6">
        <v>11</v>
      </c>
      <c r="J5" s="2">
        <f>J3-J4</f>
        <v>65</v>
      </c>
    </row>
    <row r="6" spans="1:10" x14ac:dyDescent="0.3">
      <c r="A6" s="5" t="s">
        <v>0</v>
      </c>
      <c r="B6" s="1" t="s">
        <v>1</v>
      </c>
      <c r="C6" s="1" t="s">
        <v>2</v>
      </c>
      <c r="D6" s="49" t="s">
        <v>30</v>
      </c>
      <c r="E6" s="33" t="s">
        <v>3</v>
      </c>
      <c r="F6" s="33" t="s">
        <v>4</v>
      </c>
      <c r="G6" s="33" t="s">
        <v>5</v>
      </c>
      <c r="H6" s="33" t="s">
        <v>6</v>
      </c>
      <c r="I6" s="33" t="s">
        <v>7</v>
      </c>
      <c r="J6" s="52" t="s">
        <v>29</v>
      </c>
    </row>
    <row r="7" spans="1:10" x14ac:dyDescent="0.3">
      <c r="A7" s="32" t="str">
        <f>IF(NOT(ISBLANK(Ulwazi!$D2)),TRIM(LEFT(Ulwazi!$D2,FIND("@",Ulwazi!$D2)-1)),"")</f>
        <v/>
      </c>
      <c r="B7" t="str">
        <f>IF(NOT(ISBLANK(Ulwazi!$B2)),Ulwazi!$B2,"")</f>
        <v/>
      </c>
      <c r="C7" t="str">
        <f>IF(NOT(ISBLANK(Ulwazi!$A2)),Ulwazi!$A2,"")</f>
        <v/>
      </c>
      <c r="D7" s="11" t="str">
        <f>IF(ISNUMBER(Sup[Total]),IF(ROUND((Sup[Total]/$J$5*100),0)&gt;50,50,ROUND(Sup[Total]/$J$5*100,0)),"")</f>
        <v/>
      </c>
      <c r="F7" s="6"/>
      <c r="G7" s="6"/>
      <c r="H7" s="6"/>
      <c r="I7" s="6"/>
      <c r="J7" s="6" t="str">
        <f>IF(NOT($A7=""),(IF(COUNTBLANK(Sup[[#This Row],[Q1]:[Q5]])=0,SUM(Sup[[#This Row],[Q1]:[Q5]]),"")),"")</f>
        <v/>
      </c>
    </row>
    <row r="8" spans="1:10" x14ac:dyDescent="0.3">
      <c r="A8" s="14" t="str">
        <f>IF(NOT(ISBLANK(Ulwazi!$D3)),TRIM(LEFT(Ulwazi!$D3,FIND("@",Ulwazi!$D3)-1)),"")</f>
        <v/>
      </c>
      <c r="B8" s="34" t="str">
        <f>IF(NOT(ISBLANK(Ulwazi!$B3)),Ulwazi!$B3,"")</f>
        <v/>
      </c>
      <c r="C8" s="34" t="str">
        <f>IF(NOT(ISBLANK(Ulwazi!$A3)),Ulwazi!$A3,"")</f>
        <v/>
      </c>
      <c r="D8" s="50" t="str">
        <f>IF(ISNUMBER(Sup[Total]),IF(ROUND((Sup[Total]/$J$5*100),0)&gt;50,50,ROUND(Sup[Total]/$J$5*100,0)),"")</f>
        <v/>
      </c>
      <c r="J8" s="35" t="str">
        <f>IF(NOT($A8=""),(IF(COUNTBLANK(Sup[[#This Row],[Q1]:[Q5]])=0,SUM(Sup[[#This Row],[Q1]:[Q5]]),"")),"")</f>
        <v/>
      </c>
    </row>
    <row r="9" spans="1:10" x14ac:dyDescent="0.3">
      <c r="A9" s="14" t="str">
        <f>IF(NOT(ISBLANK(Ulwazi!$D4)),TRIM(LEFT(Ulwazi!$D4,FIND("@",Ulwazi!$D4)-1)),"")</f>
        <v/>
      </c>
      <c r="B9" s="34" t="str">
        <f>IF(NOT(ISBLANK(Ulwazi!$B4)),Ulwazi!$B4,"")</f>
        <v/>
      </c>
      <c r="C9" s="34" t="str">
        <f>IF(NOT(ISBLANK(Ulwazi!$A4)),Ulwazi!$A4,"")</f>
        <v/>
      </c>
      <c r="D9" s="50" t="str">
        <f>IF(ISNUMBER(Sup[Total]),IF(ROUND((Sup[Total]/$J$5*100),0)&gt;50,50,ROUND(Sup[Total]/$J$5*100,0)),"")</f>
        <v/>
      </c>
      <c r="J9" s="35" t="str">
        <f>IF(NOT($A9=""),(IF(COUNTBLANK(Sup[[#This Row],[Q1]:[Q5]])=0,SUM(Sup[[#This Row],[Q1]:[Q5]]),"")),"")</f>
        <v/>
      </c>
    </row>
    <row r="10" spans="1:10" x14ac:dyDescent="0.3">
      <c r="A10" s="14" t="str">
        <f>IF(NOT(ISBLANK(Ulwazi!$D5)),TRIM(LEFT(Ulwazi!$D5,FIND("@",Ulwazi!$D5)-1)),"")</f>
        <v/>
      </c>
      <c r="B10" s="34" t="str">
        <f>IF(NOT(ISBLANK(Ulwazi!$B5)),Ulwazi!$B5,"")</f>
        <v/>
      </c>
      <c r="C10" s="34" t="str">
        <f>IF(NOT(ISBLANK(Ulwazi!$A5)),Ulwazi!$A5,"")</f>
        <v/>
      </c>
      <c r="D10" s="50" t="str">
        <f>IF(ISNUMBER(Sup[Total]),IF(ROUND((Sup[Total]/$J$5*100),0)&gt;50,50,ROUND(Sup[Total]/$J$5*100,0)),"")</f>
        <v/>
      </c>
      <c r="J10" s="35" t="str">
        <f>IF(NOT($A10=""),(IF(COUNTBLANK(Sup[[#This Row],[Q1]:[Q5]])=0,SUM(Sup[[#This Row],[Q1]:[Q5]]),"")),"")</f>
        <v/>
      </c>
    </row>
    <row r="11" spans="1:10" x14ac:dyDescent="0.3">
      <c r="A11" s="14" t="str">
        <f>IF(NOT(ISBLANK(Ulwazi!$D6)),TRIM(LEFT(Ulwazi!$D6,FIND("@",Ulwazi!$D6)-1)),"")</f>
        <v/>
      </c>
      <c r="B11" s="34" t="str">
        <f>IF(NOT(ISBLANK(Ulwazi!$B6)),Ulwazi!$B6,"")</f>
        <v/>
      </c>
      <c r="C11" s="34" t="str">
        <f>IF(NOT(ISBLANK(Ulwazi!$A6)),Ulwazi!$A6,"")</f>
        <v/>
      </c>
      <c r="D11" s="50" t="str">
        <f>IF(ISNUMBER(Sup[Total]),IF(ROUND((Sup[Total]/$J$5*100),0)&gt;50,50,ROUND(Sup[Total]/$J$5*100,0)),"")</f>
        <v/>
      </c>
      <c r="J11" s="35" t="str">
        <f>IF(NOT($A11=""),(IF(COUNTBLANK(Sup[[#This Row],[Q1]:[Q5]])=0,SUM(Sup[[#This Row],[Q1]:[Q5]]),"")),"")</f>
        <v/>
      </c>
    </row>
    <row r="12" spans="1:10" x14ac:dyDescent="0.3">
      <c r="A12" s="7"/>
      <c r="B12" s="7" t="s">
        <v>9</v>
      </c>
      <c r="C12" s="7"/>
      <c r="D12" s="6" t="str">
        <f>IF(COUNT(Sup[Total (%)])&gt;0,TEXT(AVERAGE(Sup[Total (%)]),"0.0")&amp; "  (" &amp; TEXT(AVERAGE(Sup[Total (%)])/D$5*100,"###") &amp; "%)","")</f>
        <v/>
      </c>
      <c r="E12" s="6" t="str">
        <f>IF(COUNT(Sup[Q1])&gt;0,TEXT(AVERAGE(Sup[Q1]),"0.0")&amp; "  (" &amp; TEXT(AVERAGE(Sup[Q1])/E$5*100,"###") &amp; "%)","")</f>
        <v/>
      </c>
      <c r="F12" s="6" t="str">
        <f>IF(COUNT(Sup[Q2])&gt;0,TEXT(AVERAGE(Sup[Q2]),"0.0")&amp; "  (" &amp; TEXT(AVERAGE(Sup[Q2])/F$5*100,"###") &amp; "%)","")</f>
        <v/>
      </c>
      <c r="G12" s="6" t="str">
        <f>IF(COUNT(Sup[Q3])&gt;0,TEXT(AVERAGE(Sup[Q3]),"0.0")&amp; "  (" &amp; TEXT(AVERAGE(Sup[Q3])/G$5*100,"###") &amp; "%)","")</f>
        <v/>
      </c>
      <c r="H12" s="6" t="str">
        <f>IF(COUNT(Sup[Q4])&gt;0,TEXT(AVERAGE(Sup[Q4]),"0.0")&amp; "  (" &amp; TEXT(AVERAGE(Sup[Q4])/H$5*100,"###") &amp; "%)","")</f>
        <v/>
      </c>
      <c r="I12" s="6" t="str">
        <f>IF(COUNT(Sup[Q5])&gt;0,TEXT(AVERAGE(Sup[Q5]),"0.0")&amp; "  (" &amp; TEXT(AVERAGE(Sup[Q5])/I$5*100,"###") &amp; "%)","")</f>
        <v/>
      </c>
      <c r="J12" s="6" t="str">
        <f>IF(COUNT(Sup[Total])&gt;0,TEXT(AVERAGE(Sup[Total]),"0.0")&amp; "  (" &amp; TEXT(AVERAGE(Sup[Total])/J$5*100,"###") &amp; "%)","")</f>
        <v/>
      </c>
    </row>
  </sheetData>
  <conditionalFormatting sqref="D7:D11 J7:J11">
    <cfRule type="expression" dxfId="0" priority="3">
      <formula>IF(ISNUMBER(D7),OR(D7&lt;0,D7&gt;D$5))</formula>
    </cfRule>
  </conditionalFormatting>
  <dataValidations count="1">
    <dataValidation type="custom" allowBlank="1" showInputMessage="1" showErrorMessage="1" sqref="E7:I11">
      <formula1>OR(AND(ISNUMBER(E7),E7&gt;=0,E7&lt;=E$5),E7="")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D1"/>
  <sheetViews>
    <sheetView tabSelected="1" workbookViewId="0">
      <selection activeCell="A8" sqref="A8"/>
    </sheetView>
  </sheetViews>
  <sheetFormatPr defaultRowHeight="14.4" x14ac:dyDescent="0.3"/>
  <cols>
    <col min="1" max="1" width="14.88671875" bestFit="1" customWidth="1"/>
    <col min="2" max="2" width="20.6640625" bestFit="1" customWidth="1"/>
    <col min="3" max="3" width="6" bestFit="1" customWidth="1"/>
    <col min="4" max="4" width="26.6640625" bestFit="1" customWidth="1"/>
  </cols>
  <sheetData>
    <row r="1" spans="1:4" x14ac:dyDescent="0.3">
      <c r="A1" t="s">
        <v>42</v>
      </c>
      <c r="B1" t="s">
        <v>41</v>
      </c>
      <c r="C1" t="s">
        <v>21</v>
      </c>
      <c r="D1" t="s">
        <v>20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C85EBE068CD749AE776E405F89BB84" ma:contentTypeVersion="0" ma:contentTypeDescription="Create a new document." ma:contentTypeScope="" ma:versionID="5c122238da0f6df42f90404c89eab37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5A6BE63-4954-4442-8346-84D1148F96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F8B99A4-E078-4B12-A3ED-EC6C46A63488}">
  <ds:schemaRefs>
    <ds:schemaRef ds:uri="http://purl.org/dc/elements/1.1/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D2E6FF7F-A93E-467B-8D72-B8374F4D43D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Overview</vt:lpstr>
      <vt:lpstr>Stats</vt:lpstr>
      <vt:lpstr>Labs</vt:lpstr>
      <vt:lpstr>Test</vt:lpstr>
      <vt:lpstr>Project</vt:lpstr>
      <vt:lpstr>Exam</vt:lpstr>
      <vt:lpstr>Def</vt:lpstr>
      <vt:lpstr>Sup</vt:lpstr>
      <vt:lpstr>Ulwazi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</dc:creator>
  <cp:keywords/>
  <dc:description/>
  <cp:lastModifiedBy>Steve</cp:lastModifiedBy>
  <cp:revision/>
  <cp:lastPrinted>2020-06-01T21:04:16Z</cp:lastPrinted>
  <dcterms:created xsi:type="dcterms:W3CDTF">2015-06-01T19:14:25Z</dcterms:created>
  <dcterms:modified xsi:type="dcterms:W3CDTF">2022-07-21T09:20:36Z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0x0101002AC85EBE068CD749AE776E405F89BB84</vt:lpwstr>
  </property>
</Properties>
</file>