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tephen\Downloads\SPRING SEMESTER 2021-2022\PYTHON\GitHub\steveproject\PANDAS PROJ\"/>
    </mc:Choice>
  </mc:AlternateContent>
  <xr:revisionPtr revIDLastSave="0" documentId="13_ncr:1_{14E47CD6-7B9C-469E-9045-F8DFA65A4C6F}" xr6:coauthVersionLast="47" xr6:coauthVersionMax="47" xr10:uidLastSave="{00000000-0000-0000-0000-000000000000}"/>
  <bookViews>
    <workbookView xWindow="-108" yWindow="-108" windowWidth="23256" windowHeight="12576" xr2:uid="{38F17426-425A-4946-BB5F-3622334B00E1}"/>
  </bookViews>
  <sheets>
    <sheet name="DATA" sheetId="6" r:id="rId1"/>
    <sheet name="DCF" sheetId="1" r:id="rId2"/>
    <sheet name="WACC" sheetId="2" r:id="rId3"/>
    <sheet name="NWC" sheetId="3" r:id="rId4"/>
    <sheet name="COMPARISON" sheetId="4" r:id="rId5"/>
    <sheet name="MEASURE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C15" i="1"/>
  <c r="D15" i="1"/>
  <c r="E15" i="1"/>
  <c r="C13" i="1"/>
  <c r="D13" i="1"/>
  <c r="C7" i="1"/>
  <c r="E13" i="1" s="1"/>
  <c r="F16" i="2"/>
  <c r="F15" i="2"/>
  <c r="F7" i="2"/>
  <c r="X18" i="5"/>
  <c r="S18" i="5"/>
  <c r="T18" i="5"/>
  <c r="U18" i="5"/>
  <c r="V18" i="5"/>
  <c r="W18" i="5"/>
  <c r="R18" i="5"/>
  <c r="X20" i="5"/>
  <c r="S17" i="5"/>
  <c r="T17" i="5"/>
  <c r="U17" i="5"/>
  <c r="V17" i="5"/>
  <c r="W17" i="5"/>
  <c r="X17" i="5"/>
  <c r="R17" i="5"/>
  <c r="G16" i="4"/>
  <c r="H16" i="4"/>
  <c r="I16" i="4"/>
  <c r="J16" i="4"/>
  <c r="K16" i="4"/>
  <c r="F16" i="4"/>
  <c r="X21" i="5"/>
  <c r="X19" i="5"/>
  <c r="X10" i="5"/>
  <c r="X11" i="5"/>
  <c r="X12" i="5"/>
  <c r="X13" i="5"/>
  <c r="X14" i="5"/>
  <c r="X15" i="5"/>
  <c r="X16" i="5"/>
  <c r="X9" i="5"/>
  <c r="G17" i="4"/>
  <c r="H17" i="4"/>
  <c r="I17" i="4"/>
  <c r="J17" i="4"/>
  <c r="K17" i="4"/>
  <c r="F17" i="4"/>
  <c r="O147" i="5"/>
  <c r="O129" i="5"/>
  <c r="O111" i="5"/>
  <c r="O93" i="5"/>
  <c r="O75" i="5"/>
  <c r="O57" i="5"/>
  <c r="O41" i="5"/>
  <c r="O25" i="5"/>
  <c r="O9" i="5"/>
  <c r="S19" i="5"/>
  <c r="T19" i="5"/>
  <c r="U19" i="5"/>
  <c r="V19" i="5"/>
  <c r="W19" i="5"/>
  <c r="S11" i="5"/>
  <c r="T11" i="5"/>
  <c r="U11" i="5"/>
  <c r="V11" i="5"/>
  <c r="W11" i="5"/>
  <c r="S12" i="5"/>
  <c r="T12" i="5"/>
  <c r="U12" i="5"/>
  <c r="V12" i="5"/>
  <c r="W12" i="5"/>
  <c r="S13" i="5"/>
  <c r="T13" i="5"/>
  <c r="U13" i="5"/>
  <c r="V13" i="5"/>
  <c r="W13" i="5"/>
  <c r="S14" i="5"/>
  <c r="T14" i="5"/>
  <c r="U14" i="5"/>
  <c r="V14" i="5"/>
  <c r="W14" i="5"/>
  <c r="S15" i="5"/>
  <c r="T15" i="5"/>
  <c r="U15" i="5"/>
  <c r="V15" i="5"/>
  <c r="W15" i="5"/>
  <c r="S16" i="5"/>
  <c r="T16" i="5"/>
  <c r="U16" i="5"/>
  <c r="V16" i="5"/>
  <c r="W16" i="5"/>
  <c r="S10" i="5"/>
  <c r="T10" i="5"/>
  <c r="U10" i="5"/>
  <c r="V10" i="5"/>
  <c r="W10" i="5"/>
  <c r="S9" i="5"/>
  <c r="T9" i="5"/>
  <c r="U9" i="5"/>
  <c r="V9" i="5"/>
  <c r="W9" i="5"/>
  <c r="R16" i="5"/>
  <c r="R15" i="5"/>
  <c r="R14" i="5"/>
  <c r="R13" i="5"/>
  <c r="R12" i="5"/>
  <c r="R11" i="5"/>
  <c r="R10" i="5"/>
  <c r="R9" i="5"/>
  <c r="R19" i="5"/>
  <c r="L147" i="5"/>
  <c r="K147" i="5"/>
  <c r="L129" i="5"/>
  <c r="K129" i="5"/>
  <c r="L111" i="5"/>
  <c r="K111" i="5"/>
  <c r="L93" i="5"/>
  <c r="K93" i="5"/>
  <c r="L75" i="5"/>
  <c r="K75" i="5"/>
  <c r="L57" i="5"/>
  <c r="K57" i="5"/>
  <c r="L41" i="5"/>
  <c r="K41" i="5"/>
  <c r="L25" i="5"/>
  <c r="K25" i="5"/>
  <c r="L9" i="5"/>
  <c r="K9" i="5"/>
  <c r="N147" i="5"/>
  <c r="M147" i="5"/>
  <c r="J147" i="5"/>
  <c r="I147" i="5"/>
  <c r="I144" i="5"/>
  <c r="N129" i="5"/>
  <c r="M129" i="5"/>
  <c r="J129" i="5"/>
  <c r="I129" i="5"/>
  <c r="I126" i="5"/>
  <c r="N111" i="5"/>
  <c r="M111" i="5"/>
  <c r="J111" i="5"/>
  <c r="I111" i="5"/>
  <c r="I108" i="5"/>
  <c r="N93" i="5"/>
  <c r="M93" i="5"/>
  <c r="J93" i="5"/>
  <c r="I93" i="5"/>
  <c r="I90" i="5"/>
  <c r="N75" i="5"/>
  <c r="M75" i="5"/>
  <c r="J75" i="5"/>
  <c r="I75" i="5"/>
  <c r="I72" i="5"/>
  <c r="N57" i="5"/>
  <c r="M57" i="5"/>
  <c r="J57" i="5"/>
  <c r="I57" i="5"/>
  <c r="I54" i="5"/>
  <c r="N41" i="5"/>
  <c r="M41" i="5"/>
  <c r="J41" i="5"/>
  <c r="I41" i="5"/>
  <c r="I38" i="5"/>
  <c r="N25" i="5"/>
  <c r="M25" i="5"/>
  <c r="J25" i="5"/>
  <c r="I25" i="5"/>
  <c r="I22" i="5"/>
  <c r="N9" i="5"/>
  <c r="M9" i="5"/>
  <c r="J9" i="5"/>
  <c r="I9" i="5"/>
  <c r="I6" i="5"/>
  <c r="E19" i="4" a="1"/>
  <c r="E19" i="4" s="1"/>
  <c r="E7" i="4" a="1"/>
  <c r="E7" i="4" s="1"/>
  <c r="E8" i="4" a="1"/>
  <c r="E8" i="4" s="1"/>
  <c r="E9" i="4" a="1"/>
  <c r="E9" i="4" s="1"/>
  <c r="E10" i="4" a="1"/>
  <c r="E10" i="4" s="1"/>
  <c r="E11" i="4" a="1"/>
  <c r="E11" i="4" s="1"/>
  <c r="E12" i="4" a="1"/>
  <c r="E12" i="4" s="1"/>
  <c r="E13" i="4" a="1"/>
  <c r="E13" i="4" s="1"/>
  <c r="B19" i="4" l="1" a="1"/>
  <c r="B19" i="4" s="1"/>
  <c r="B13" i="4" a="1"/>
  <c r="B13" i="4" s="1"/>
  <c r="B12" i="4" a="1"/>
  <c r="B12" i="4" s="1"/>
  <c r="B7" i="4" a="1"/>
  <c r="B7" i="4" s="1"/>
  <c r="B8" i="4" a="1"/>
  <c r="B8" i="4" s="1"/>
  <c r="B9" i="4" a="1"/>
  <c r="B9" i="4" s="1"/>
  <c r="B10" i="4" a="1"/>
  <c r="B10" i="4" s="1"/>
  <c r="B11" i="4" a="1"/>
  <c r="B11" i="4" s="1"/>
  <c r="B6" i="4" a="1"/>
  <c r="B6" i="4" s="1"/>
  <c r="E6" i="4" a="1"/>
  <c r="E6" i="4" s="1"/>
  <c r="P10" i="4"/>
  <c r="P12" i="4"/>
  <c r="P14" i="4"/>
  <c r="O15" i="4"/>
  <c r="P11" i="4" s="1"/>
  <c r="K30" i="4"/>
  <c r="J30" i="4"/>
  <c r="I30" i="4"/>
  <c r="H30" i="4"/>
  <c r="G30" i="4"/>
  <c r="K29" i="4"/>
  <c r="J29" i="4"/>
  <c r="I29" i="4"/>
  <c r="H29" i="4"/>
  <c r="G29" i="4"/>
  <c r="G78" i="1"/>
  <c r="F78" i="1" s="1"/>
  <c r="E78" i="1" s="1"/>
  <c r="F12" i="2"/>
  <c r="F18" i="2" s="1"/>
  <c r="E16" i="2"/>
  <c r="G16" i="1"/>
  <c r="H16" i="1"/>
  <c r="I16" i="1"/>
  <c r="J16" i="1"/>
  <c r="H18" i="1"/>
  <c r="G69" i="1"/>
  <c r="F69" i="1" s="1"/>
  <c r="E69" i="1" s="1"/>
  <c r="E15" i="2"/>
  <c r="C35" i="1"/>
  <c r="C8" i="3"/>
  <c r="D8" i="3"/>
  <c r="F20" i="3"/>
  <c r="E20" i="3"/>
  <c r="D20" i="3"/>
  <c r="F17" i="3"/>
  <c r="E17" i="3"/>
  <c r="D17" i="3"/>
  <c r="F14" i="3"/>
  <c r="E14" i="3"/>
  <c r="D14" i="3"/>
  <c r="B8" i="3"/>
  <c r="C30" i="1"/>
  <c r="G23" i="1"/>
  <c r="H23" i="1"/>
  <c r="I23" i="1"/>
  <c r="J23" i="1"/>
  <c r="F23" i="1"/>
  <c r="F29" i="1"/>
  <c r="D27" i="1"/>
  <c r="C24" i="1"/>
  <c r="C25" i="1"/>
  <c r="F20" i="1"/>
  <c r="F18" i="1"/>
  <c r="F16" i="1"/>
  <c r="D24" i="1"/>
  <c r="E24" i="1"/>
  <c r="D25" i="1"/>
  <c r="E25" i="1"/>
  <c r="D35" i="1"/>
  <c r="C55" i="1"/>
  <c r="E28" i="1"/>
  <c r="D28" i="1"/>
  <c r="E35" i="1"/>
  <c r="E30" i="1"/>
  <c r="D59" i="1"/>
  <c r="C59" i="1"/>
  <c r="E27" i="1"/>
  <c r="C27" i="1"/>
  <c r="E20" i="1"/>
  <c r="D20" i="1"/>
  <c r="C20" i="1"/>
  <c r="F34" i="1"/>
  <c r="F28" i="1" s="1"/>
  <c r="D18" i="1"/>
  <c r="E18" i="1"/>
  <c r="C18" i="1"/>
  <c r="E16" i="1"/>
  <c r="D16" i="1"/>
  <c r="F13" i="1"/>
  <c r="G13" i="1" s="1"/>
  <c r="H13" i="1" s="1"/>
  <c r="I13" i="1" s="1"/>
  <c r="J13" i="1" s="1"/>
  <c r="F25" i="1"/>
  <c r="E12" i="1"/>
  <c r="F12" i="1" s="1"/>
  <c r="G12" i="1" s="1"/>
  <c r="H12" i="1" s="1"/>
  <c r="I12" i="1" s="1"/>
  <c r="J12" i="1" s="1"/>
  <c r="F27" i="1"/>
  <c r="G25" i="1"/>
  <c r="G27" i="1"/>
  <c r="H25" i="1"/>
  <c r="H27" i="1"/>
  <c r="I25" i="1"/>
  <c r="I27" i="1"/>
  <c r="J25" i="1"/>
  <c r="J27" i="1"/>
  <c r="I43" i="1"/>
  <c r="I45" i="1"/>
  <c r="D12" i="1" l="1"/>
  <c r="C12" i="1" s="1"/>
  <c r="C8" i="1"/>
  <c r="C37" i="1" s="1"/>
  <c r="F30" i="4"/>
  <c r="F29" i="4"/>
  <c r="P9" i="4"/>
  <c r="P13" i="4"/>
  <c r="H78" i="1"/>
  <c r="I78" i="1" s="1"/>
  <c r="F32" i="1"/>
  <c r="H20" i="1"/>
  <c r="H29" i="1"/>
  <c r="H34" i="1"/>
  <c r="H69" i="1"/>
  <c r="I69" i="1" s="1"/>
  <c r="F37" i="1" l="1"/>
  <c r="I20" i="1"/>
  <c r="I34" i="1"/>
  <c r="I28" i="1" s="1"/>
  <c r="I29" i="1"/>
  <c r="I18" i="1"/>
  <c r="D81" i="1" l="1"/>
  <c r="D72" i="1"/>
  <c r="I46" i="1"/>
  <c r="F38" i="1"/>
  <c r="I32" i="1"/>
  <c r="I37" i="1" s="1"/>
  <c r="J20" i="1"/>
  <c r="J29" i="1"/>
  <c r="J18" i="1"/>
  <c r="J34" i="1"/>
  <c r="J28" i="1" s="1"/>
  <c r="D71" i="1" l="1"/>
  <c r="D70" i="1" s="1"/>
  <c r="D73" i="1"/>
  <c r="D74" i="1" s="1"/>
  <c r="D82" i="1"/>
  <c r="D83" i="1" s="1"/>
  <c r="D80" i="1"/>
  <c r="D79" i="1" s="1"/>
  <c r="I38" i="1"/>
  <c r="J32" i="1"/>
  <c r="C44" i="1" s="1"/>
  <c r="C45" i="1" s="1"/>
  <c r="C46" i="1" s="1"/>
  <c r="J37" i="1" l="1"/>
  <c r="J38" i="1" s="1"/>
  <c r="G34" i="1" l="1"/>
  <c r="H28" i="1" s="1"/>
  <c r="H32" i="1" s="1"/>
  <c r="H37" i="1" s="1"/>
  <c r="H38" i="1" s="1"/>
  <c r="G18" i="1"/>
  <c r="G29" i="1"/>
  <c r="G20" i="1"/>
  <c r="G28" i="1" l="1"/>
  <c r="G32" i="1" s="1"/>
  <c r="G37" i="1" s="1"/>
  <c r="G38" i="1" s="1"/>
  <c r="C47" i="1" s="1"/>
  <c r="C48" i="1" s="1"/>
  <c r="C58" i="1" s="1"/>
  <c r="C60" i="1" s="1"/>
  <c r="C62" i="1" l="1"/>
  <c r="C63" i="1" s="1"/>
  <c r="I47" i="1"/>
  <c r="I48" i="1" s="1"/>
  <c r="D58" i="1" s="1"/>
  <c r="D60" i="1" s="1"/>
  <c r="D62" i="1" s="1"/>
  <c r="D63" i="1" s="1"/>
  <c r="D69" i="1" l="1"/>
  <c r="D7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9"/>
        </ext>
      </extLst>
    </bk>
    <bk>
      <extLst>
        <ext uri="{3e2802c4-a4d2-4d8b-9148-e3be6c30e623}">
          <xlrd:rvb i="16"/>
        </ext>
      </extLst>
    </bk>
    <bk>
      <extLst>
        <ext uri="{3e2802c4-a4d2-4d8b-9148-e3be6c30e623}">
          <xlrd:rvb i="19"/>
        </ext>
      </extLst>
    </bk>
    <bk>
      <extLst>
        <ext uri="{3e2802c4-a4d2-4d8b-9148-e3be6c30e623}">
          <xlrd:rvb i="25"/>
        </ext>
      </extLst>
    </bk>
    <bk>
      <extLst>
        <ext uri="{3e2802c4-a4d2-4d8b-9148-e3be6c30e623}">
          <xlrd:rvb i="31"/>
        </ext>
      </extLst>
    </bk>
    <bk>
      <extLst>
        <ext uri="{3e2802c4-a4d2-4d8b-9148-e3be6c30e623}">
          <xlrd:rvb i="34"/>
        </ext>
      </extLst>
    </bk>
    <bk>
      <extLst>
        <ext uri="{3e2802c4-a4d2-4d8b-9148-e3be6c30e623}">
          <xlrd:rvb i="37"/>
        </ext>
      </extLst>
    </bk>
    <bk>
      <extLst>
        <ext uri="{3e2802c4-a4d2-4d8b-9148-e3be6c30e623}">
          <xlrd:rvb i="40"/>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<sst xmlns="http://schemas.openxmlformats.org/spreadsheetml/2006/main" count="463" uniqueCount="256">
  <si>
    <t>Discounted Cash Flow Valuation</t>
  </si>
  <si>
    <t>Company Name</t>
  </si>
  <si>
    <t>WACC</t>
  </si>
  <si>
    <t>Ticker</t>
  </si>
  <si>
    <t>Share Price (Close)</t>
  </si>
  <si>
    <t>Most Recent Fiscal Year End</t>
  </si>
  <si>
    <t>Share Price Date</t>
  </si>
  <si>
    <t>End of First Fiscal Year</t>
  </si>
  <si>
    <t>Valuation Date</t>
  </si>
  <si>
    <t>Unlevered Free Cash Flows</t>
  </si>
  <si>
    <t>Fiscal Year</t>
  </si>
  <si>
    <t>Fiscal Year End Date</t>
  </si>
  <si>
    <t>Revenue</t>
  </si>
  <si>
    <t>% Growth</t>
  </si>
  <si>
    <t>EBITDA</t>
  </si>
  <si>
    <t>% Margin</t>
  </si>
  <si>
    <t>EBIT</t>
  </si>
  <si>
    <t>Tax Rate</t>
  </si>
  <si>
    <t>EBIAT (NOPAT)</t>
  </si>
  <si>
    <t>Depreciation &amp; Amortization</t>
  </si>
  <si>
    <t>Changes in Net Working Capital</t>
  </si>
  <si>
    <t>Capital Expenditures</t>
  </si>
  <si>
    <t>% of Revenue</t>
  </si>
  <si>
    <t>Unlevered Free Cash Flows (UFCF)</t>
  </si>
  <si>
    <t>Net Working Capital</t>
  </si>
  <si>
    <t>Present Value of Unlevered Free Cash Flows</t>
  </si>
  <si>
    <t>Terminal Value</t>
  </si>
  <si>
    <t>Perpeuity Growth Method</t>
  </si>
  <si>
    <t>EBITDA Multiple Method</t>
  </si>
  <si>
    <t>Terminal Growth Rate</t>
  </si>
  <si>
    <t>Terminal Year EBITDA</t>
  </si>
  <si>
    <t>Terminal Year FCF x (1+g)</t>
  </si>
  <si>
    <t xml:space="preserve">EBITDA Multiple  </t>
  </si>
  <si>
    <t xml:space="preserve">Terminal Value </t>
  </si>
  <si>
    <t>Present Value of Terminal Value</t>
  </si>
  <si>
    <t>Present Value of Cash Flows</t>
  </si>
  <si>
    <t>Total Enterprise Value</t>
  </si>
  <si>
    <t>Debt</t>
  </si>
  <si>
    <t xml:space="preserve">Long Term Liabilities </t>
  </si>
  <si>
    <t>Short Term liabilities</t>
  </si>
  <si>
    <t>Cash</t>
  </si>
  <si>
    <t>Cash Equivalents</t>
  </si>
  <si>
    <t>Net Debt</t>
  </si>
  <si>
    <t>Valuation</t>
  </si>
  <si>
    <t>Perpeuity</t>
  </si>
  <si>
    <t>Enterprise Value</t>
  </si>
  <si>
    <t>Equity Value</t>
  </si>
  <si>
    <t xml:space="preserve">Shares Outstanding </t>
  </si>
  <si>
    <t>Estimated Upside</t>
  </si>
  <si>
    <t>Weighted Average Cost of Capital</t>
  </si>
  <si>
    <t>$ and shares in millions, except per share data</t>
  </si>
  <si>
    <t>Cost of Capital Assumptions</t>
  </si>
  <si>
    <t>Cost of Debt</t>
  </si>
  <si>
    <t>After-Tax Cost of Debt</t>
  </si>
  <si>
    <t>Risk Free Rate</t>
  </si>
  <si>
    <t>Beta</t>
  </si>
  <si>
    <t>Market Risk Premium</t>
  </si>
  <si>
    <t>Cost of Equity</t>
  </si>
  <si>
    <t>Capital Structure</t>
  </si>
  <si>
    <t>Equity</t>
  </si>
  <si>
    <t>Unlevered Cash Flows Stub Adjusted</t>
  </si>
  <si>
    <t>Equity Value per Share (USD)</t>
  </si>
  <si>
    <t>Sensitivity Analysis</t>
  </si>
  <si>
    <t>Equity value per share</t>
  </si>
  <si>
    <t>Long term growth rate (g):</t>
  </si>
  <si>
    <t>WACC:</t>
  </si>
  <si>
    <t>Data Tables</t>
  </si>
  <si>
    <t>Exit EBITDA Multiple:</t>
  </si>
  <si>
    <t>Nvidia</t>
  </si>
  <si>
    <t>NVDA</t>
  </si>
  <si>
    <t xml:space="preserve">Pretax income </t>
  </si>
  <si>
    <t>Income Tax expense</t>
  </si>
  <si>
    <t>NWC = Accounts Receivable + Inventory – Accounts Payable</t>
  </si>
  <si>
    <t>acc rec</t>
  </si>
  <si>
    <t>inv</t>
  </si>
  <si>
    <t>acc payable</t>
  </si>
  <si>
    <t>EV/EBITDA</t>
  </si>
  <si>
    <t>AMD</t>
  </si>
  <si>
    <t>Intel</t>
  </si>
  <si>
    <t>company ticker</t>
  </si>
  <si>
    <t>ev/ebitda</t>
  </si>
  <si>
    <t xml:space="preserve">NVDA </t>
  </si>
  <si>
    <t>INTC</t>
  </si>
  <si>
    <t xml:space="preserve">Company name </t>
  </si>
  <si>
    <t>Qualcomm</t>
  </si>
  <si>
    <t>Broadcomm</t>
  </si>
  <si>
    <t>QCOM</t>
  </si>
  <si>
    <t>AVGO</t>
  </si>
  <si>
    <t>Lattice Semi</t>
  </si>
  <si>
    <t>LSCC</t>
  </si>
  <si>
    <t>Average</t>
  </si>
  <si>
    <t>% of average</t>
  </si>
  <si>
    <t>Market Comparables — Multiples</t>
  </si>
  <si>
    <t>EV/Sales</t>
  </si>
  <si>
    <t>Price/Earnings</t>
  </si>
  <si>
    <t>Price/Sales</t>
  </si>
  <si>
    <t>Firm</t>
  </si>
  <si>
    <t>Share Price</t>
  </si>
  <si>
    <t>2020E</t>
  </si>
  <si>
    <t>Mean</t>
  </si>
  <si>
    <t>Median</t>
  </si>
  <si>
    <t>EPS</t>
  </si>
  <si>
    <t>Sales (mn)</t>
  </si>
  <si>
    <t>Net Debt (mn)</t>
  </si>
  <si>
    <t>Shares Outstanding (mn)</t>
  </si>
  <si>
    <t xml:space="preserve">                                                                                         Price per share                                                                 </t>
  </si>
  <si>
    <t>2021E</t>
  </si>
  <si>
    <t>SYNA</t>
  </si>
  <si>
    <t>STOCK FUNC</t>
  </si>
  <si>
    <t>Share Price (current)</t>
  </si>
  <si>
    <t>SLAB</t>
  </si>
  <si>
    <t>TXN</t>
  </si>
  <si>
    <t>Nvidia Assumptions</t>
  </si>
  <si>
    <t>Current</t>
  </si>
  <si>
    <t>Valuation Measures</t>
  </si>
  <si>
    <t>639.17B</t>
  </si>
  <si>
    <t>485.92B</t>
  </si>
  <si>
    <t>373.67B</t>
  </si>
  <si>
    <t>321.63B</t>
  </si>
  <si>
    <t>310.34B</t>
  </si>
  <si>
    <t>632.31B</t>
  </si>
  <si>
    <t>480.99B</t>
  </si>
  <si>
    <t>369.82B</t>
  </si>
  <si>
    <t>319.17B</t>
  </si>
  <si>
    <t>307.06B</t>
  </si>
  <si>
    <t>Trailing P/E</t>
  </si>
  <si>
    <t>Price/Sales (ttm)</t>
  </si>
  <si>
    <t>Price/Book (mrq)</t>
  </si>
  <si>
    <t>Yahoo Finance Plus Essential access required.</t>
  </si>
  <si>
    <t>Learn more</t>
  </si>
  <si>
    <t>Market Cap (intraday) 5</t>
  </si>
  <si>
    <t>Enterprise Value 3</t>
  </si>
  <si>
    <t>Forward P/E 1</t>
  </si>
  <si>
    <t>PEG Ratio (5 yr expected) 1</t>
  </si>
  <si>
    <t>Enterprise Value/Revenue 3</t>
  </si>
  <si>
    <t>Enterprise Value/EBITDA 7</t>
  </si>
  <si>
    <t>199.28B</t>
  </si>
  <si>
    <t>216.69B</t>
  </si>
  <si>
    <t>227.76B</t>
  </si>
  <si>
    <t>258.43B</t>
  </si>
  <si>
    <t>202.37B</t>
  </si>
  <si>
    <t>204.95B</t>
  </si>
  <si>
    <t>227.24B</t>
  </si>
  <si>
    <t>241.25B</t>
  </si>
  <si>
    <t>270.94B</t>
  </si>
  <si>
    <t>220.68B</t>
  </si>
  <si>
    <t>145.19B</t>
  </si>
  <si>
    <t>124.71B</t>
  </si>
  <si>
    <t>113.94B</t>
  </si>
  <si>
    <t>95.38B</t>
  </si>
  <si>
    <t>111.06B</t>
  </si>
  <si>
    <t>142.17B</t>
  </si>
  <si>
    <t>121.47B</t>
  </si>
  <si>
    <t>111.37B</t>
  </si>
  <si>
    <t>93.62B</t>
  </si>
  <si>
    <t>109.87B</t>
  </si>
  <si>
    <t>use for p/e</t>
  </si>
  <si>
    <t>150.07B</t>
  </si>
  <si>
    <t>161.23B</t>
  </si>
  <si>
    <t>149.69B</t>
  </si>
  <si>
    <t>173.06B</t>
  </si>
  <si>
    <t>133.10B</t>
  </si>
  <si>
    <t>152.90B</t>
  </si>
  <si>
    <t>165.43B</t>
  </si>
  <si>
    <t>153.13B</t>
  </si>
  <si>
    <t>177.57B</t>
  </si>
  <si>
    <t>138.42B</t>
  </si>
  <si>
    <t xml:space="preserve">QCOM </t>
  </si>
  <si>
    <t>9.47B</t>
  </si>
  <si>
    <t>7.67B</t>
  </si>
  <si>
    <t>6.14B</t>
  </si>
  <si>
    <t>6.24B</t>
  </si>
  <si>
    <t>3.94B</t>
  </si>
  <si>
    <t>9.48B</t>
  </si>
  <si>
    <t>7.69B</t>
  </si>
  <si>
    <t>6.15B</t>
  </si>
  <si>
    <t>6.25B</t>
  </si>
  <si>
    <t>3.97B</t>
  </si>
  <si>
    <t>N/A</t>
  </si>
  <si>
    <t>info needed</t>
  </si>
  <si>
    <t>218.84B</t>
  </si>
  <si>
    <t>199.14B</t>
  </si>
  <si>
    <t>186.27B</t>
  </si>
  <si>
    <t>183.22B</t>
  </si>
  <si>
    <t>141.43B</t>
  </si>
  <si>
    <t>248.22B</t>
  </si>
  <si>
    <t>230.09B</t>
  </si>
  <si>
    <t>218.67B</t>
  </si>
  <si>
    <t>216.70B</t>
  </si>
  <si>
    <t>176.72B</t>
  </si>
  <si>
    <t>7.61B</t>
  </si>
  <si>
    <t>5.50B</t>
  </si>
  <si>
    <t>4.76B</t>
  </si>
  <si>
    <t>3.37B</t>
  </si>
  <si>
    <t>2.77B</t>
  </si>
  <si>
    <t>7.68B</t>
  </si>
  <si>
    <t>5.67B</t>
  </si>
  <si>
    <t>5.08B</t>
  </si>
  <si>
    <t>3.75B</t>
  </si>
  <si>
    <t>2.61B</t>
  </si>
  <si>
    <t xml:space="preserve">SYNA </t>
  </si>
  <si>
    <t>7.59B</t>
  </si>
  <si>
    <t>6.27B</t>
  </si>
  <si>
    <t>6.86B</t>
  </si>
  <si>
    <t>5.58B</t>
  </si>
  <si>
    <t>4.29B</t>
  </si>
  <si>
    <t>5.30B</t>
  </si>
  <si>
    <t>6.10B</t>
  </si>
  <si>
    <t>6.72B</t>
  </si>
  <si>
    <t>6.08B</t>
  </si>
  <si>
    <t>5.42B</t>
  </si>
  <si>
    <t>4.13B</t>
  </si>
  <si>
    <t>1.67k</t>
  </si>
  <si>
    <t>173.14B</t>
  </si>
  <si>
    <t>177.49B</t>
  </si>
  <si>
    <t>177.51B</t>
  </si>
  <si>
    <t>174.48B</t>
  </si>
  <si>
    <t>150.89B</t>
  </si>
  <si>
    <t>131.03B</t>
  </si>
  <si>
    <t>171.10B</t>
  </si>
  <si>
    <t>176.35B</t>
  </si>
  <si>
    <t>177.07B</t>
  </si>
  <si>
    <t>174.96B</t>
  </si>
  <si>
    <t>152.17B</t>
  </si>
  <si>
    <t>132.87B</t>
  </si>
  <si>
    <t xml:space="preserve">average </t>
  </si>
  <si>
    <t>median</t>
  </si>
  <si>
    <t>NVDA owns 83 percent of the GPU market share</t>
  </si>
  <si>
    <t xml:space="preserve">GPU's make up 89 percent of their total revenues </t>
  </si>
  <si>
    <t xml:space="preserve">EV to sales ratio is much higher than average at about </t>
  </si>
  <si>
    <t>average</t>
  </si>
  <si>
    <t xml:space="preserve">double the average </t>
  </si>
  <si>
    <t xml:space="preserve">nvdia shows steady growth </t>
  </si>
  <si>
    <t>the gpu market is expected to grow tenfold between 2020 and 2028</t>
  </si>
  <si>
    <t xml:space="preserve">as nvda has the highest market share and the best product </t>
  </si>
  <si>
    <t xml:space="preserve">they are most likely to grow </t>
  </si>
  <si>
    <t>DESC</t>
  </si>
  <si>
    <t>Ticker:</t>
  </si>
  <si>
    <t>Keyboard</t>
  </si>
  <si>
    <t>Headphones</t>
  </si>
  <si>
    <t>Pretax Income</t>
  </si>
  <si>
    <t>CPU</t>
  </si>
  <si>
    <t>Tax Exp</t>
  </si>
  <si>
    <t>Flash Drives</t>
  </si>
  <si>
    <t>CAPEX</t>
  </si>
  <si>
    <t>Tablets</t>
  </si>
  <si>
    <t>NWC</t>
  </si>
  <si>
    <t>Android Box</t>
  </si>
  <si>
    <t>asdf</t>
  </si>
  <si>
    <t xml:space="preserve">risk-free rate </t>
  </si>
  <si>
    <t xml:space="preserve">beta </t>
  </si>
  <si>
    <t xml:space="preserve">other data needed </t>
  </si>
  <si>
    <t xml:space="preserve">current date </t>
  </si>
  <si>
    <t xml:space="preserve">last price </t>
  </si>
  <si>
    <t xml:space="preserve">cost of debt </t>
  </si>
  <si>
    <t>(just the most recent)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</si>
</sst>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m/d/yyyy;@"/>
    <numFmt numFmtId="165" formatCode="0000\A"/>
    <numFmt numFmtId="166" formatCode="0000\P"/>
    <numFmt numFmtId="167" formatCode="#,##0_);\(#,##0\);@_)"/>
    <numFmt numFmtId="168" formatCode="_(#,##0.0%_);\(#,##0.0%\);_(&quot;–&quot;_)_%;_(@_)_%\ "/>
    <numFmt numFmtId="169" formatCode="_(#,##0.0%_);\(#,##0.0%\);_(&quot;–&quot;_)_%;_(@_)_%"/>
    <numFmt numFmtId="170" formatCode="0.0\x_);\(0.0\x\);@_)"/>
    <numFmt numFmtId="171" formatCode="_(* #,##0_);_(* \(#,##0\);_(* &quot;-&quot;??_);_(@_)"/>
    <numFmt numFmtId="172" formatCode="_(#,##0.00%_);\(#,##0.00%\);_(&quot;–&quot;_)_%;_(@_)_%"/>
    <numFmt numFmtId="173" formatCode="#,##0.00_);\(#,##0.00\);@_)"/>
    <numFmt numFmtId="174" formatCode="0.0\x"/>
    <numFmt numFmtId="175" formatCode="#,##0.0_);\(#,##0.0\)"/>
    <numFmt numFmtId="176" formatCode="#,##0.0"/>
    <numFmt numFmtId="177" formatCode="&quot;$&quot;#,##0.00"/>
  </numFmts>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7" tint="0.39997558519241921"/>
      <name val="Calibri"/>
      <family val="2"/>
      <scheme val="minor"/>
    </font>
    <font>
      <sz val="11"/>
      <color theme="7" tint="0.39997558519241921"/>
      <name val="Calibri"/>
      <family val="2"/>
      <scheme val="minor"/>
    </font>
    <font>
      <i/>
      <sz val="11"/>
      <color theme="1"/>
      <name val="Calibri"/>
      <family val="2"/>
      <scheme val="minor"/>
    </font>
    <font>
      <b/>
      <sz val="11"/>
      <color theme="1"/>
      <name val="Calibri"/>
      <family val="2"/>
      <scheme val="minor"/>
    </font>
    <font>
      <sz val="11"/>
      <color rgb="FF0000FF"/>
      <name val="Calibri"/>
      <family val="2"/>
      <scheme val="minor"/>
    </font>
    <font>
      <b/>
      <sz val="11"/>
      <color rgb="FF000000"/>
      <name val="Calibri"/>
      <family val="2"/>
      <scheme val="minor"/>
    </font>
    <font>
      <sz val="11"/>
      <color rgb="FF008001"/>
      <name val="Calibri"/>
      <family val="2"/>
      <scheme val="minor"/>
    </font>
    <font>
      <u/>
      <sz val="11"/>
      <color theme="1"/>
      <name val="Calibri"/>
      <family val="2"/>
      <scheme val="minor"/>
    </font>
    <font>
      <sz val="11"/>
      <color rgb="FF92C891"/>
      <name val="Calibri"/>
      <family val="2"/>
      <scheme val="minor"/>
    </font>
    <font>
      <b/>
      <sz val="11"/>
      <color rgb="FFFFD700"/>
      <name val="Calibri"/>
      <family val="2"/>
      <scheme val="minor"/>
    </font>
    <font>
      <u val="singleAccounting"/>
      <sz val="11"/>
      <color theme="1"/>
      <name val="Calibri"/>
      <family val="2"/>
      <scheme val="minor"/>
    </font>
    <font>
      <sz val="11"/>
      <color theme="1"/>
      <name val="Calibri (Body)"/>
    </font>
    <font>
      <b/>
      <u val="singleAccounting"/>
      <sz val="11"/>
      <color theme="1"/>
      <name val="Calibri (Body)"/>
    </font>
    <font>
      <sz val="12"/>
      <color theme="1"/>
      <name val="Calibri"/>
      <family val="2"/>
      <scheme val="minor"/>
    </font>
    <font>
      <sz val="11"/>
      <color rgb="FF0070C0"/>
      <name val="Calibri"/>
      <family val="2"/>
      <scheme val="minor"/>
    </font>
    <font>
      <sz val="11"/>
      <name val="Calibri"/>
      <family val="2"/>
      <scheme val="minor"/>
    </font>
    <font>
      <sz val="12"/>
      <color theme="1"/>
      <name val="Calibri"/>
      <family val="2"/>
    </font>
    <font>
      <b/>
      <sz val="10"/>
      <color theme="1"/>
      <name val="Arial"/>
      <family val="2"/>
    </font>
    <font>
      <sz val="10"/>
      <color theme="1"/>
      <name val="Arial"/>
      <family val="2"/>
    </font>
    <font>
      <sz val="12"/>
      <name val="Arial"/>
      <family val="2"/>
    </font>
    <font>
      <u/>
      <sz val="10"/>
      <color theme="1"/>
      <name val="Arial"/>
      <family val="2"/>
    </font>
  </fonts>
  <fills count="3">
    <fill>
      <patternFill patternType="none"/>
    </fill>
    <fill>
      <patternFill patternType="gray125"/>
    </fill>
    <fill>
      <patternFill patternType="solid">
        <fgColor rgb="FF00123A"/>
        <bgColor indexed="64"/>
      </patternFill>
    </fill>
  </fills>
  <borders count="22">
    <border>
      <left/>
      <right/>
      <top/>
      <bottom/>
      <diagonal/>
    </border>
    <border>
      <left/>
      <right/>
      <top/>
      <bottom style="thin">
        <color indexed="64"/>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3">
    <xf numFmtId="0" fontId="0" fillId="0" borderId="0"/>
    <xf numFmtId="43" fontId="18" fillId="0" borderId="0" applyFont="0" applyFill="0" applyBorder="0" applyAlignment="0" applyProtection="0"/>
    <xf numFmtId="9" fontId="18" fillId="0" borderId="0" applyFont="0" applyFill="0" applyBorder="0" applyAlignment="0" applyProtection="0"/>
  </cellStyleXfs>
  <cellXfs count="148">
    <xf numFmtId="0" fontId="0" fillId="0" borderId="0" xfId="0"/>
    <xf numFmtId="0" fontId="4" fillId="0" borderId="0" xfId="0" applyFont="1"/>
    <xf numFmtId="0" fontId="7" fillId="0" borderId="0" xfId="0" applyFont="1"/>
    <xf numFmtId="0" fontId="4" fillId="0" borderId="0" xfId="0" applyFont="1" applyAlignment="1">
      <alignment horizontal="left" indent="1"/>
    </xf>
    <xf numFmtId="0" fontId="9" fillId="0" borderId="0" xfId="0" applyFont="1" applyAlignment="1">
      <alignment horizontal="right"/>
    </xf>
    <xf numFmtId="164" fontId="9" fillId="0" borderId="0" xfId="0" applyNumberFormat="1" applyFont="1" applyAlignment="1">
      <alignment horizontal="right"/>
    </xf>
    <xf numFmtId="164" fontId="4" fillId="0" borderId="0" xfId="0" applyNumberFormat="1" applyFont="1" applyAlignment="1">
      <alignment horizontal="right"/>
    </xf>
    <xf numFmtId="0" fontId="8" fillId="0" borderId="0" xfId="0" applyFont="1"/>
    <xf numFmtId="7" fontId="9" fillId="0" borderId="0" xfId="0" applyNumberFormat="1" applyFont="1" applyAlignment="1">
      <alignment horizontal="right"/>
    </xf>
    <xf numFmtId="167" fontId="9" fillId="0" borderId="0" xfId="0" applyNumberFormat="1" applyFont="1" applyAlignment="1">
      <alignment horizontal="right"/>
    </xf>
    <xf numFmtId="167" fontId="4" fillId="0" borderId="0" xfId="0" applyNumberFormat="1" applyFont="1"/>
    <xf numFmtId="167" fontId="4" fillId="0" borderId="0" xfId="0" applyNumberFormat="1" applyFont="1" applyAlignment="1">
      <alignment horizontal="right"/>
    </xf>
    <xf numFmtId="167" fontId="8" fillId="0" borderId="0" xfId="0" applyNumberFormat="1" applyFont="1"/>
    <xf numFmtId="168" fontId="4" fillId="0" borderId="0" xfId="0" applyNumberFormat="1" applyFont="1"/>
    <xf numFmtId="169" fontId="4" fillId="0" borderId="0" xfId="0" applyNumberFormat="1" applyFont="1"/>
    <xf numFmtId="169" fontId="9" fillId="0" borderId="0" xfId="0" applyNumberFormat="1" applyFont="1" applyAlignment="1">
      <alignment horizontal="right"/>
    </xf>
    <xf numFmtId="0" fontId="5" fillId="2" borderId="0" xfId="0" applyFont="1" applyFill="1"/>
    <xf numFmtId="0" fontId="6" fillId="2" borderId="0" xfId="0" applyFont="1" applyFill="1"/>
    <xf numFmtId="0" fontId="5" fillId="0" borderId="0" xfId="0" applyFont="1" applyFill="1"/>
    <xf numFmtId="0" fontId="10" fillId="0" borderId="0" xfId="0" applyFont="1" applyFill="1"/>
    <xf numFmtId="10" fontId="4" fillId="0" borderId="0" xfId="0" applyNumberFormat="1" applyFont="1"/>
    <xf numFmtId="0" fontId="4" fillId="0" borderId="0" xfId="0" applyNumberFormat="1" applyFont="1"/>
    <xf numFmtId="170" fontId="9" fillId="0" borderId="0" xfId="0" applyNumberFormat="1" applyFont="1" applyAlignment="1">
      <alignment horizontal="right"/>
    </xf>
    <xf numFmtId="171" fontId="4" fillId="0" borderId="0" xfId="0" applyNumberFormat="1" applyFont="1"/>
    <xf numFmtId="0" fontId="4" fillId="0" borderId="1" xfId="0" applyFont="1" applyBorder="1"/>
    <xf numFmtId="0" fontId="8" fillId="0" borderId="1" xfId="0" applyFont="1" applyBorder="1"/>
    <xf numFmtId="0" fontId="4" fillId="0" borderId="0" xfId="0" applyFont="1" applyBorder="1"/>
    <xf numFmtId="167" fontId="9" fillId="0" borderId="0" xfId="0" applyNumberFormat="1" applyFont="1" applyBorder="1" applyAlignment="1">
      <alignment horizontal="right"/>
    </xf>
    <xf numFmtId="0" fontId="8" fillId="0" borderId="1" xfId="0" applyFont="1" applyFill="1" applyBorder="1"/>
    <xf numFmtId="0" fontId="5" fillId="0" borderId="1" xfId="0" applyFont="1" applyFill="1" applyBorder="1"/>
    <xf numFmtId="0" fontId="7" fillId="0" borderId="3" xfId="0" applyFont="1" applyBorder="1"/>
    <xf numFmtId="165" fontId="8" fillId="0" borderId="3" xfId="0" applyNumberFormat="1" applyFont="1" applyBorder="1"/>
    <xf numFmtId="166" fontId="8" fillId="0" borderId="3" xfId="0" applyNumberFormat="1" applyFont="1" applyBorder="1"/>
    <xf numFmtId="0" fontId="7" fillId="0" borderId="2" xfId="0" applyFont="1" applyBorder="1"/>
    <xf numFmtId="164" fontId="9" fillId="0" borderId="2" xfId="0" applyNumberFormat="1" applyFont="1" applyBorder="1" applyAlignment="1">
      <alignment horizontal="right"/>
    </xf>
    <xf numFmtId="164" fontId="4" fillId="0" borderId="2" xfId="0" applyNumberFormat="1" applyFont="1" applyBorder="1"/>
    <xf numFmtId="0" fontId="12" fillId="0" borderId="1" xfId="0" applyFont="1" applyBorder="1"/>
    <xf numFmtId="167" fontId="8" fillId="0" borderId="0" xfId="0" applyNumberFormat="1" applyFont="1" applyBorder="1" applyAlignment="1">
      <alignment horizontal="center"/>
    </xf>
    <xf numFmtId="172" fontId="9"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Border="1" applyAlignment="1">
      <alignment horizontal="right"/>
    </xf>
    <xf numFmtId="43" fontId="4" fillId="0" borderId="0" xfId="0" applyNumberFormat="1" applyFont="1"/>
    <xf numFmtId="0" fontId="4" fillId="2" borderId="0" xfId="0" applyFont="1" applyFill="1"/>
    <xf numFmtId="173" fontId="9" fillId="0" borderId="0" xfId="0" applyNumberFormat="1" applyFont="1" applyAlignment="1">
      <alignment horizontal="right"/>
    </xf>
    <xf numFmtId="9" fontId="4" fillId="0" borderId="0" xfId="0" applyNumberFormat="1" applyFont="1"/>
    <xf numFmtId="0" fontId="13" fillId="0" borderId="0" xfId="0" applyFont="1"/>
    <xf numFmtId="167" fontId="11" fillId="0" borderId="0" xfId="0" applyNumberFormat="1" applyFont="1"/>
    <xf numFmtId="0" fontId="14" fillId="2" borderId="0" xfId="0" applyFont="1" applyFill="1"/>
    <xf numFmtId="0" fontId="15" fillId="0" borderId="0" xfId="0" applyFont="1" applyAlignment="1">
      <alignment horizontal="centerContinuous"/>
    </xf>
    <xf numFmtId="0" fontId="0" fillId="0" borderId="0" xfId="0" applyAlignment="1">
      <alignment horizontal="left"/>
    </xf>
    <xf numFmtId="0" fontId="0" fillId="0" borderId="0" xfId="0" applyAlignment="1">
      <alignment horizontal="centerContinuous"/>
    </xf>
    <xf numFmtId="0" fontId="4" fillId="0" borderId="0" xfId="0" applyFont="1" applyFill="1"/>
    <xf numFmtId="0" fontId="4" fillId="0" borderId="0" xfId="0" applyFont="1" applyAlignment="1">
      <alignment horizontal="right"/>
    </xf>
    <xf numFmtId="43" fontId="4" fillId="0" borderId="4" xfId="0" applyNumberFormat="1" applyFont="1" applyBorder="1"/>
    <xf numFmtId="0" fontId="16" fillId="0" borderId="0" xfId="0" applyFont="1" applyAlignment="1">
      <alignment horizontal="centerContinuous"/>
    </xf>
    <xf numFmtId="0" fontId="17" fillId="0" borderId="0" xfId="0" applyFont="1" applyAlignment="1">
      <alignment horizontal="centerContinuous"/>
    </xf>
    <xf numFmtId="169" fontId="4" fillId="0" borderId="5" xfId="0" applyNumberFormat="1" applyFont="1" applyBorder="1"/>
    <xf numFmtId="0" fontId="14" fillId="2" borderId="0" xfId="0" applyFont="1" applyFill="1" applyAlignment="1">
      <alignment horizontal="center"/>
    </xf>
    <xf numFmtId="43" fontId="4" fillId="0" borderId="0" xfId="0" applyNumberFormat="1" applyFont="1" applyBorder="1"/>
    <xf numFmtId="43" fontId="8" fillId="0" borderId="0" xfId="0" applyNumberFormat="1" applyFont="1" applyBorder="1"/>
    <xf numFmtId="169" fontId="4" fillId="0" borderId="7" xfId="0" applyNumberFormat="1" applyFont="1" applyBorder="1"/>
    <xf numFmtId="169" fontId="9" fillId="0" borderId="7" xfId="0" applyNumberFormat="1" applyFont="1" applyBorder="1" applyAlignment="1">
      <alignment horizontal="right"/>
    </xf>
    <xf numFmtId="170" fontId="4" fillId="0" borderId="8" xfId="0" applyNumberFormat="1" applyFont="1" applyBorder="1" applyAlignment="1">
      <alignment horizontal="right"/>
    </xf>
    <xf numFmtId="170" fontId="9" fillId="0" borderId="8" xfId="0" applyNumberFormat="1" applyFont="1" applyBorder="1" applyAlignment="1">
      <alignment horizontal="right"/>
    </xf>
    <xf numFmtId="170" fontId="4" fillId="0" borderId="6" xfId="0" applyNumberFormat="1" applyFont="1" applyBorder="1" applyAlignment="1">
      <alignment horizontal="right"/>
    </xf>
    <xf numFmtId="169" fontId="4" fillId="0" borderId="7" xfId="0" applyNumberFormat="1" applyFont="1" applyFill="1" applyBorder="1"/>
    <xf numFmtId="169" fontId="4" fillId="0" borderId="5" xfId="0" applyNumberFormat="1" applyFont="1" applyFill="1" applyBorder="1"/>
    <xf numFmtId="43" fontId="4" fillId="0" borderId="4" xfId="0" applyNumberFormat="1" applyFont="1" applyFill="1" applyBorder="1"/>
    <xf numFmtId="169" fontId="4" fillId="0" borderId="8" xfId="0" applyNumberFormat="1" applyFont="1" applyFill="1" applyBorder="1"/>
    <xf numFmtId="169" fontId="9" fillId="0" borderId="8" xfId="0" applyNumberFormat="1" applyFont="1" applyBorder="1" applyAlignment="1">
      <alignment horizontal="right"/>
    </xf>
    <xf numFmtId="169" fontId="4" fillId="0" borderId="6" xfId="0" applyNumberFormat="1" applyFont="1" applyFill="1" applyBorder="1"/>
    <xf numFmtId="2" fontId="4" fillId="0" borderId="0" xfId="0" applyNumberFormat="1" applyFont="1" applyBorder="1"/>
    <xf numFmtId="2" fontId="8" fillId="0" borderId="0" xfId="0" applyNumberFormat="1" applyFont="1" applyBorder="1"/>
    <xf numFmtId="43" fontId="4" fillId="0" borderId="1" xfId="0" applyNumberFormat="1" applyFont="1" applyBorder="1"/>
    <xf numFmtId="43" fontId="4" fillId="0" borderId="9" xfId="0" applyNumberFormat="1" applyFont="1" applyBorder="1"/>
    <xf numFmtId="43" fontId="4" fillId="0" borderId="10" xfId="0" applyNumberFormat="1" applyFont="1" applyBorder="1"/>
    <xf numFmtId="2" fontId="4" fillId="0" borderId="9" xfId="0" applyNumberFormat="1" applyFont="1" applyBorder="1"/>
    <xf numFmtId="2" fontId="4" fillId="0" borderId="1" xfId="0" applyNumberFormat="1" applyFont="1" applyBorder="1"/>
    <xf numFmtId="2" fontId="4" fillId="0" borderId="10" xfId="0" applyNumberFormat="1" applyFont="1" applyBorder="1"/>
    <xf numFmtId="169" fontId="9" fillId="0" borderId="7" xfId="0" applyNumberFormat="1" applyFont="1" applyFill="1" applyBorder="1" applyAlignment="1">
      <alignment horizontal="right"/>
    </xf>
    <xf numFmtId="168" fontId="19" fillId="0" borderId="0" xfId="0" applyNumberFormat="1" applyFont="1"/>
    <xf numFmtId="169" fontId="19" fillId="0" borderId="0" xfId="0" applyNumberFormat="1" applyFont="1"/>
    <xf numFmtId="167" fontId="20" fillId="0" borderId="0" xfId="0" applyNumberFormat="1" applyFont="1" applyAlignment="1">
      <alignment horizontal="right"/>
    </xf>
    <xf numFmtId="3" fontId="0" fillId="0" borderId="0" xfId="0" applyNumberFormat="1"/>
    <xf numFmtId="0" fontId="3" fillId="0" borderId="0" xfId="0" applyFont="1" applyFill="1"/>
    <xf numFmtId="171" fontId="9" fillId="0" borderId="0" xfId="1" applyNumberFormat="1" applyFont="1" applyFill="1" applyAlignment="1">
      <alignment horizontal="right"/>
    </xf>
    <xf numFmtId="10" fontId="9" fillId="0" borderId="0" xfId="2" applyNumberFormat="1" applyFont="1" applyFill="1" applyAlignment="1">
      <alignment horizontal="right"/>
    </xf>
    <xf numFmtId="0" fontId="8" fillId="0" borderId="0" xfId="0" applyFont="1" applyFill="1"/>
    <xf numFmtId="167" fontId="8" fillId="0" borderId="0" xfId="0" applyNumberFormat="1" applyFont="1" applyFill="1"/>
    <xf numFmtId="0" fontId="2" fillId="0" borderId="0" xfId="0" applyFont="1"/>
    <xf numFmtId="0" fontId="1" fillId="0" borderId="0" xfId="0" applyFont="1"/>
    <xf numFmtId="0" fontId="19" fillId="0" borderId="0" xfId="0" applyFont="1"/>
    <xf numFmtId="9" fontId="4" fillId="0" borderId="0" xfId="2" applyFont="1"/>
    <xf numFmtId="0" fontId="22" fillId="0" borderId="0" xfId="0" applyFont="1" applyAlignment="1">
      <alignment horizontal="left" vertical="center"/>
    </xf>
    <xf numFmtId="0" fontId="21" fillId="0" borderId="0" xfId="0" applyFont="1" applyAlignment="1">
      <alignment horizontal="center"/>
    </xf>
    <xf numFmtId="0" fontId="23" fillId="0" borderId="11" xfId="0" applyFont="1" applyBorder="1"/>
    <xf numFmtId="0" fontId="22" fillId="0" borderId="11" xfId="0" applyFont="1" applyBorder="1" applyAlignment="1">
      <alignment wrapText="1"/>
    </xf>
    <xf numFmtId="0" fontId="22" fillId="0" borderId="12" xfId="0" applyFont="1" applyBorder="1" applyAlignment="1">
      <alignment horizontal="center" wrapText="1"/>
    </xf>
    <xf numFmtId="0" fontId="22" fillId="0" borderId="14" xfId="0" applyFont="1" applyBorder="1"/>
    <xf numFmtId="0" fontId="22" fillId="0" borderId="14" xfId="0" applyFont="1" applyBorder="1" applyAlignment="1">
      <alignment wrapText="1"/>
    </xf>
    <xf numFmtId="0" fontId="22" fillId="0" borderId="15" xfId="0" applyFont="1" applyBorder="1" applyAlignment="1">
      <alignment horizontal="center" wrapText="1"/>
    </xf>
    <xf numFmtId="0" fontId="22" fillId="0" borderId="15" xfId="0" applyFont="1" applyBorder="1" applyAlignment="1">
      <alignment horizontal="center"/>
    </xf>
    <xf numFmtId="0" fontId="22" fillId="0" borderId="16" xfId="0" applyFont="1" applyBorder="1" applyAlignment="1">
      <alignment horizontal="center"/>
    </xf>
    <xf numFmtId="0" fontId="22" fillId="0" borderId="2" xfId="0" applyFont="1" applyBorder="1" applyAlignment="1">
      <alignment horizontal="center"/>
    </xf>
    <xf numFmtId="0" fontId="23" fillId="0" borderId="17" xfId="0" applyFont="1" applyBorder="1"/>
    <xf numFmtId="0" fontId="21" fillId="0" borderId="14" xfId="0" applyFont="1" applyBorder="1"/>
    <xf numFmtId="44" fontId="21" fillId="0" borderId="14" xfId="0" applyNumberFormat="1" applyFont="1" applyBorder="1" applyAlignment="1">
      <alignment horizontal="center"/>
    </xf>
    <xf numFmtId="174" fontId="21" fillId="0" borderId="14" xfId="0" applyNumberFormat="1" applyFont="1" applyBorder="1" applyAlignment="1">
      <alignment horizontal="center"/>
    </xf>
    <xf numFmtId="0" fontId="21" fillId="0" borderId="17" xfId="0" applyFont="1" applyBorder="1"/>
    <xf numFmtId="0" fontId="21" fillId="0" borderId="17" xfId="0" applyFont="1" applyBorder="1" applyAlignment="1">
      <alignment horizontal="center"/>
    </xf>
    <xf numFmtId="174" fontId="21" fillId="0" borderId="17" xfId="0" applyNumberFormat="1" applyFont="1" applyBorder="1"/>
    <xf numFmtId="174" fontId="21" fillId="0" borderId="17" xfId="0" applyNumberFormat="1" applyFont="1" applyBorder="1" applyAlignment="1">
      <alignment horizontal="center"/>
    </xf>
    <xf numFmtId="0" fontId="22" fillId="0" borderId="17" xfId="0" applyFont="1" applyBorder="1"/>
    <xf numFmtId="44" fontId="21" fillId="0" borderId="17" xfId="0" applyNumberFormat="1" applyFont="1" applyBorder="1"/>
    <xf numFmtId="6" fontId="21" fillId="0" borderId="0" xfId="0" applyNumberFormat="1" applyFont="1"/>
    <xf numFmtId="174" fontId="21" fillId="0" borderId="0" xfId="0" applyNumberFormat="1" applyFont="1" applyAlignment="1">
      <alignment horizontal="center"/>
    </xf>
    <xf numFmtId="0" fontId="22" fillId="0" borderId="0" xfId="0" applyFont="1" applyAlignment="1">
      <alignment vertical="center"/>
    </xf>
    <xf numFmtId="0" fontId="23" fillId="0" borderId="0" xfId="0" applyFont="1" applyAlignment="1">
      <alignment horizontal="center" vertical="center"/>
    </xf>
    <xf numFmtId="0" fontId="25" fillId="0" borderId="0" xfId="0" applyFont="1" applyAlignment="1">
      <alignment horizontal="right" vertical="center"/>
    </xf>
    <xf numFmtId="0" fontId="23" fillId="0" borderId="0" xfId="0" applyFont="1" applyAlignment="1">
      <alignment vertical="center"/>
    </xf>
    <xf numFmtId="8" fontId="23" fillId="0" borderId="0" xfId="0" applyNumberFormat="1" applyFont="1" applyAlignment="1">
      <alignment horizontal="right" vertical="center"/>
    </xf>
    <xf numFmtId="0" fontId="23" fillId="0" borderId="0" xfId="0" applyFont="1"/>
    <xf numFmtId="38" fontId="21" fillId="0" borderId="0" xfId="0" applyNumberFormat="1" applyFont="1"/>
    <xf numFmtId="175" fontId="21" fillId="0" borderId="0" xfId="0" applyNumberFormat="1" applyFont="1"/>
    <xf numFmtId="176" fontId="21" fillId="0" borderId="0" xfId="0" applyNumberFormat="1" applyFont="1"/>
    <xf numFmtId="0" fontId="22" fillId="0" borderId="18" xfId="0" applyFont="1" applyBorder="1"/>
    <xf numFmtId="0" fontId="21" fillId="0" borderId="19" xfId="0" applyFont="1" applyBorder="1"/>
    <xf numFmtId="0" fontId="21" fillId="0" borderId="19" xfId="0" applyFont="1" applyBorder="1" applyAlignment="1">
      <alignment horizontal="center"/>
    </xf>
    <xf numFmtId="8" fontId="21" fillId="0" borderId="19" xfId="0" applyNumberFormat="1" applyFont="1" applyBorder="1"/>
    <xf numFmtId="0" fontId="21" fillId="0" borderId="20" xfId="0" applyFont="1" applyBorder="1"/>
    <xf numFmtId="0" fontId="21" fillId="0" borderId="14" xfId="0" applyFont="1" applyBorder="1" applyAlignment="1">
      <alignment horizontal="center"/>
    </xf>
    <xf numFmtId="177" fontId="21" fillId="0" borderId="14" xfId="0" applyNumberFormat="1" applyFont="1" applyBorder="1" applyAlignment="1">
      <alignment horizontal="center"/>
    </xf>
    <xf numFmtId="8" fontId="21" fillId="0" borderId="14" xfId="0" applyNumberFormat="1" applyFont="1" applyBorder="1" applyAlignment="1">
      <alignment horizontal="center"/>
    </xf>
    <xf numFmtId="177" fontId="21" fillId="0" borderId="17" xfId="0" applyNumberFormat="1" applyFont="1" applyBorder="1" applyAlignment="1">
      <alignment horizontal="center"/>
    </xf>
    <xf numFmtId="8" fontId="21" fillId="0" borderId="17" xfId="0" applyNumberFormat="1" applyFont="1" applyBorder="1" applyAlignment="1">
      <alignment horizontal="center"/>
    </xf>
    <xf numFmtId="0" fontId="23" fillId="0" borderId="17" xfId="0" applyFont="1" applyBorder="1" applyAlignment="1">
      <alignment horizontal="center"/>
    </xf>
    <xf numFmtId="0" fontId="22" fillId="0" borderId="12" xfId="0" applyFont="1" applyBorder="1" applyAlignment="1">
      <alignment wrapText="1"/>
    </xf>
    <xf numFmtId="0" fontId="22" fillId="0" borderId="15" xfId="0" applyFont="1" applyBorder="1" applyAlignment="1">
      <alignment wrapText="1"/>
    </xf>
    <xf numFmtId="14" fontId="0" fillId="0" borderId="0" xfId="0" applyNumberFormat="1"/>
    <xf numFmtId="0" fontId="0" fillId="0" borderId="0" xfId="0" applyBorder="1"/>
    <xf numFmtId="0" fontId="21" fillId="0" borderId="0" xfId="0" applyFont="1" applyBorder="1"/>
    <xf numFmtId="0" fontId="21" fillId="0" borderId="21" xfId="0" applyFont="1" applyFill="1" applyBorder="1"/>
    <xf numFmtId="171" fontId="20" fillId="0" borderId="0" xfId="1" applyNumberFormat="1" applyFont="1" applyFill="1" applyAlignment="1">
      <alignment horizontal="right"/>
    </xf>
    <xf numFmtId="10" fontId="20" fillId="0" borderId="0" xfId="2" applyNumberFormat="1" applyFont="1" applyFill="1" applyAlignment="1">
      <alignment horizontal="right"/>
    </xf>
    <xf numFmtId="0" fontId="22" fillId="0" borderId="12" xfId="0" applyFont="1" applyBorder="1" applyAlignment="1">
      <alignment horizontal="center"/>
    </xf>
    <xf numFmtId="0" fontId="24" fillId="0" borderId="13" xfId="0" applyFont="1" applyBorder="1"/>
    <xf numFmtId="0" fontId="22" fillId="0" borderId="3" xfId="0" applyFont="1" applyBorder="1" applyAlignment="1">
      <alignment horizontal="center"/>
    </xf>
    <xf numFmtId="14" fontId="4" fillId="0" borderId="0" xfId="0"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FFD700"/>
      <color rgb="FF00123A"/>
      <color rgb="FF92C8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240818</xdr:colOff>
      <xdr:row>0</xdr:row>
      <xdr:rowOff>161676</xdr:rowOff>
    </xdr:from>
    <xdr:to>
      <xdr:col>9</xdr:col>
      <xdr:colOff>565719</xdr:colOff>
      <xdr:row>6</xdr:row>
      <xdr:rowOff>158107</xdr:rowOff>
    </xdr:to>
    <xdr:pic>
      <xdr:nvPicPr>
        <xdr:cNvPr id="2" name="Picture 1">
          <a:extLst>
            <a:ext uri="{FF2B5EF4-FFF2-40B4-BE49-F238E27FC236}">
              <a16:creationId xmlns:a16="http://schemas.microsoft.com/office/drawing/2014/main" id="{3DFA55EB-F605-4046-9560-785A7633B2E3}"/>
            </a:ext>
          </a:extLst>
        </xdr:cNvPr>
        <xdr:cNvPicPr>
          <a:picLocks noChangeAspect="1"/>
        </xdr:cNvPicPr>
      </xdr:nvPicPr>
      <xdr:blipFill>
        <a:blip xmlns:r="http://schemas.openxmlformats.org/officeDocument/2006/relationships" r:embed="rId1"/>
        <a:stretch>
          <a:fillRect/>
        </a:stretch>
      </xdr:blipFill>
      <xdr:spPr>
        <a:xfrm>
          <a:off x="10060406" y="161676"/>
          <a:ext cx="1149746" cy="1080513"/>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1">
  <rv s="0">
    <v>https://www.bing.com/financeapi/forcetrigger?t=a1vmf2&amp;q=XNAS%3aINTC&amp;form=skydnc</v>
    <v>Learn more on Bing</v>
  </rv>
  <rv s="1">
    <v>en-US</v>
    <v>a1vmf2</v>
    <v>268435456</v>
    <v>1</v>
    <v>Powered by Refinitiv</v>
    <v>0</v>
    <v>INTEL CORPORATION (XNAS:INTC)</v>
    <v>2</v>
    <v>3</v>
    <v>Finance</v>
    <v>4</v>
    <v>68.489999999999995</v>
    <v>43.625</v>
    <v>0.56499999999999995</v>
    <v>0.42009999999999997</v>
    <v>9.4619999999999999E-3</v>
    <v>USD</v>
    <v>Intel Corporation is engaged in designing and manufacturing products and technologies. The Company’s segments are Data Center Group (DCG), Internet of Things Group (IOTG), Mobileye, Non-Volatile Memory Solutions Group (NSG) and Programmable Solutions Group (PSG). DCG segment develops workload-optimization platforms for compute, storage and network functions. IOTG segment develops high-performance compute platforms that solve for technology and business use cases that can scale across vertical industries and embedded markets. Mobileye segment provides driving assistance and self-driving solutions. NSG segment provides memory and storage products based on Intel Optane technology and Intel three dimensional (3D) NAND technology. PSG segment offers programmable semiconductors, primarily FPGAs and Application-Specific Integrated Circuits (ASICs) and related products.</v>
    <v>121100</v>
    <v>Nasdaq Stock Market</v>
    <v>XNAS</v>
    <v>XNAS</v>
    <v>2200 Mission College Blvd, SANTA CLARA, CA, 95054-1537 US</v>
    <v>44.85</v>
    <v>Semiconductors &amp; Semiconductor Equipment</v>
    <v>Stock</v>
    <v>44635.815506469531</v>
    <v>0</v>
    <v>44.07</v>
    <v>182462627100</v>
    <v>INTEL CORPORATION</v>
    <v>INTEL CORPORATION</v>
    <v>44.53</v>
    <v>9.1401000000000003</v>
    <v>44.4</v>
    <v>44.820099999999996</v>
    <v>4071000000</v>
    <v>INTC</v>
    <v>INTEL CORPORATION (XNAS:INTC)</v>
    <v>23397571</v>
    <v>40345959</v>
    <v>1989</v>
  </rv>
  <rv s="2">
    <v>1</v>
  </rv>
  <rv s="0">
    <v>http://creativecommons.org/licenses/by-sa/3.0/</v>
    <v>CC-BY-SA-3.0</v>
  </rv>
  <rv s="0">
    <v>http://no.wikipedia.org/wiki/Advanced_Micro_Devices</v>
    <v>Wikipedia</v>
  </rv>
  <rv s="3">
    <v>3</v>
    <v>4</v>
  </rv>
  <rv s="4">
    <v>9</v>
    <v>https://www.bing.com/th?id=AMMS_e3fa462c362b004b5cbe2354fd6f67e1&amp;qlt=95</v>
    <v>5</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4</v>
    <v>164.4599</v>
    <v>72.5</v>
    <v>1.8968</v>
    <v>7.2850000000000001</v>
    <v>7.1247000000000005E-2</v>
    <v>USD</v>
    <v>Advanced Micro Devices, Inc. is a global semiconductor company. The Company’s products include x86 microprocessors (CPUs), accelerated processing units (APUs), discrete graphics processing units (GPUs), semi-custom System-on-Chip (SOC) products and chipsets for the personal computer (PC), gaming, datacenter and markets. The Company's segments include the Computing and Graphics segment, and the Enterprise, Embedded and Semi-Custom segment. The Computing and Graphics segment primarily includes desktop and notebook processors and chipsets, discrete and integrated graphics processing units (GPUs), data center and professional GPUs and development services. The Enterprise, Embedded and Semi-Custom segment primarily includes server and embedded processors, semi-custom SoC products, development services and technology for game consoles.</v>
    <v>15500</v>
    <v>Nasdaq Stock Market</v>
    <v>XNAS</v>
    <v>XNAS</v>
    <v>2485 Augustine Dr, SANTA CLARA, CA, 95054-3002 US</v>
    <v>109.685</v>
    <v>6</v>
    <v>Semiconductors &amp; Semiconductor Equipment</v>
    <v>Stock</v>
    <v>44635.815508344531</v>
    <v>7</v>
    <v>101.79</v>
    <v>178253425275</v>
    <v>ADVANCED MICRO DEVICES, INC.</v>
    <v>ADVANCED MICRO DEVICES, INC.</v>
    <v>102.57</v>
    <v>39.724800000000002</v>
    <v>102.25</v>
    <v>109.535</v>
    <v>1627365000</v>
    <v>AMD</v>
    <v>ADVANCED MICRO DEVICES, INC. (XNAS:AMD)</v>
    <v>100632542</v>
    <v>115244092</v>
    <v>1969</v>
  </rv>
  <rv s="2">
    <v>8</v>
  </rv>
  <rv s="0">
    <v>http://en.wikipedia.org/wiki/Public_domain</v>
    <v>Public domain</v>
  </rv>
  <rv s="0">
    <v>http://en.wikipedia.org/wiki/Qualcomm</v>
    <v>Wikipedia</v>
  </rv>
  <rv s="3">
    <v>10</v>
    <v>11</v>
  </rv>
  <rv s="4">
    <v>9</v>
    <v>https://www.bing.com/th?id=AMMS_2b1c176dae370ecc0d55a1517537f595&amp;qlt=95</v>
    <v>12</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193.58</v>
    <v>122.16500000000001</v>
    <v>1.3147</v>
    <v>2.39</v>
    <v>1.6916E-2</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45000</v>
    <v>Nasdaq Stock Market</v>
    <v>XNAS</v>
    <v>XNAS</v>
    <v>5775 Morehouse Dr, SAN DIEGO, CA, 92121-1714 US</v>
    <v>143.93</v>
    <v>13</v>
    <v>Semiconductors &amp; Semiconductor Equipment</v>
    <v>Stock</v>
    <v>44635.81551629609</v>
    <v>14</v>
    <v>139.06</v>
    <v>161927360000</v>
    <v>QUALCOMM INCORPORATED</v>
    <v>QUALCOMM INCORPORATED</v>
    <v>142.43</v>
    <v>16.192900000000002</v>
    <v>141.29</v>
    <v>143.68</v>
    <v>1127000000</v>
    <v>QCOM</v>
    <v>QUALCOMM INCORPORATED (XNAS:QCOM)</v>
    <v>10008959</v>
    <v>10288895</v>
    <v>1991</v>
  </rv>
  <rv s="2">
    <v>15</v>
  </rv>
  <rv s="0">
    <v>https://www.bing.com/financeapi/forcetrigger?t=a1x4w7&amp;q=XNAS%3aLSCC&amp;form=skydnc</v>
    <v>Learn more on Bing</v>
  </rv>
  <rv s="1">
    <v>en-US</v>
    <v>a1x4w7</v>
    <v>268435456</v>
    <v>1</v>
    <v>Powered by Refinitiv</v>
    <v>0</v>
    <v>LATTICE SEMICONDUCTOR CORPORATION (XNAS:LSCC)</v>
    <v>2</v>
    <v>3</v>
    <v>Finance</v>
    <v>10</v>
    <v>85.447999999999993</v>
    <v>39.08</v>
    <v>1.113</v>
    <v>3.7149999999999999</v>
    <v>7.2828999999999991E-2</v>
    <v>USD</v>
    <v>Lattice Semiconductor Corporation is a low power programmable solution provider that develops technologies and monetizes through differentiated programmable logic semiconductor products, system solutions, design services and licenses. The Company is focused on solving customer problems across the network, from the Edge to the Cloud, in the communications, computing, industrial, automotive and consumer markets. It is focused on delivering programmable logic products and related solutions based on low power and small size. It also serves its customers with intellectual property (IP) licensing and various other services. Its product development activities include new products, advanced packaging, existing product enhancements, software development tools, soft IP, and system solutions for high-growth applications such as Edge Artificial Intelligence, fifth generation (5G) infrastructure, platform security and factory automation. It also offers field programmable gate array (FPGA) devices.</v>
    <v>856</v>
    <v>Nasdaq Stock Market</v>
    <v>XNAS</v>
    <v>XNAS</v>
    <v>5555 NE MOORE CT, HILLSBORO, OR, 97124 US</v>
    <v>54.88</v>
    <v>Semiconductors &amp; Semiconductor Equipment</v>
    <v>Stock</v>
    <v>44635.80508918906</v>
    <v>17</v>
    <v>51.24</v>
    <v>7535079777</v>
    <v>LATTICE SEMICONDUCTOR CORPORATION</v>
    <v>LATTICE SEMICONDUCTOR CORPORATION</v>
    <v>51.81</v>
    <v>75.377200000000002</v>
    <v>51.01</v>
    <v>54.725000000000001</v>
    <v>137689900</v>
    <v>LSCC</v>
    <v>LATTICE SEMICONDUCTOR CORPORATION (XNAS:LSCC)</v>
    <v>648157</v>
    <v>1269407</v>
    <v>1985</v>
  </rv>
  <rv s="2">
    <v>18</v>
  </rv>
  <rv s="0">
    <v>http://en.wikipedia.org/wiki/Broadcom_Inc.</v>
    <v>Wikipedia</v>
  </rv>
  <rv s="3">
    <v>10</v>
    <v>20</v>
  </rv>
  <rv s="4">
    <v>9</v>
    <v>https://www.bing.com/th?id=AMMS_223510cc1bd4d829dfc7dee799fda728&amp;qlt=95</v>
    <v>21</v>
    <v>0</v>
    <v>https://www.bing.com/images/search?form=xlimg&amp;q=avago</v>
    <v>Image of Broadcom Inc.</v>
  </rv>
  <rv s="0">
    <v>https://www.bing.com/financeapi/forcetrigger?t=a1nz8m&amp;q=XNAS%3aAVGO&amp;form=skydnc</v>
    <v>Learn more on Bing</v>
  </rv>
  <rv s="5">
    <v>en-US</v>
    <v>a1nz8m</v>
    <v>268435456</v>
    <v>1</v>
    <v>Powered by Refinitiv</v>
    <v>5</v>
    <v>Broadcom Inc. (XNAS:AVGO)</v>
    <v>7</v>
    <v>8</v>
    <v>Finance</v>
    <v>10</v>
    <v>677.76</v>
    <v>419.14</v>
    <v>1.0229999999999999</v>
    <v>26.47</v>
    <v>4.6619000000000001E-2</v>
    <v>USD</v>
    <v>Broadcom Inc. is a technology company. The Company designs, develops and supplies a range of semiconductor and infrastructure software solutions. It operates through two segments: semiconductor solutions and infrastructure software. Its semiconductor solutions segment includes semiconductor solution product lines, as well as its Internet protocol (IP) licensing. Its infrastructure software segment includes its mainframe, BizOps and cyber security software solutions, and its fiber channel storage area networking (FC SAN) business. It develops semiconductor devices with a focus on complex digital and mixed signal complementary metal oxide semiconductor (CMOS) based devices and analog III-V based products. It provides semiconductor solutions for managing the movement of data in data center, telecom, enterprise, and embedded networking applications.</v>
    <v>20000</v>
    <v>Nasdaq Stock Market</v>
    <v>XNAS</v>
    <v>XNAS</v>
    <v>1320 Ridder Park Drive, SAN JOSE, CA, 95131 US</v>
    <v>596.76</v>
    <v>22</v>
    <v>Semiconductors &amp; Semiconductor Equipment</v>
    <v>Stock</v>
    <v>44635.805092603907</v>
    <v>23</v>
    <v>575.04</v>
    <v>242629268724</v>
    <v>Broadcom Inc.</v>
    <v>Broadcom Inc.</v>
    <v>577.27</v>
    <v>32.344000000000001</v>
    <v>567.79999999999995</v>
    <v>594.27</v>
    <v>408281200</v>
    <v>AVGO</v>
    <v>Broadcom Inc. (XNAS:AVGO)</v>
    <v>1593480</v>
    <v>2434856</v>
    <v>2018</v>
  </rv>
  <rv s="2">
    <v>24</v>
  </rv>
  <rv s="0">
    <v>http://de.wikipedia.org/wiki/Synaptics</v>
    <v>Wikipedia</v>
  </rv>
  <rv s="3">
    <v>10</v>
    <v>26</v>
  </rv>
  <rv s="4">
    <v>9</v>
    <v>https://www.bing.com/th?id=AMMS_92b985d6a7ef10b4dbead1f21ebe1339&amp;qlt=95</v>
    <v>27</v>
    <v>0</v>
    <v>https://www.bing.com/images/search?form=xlimg&amp;q=synaptics</v>
    <v>Image of SYNAPTICS INCORPORATED</v>
  </rv>
  <rv s="0">
    <v>https://www.bing.com/financeapi/forcetrigger?t=a23vur&amp;q=XNAS%3aSYNA&amp;form=skydnc</v>
    <v>Learn more on Bing</v>
  </rv>
  <rv s="5">
    <v>en-US</v>
    <v>a23vur</v>
    <v>268435456</v>
    <v>1</v>
    <v>Powered by Refinitiv</v>
    <v>5</v>
    <v>SYNAPTICS INCORPORATED (XNAS:SYNA)</v>
    <v>7</v>
    <v>8</v>
    <v>Finance</v>
    <v>4</v>
    <v>299.39</v>
    <v>114.05</v>
    <v>1.2989999999999999</v>
    <v>15.43</v>
    <v>7.7949000000000004E-2</v>
    <v>USD</v>
    <v>Synaptics Incorporated is a developer and supplier of custom-designed semiconductor solutions that enable people to interact with a range of various mobile computing, communications, entertainment, and other electronic devices. The Company operates in the market of smartphones, tablets, personal computer (PC) products, Internet of things (IoT), which includes devices with voice, speech and video within smart homes, and other select electronic devices, including devices in automobiles. The Company also delivers semiconductor solutions, including connectivity products, audio input and output System-On-Chips (SoCs), high-definition video and vision SoCs, touch controllers, display drivers, fingerprint sensors, and touchpads. The Company provides custom product solutions for navigation, cursor control, access to devices or applications through fingerprint authentication, and audio codecs.</v>
    <v>1463</v>
    <v>Nasdaq Stock Market</v>
    <v>XNAS</v>
    <v>XNAS</v>
    <v>1251 McKay Dr, SAN JOSE, CA, 95131-1709 US</v>
    <v>213.68</v>
    <v>28</v>
    <v>Computers, Phones &amp; Household Electronics</v>
    <v>Stock</v>
    <v>44635.81545256875</v>
    <v>29</v>
    <v>197.96</v>
    <v>8433567106</v>
    <v>SYNAPTICS INCORPORATED</v>
    <v>SYNAPTICS INCORPORATED</v>
    <v>200.26</v>
    <v>56.572200000000002</v>
    <v>197.95</v>
    <v>213.38</v>
    <v>39523700</v>
    <v>SYNA</v>
    <v>SYNAPTICS INCORPORATED (XNAS:SYNA)</v>
    <v>267040</v>
    <v>436369</v>
    <v>2002</v>
  </rv>
  <rv s="2">
    <v>30</v>
  </rv>
  <rv s="0">
    <v>https://www.bing.com/financeapi/forcetrigger?t=a232k2&amp;q=XNAS%3aSLAB&amp;form=skydnc</v>
    <v>Learn more on Bing</v>
  </rv>
  <rv s="1">
    <v>en-US</v>
    <v>a232k2</v>
    <v>268435456</v>
    <v>1</v>
    <v>Powered by Refinitiv</v>
    <v>0</v>
    <v>SILICON LABORATORIES INC. (XNAS:SLAB)</v>
    <v>2</v>
    <v>3</v>
    <v>Finance</v>
    <v>4</v>
    <v>211.982</v>
    <v>120.15</v>
    <v>1.2861</v>
    <v>5.65</v>
    <v>4.2226999999999994E-2</v>
    <v>USD</v>
    <v>Silicon Laboratories Inc. is a provider of silicon, software and solutions for the Internet of Things (IoT), industrial and consumer markets. The Company operates through mixed-signal analog intensive products segment. The Company provides analog-intensive, mixed-signal solutions for use in a range of electronic products in various applications for the IoT market. The Company's product categories include IoT Products, which include wireless connectivity, microcontroller (MCU) and sensor products. It offers products for embedded systems that include 8-bit mixed-signal microcontrollers (MCUs), 32-bit wireless MCUs and ultra-low-power 32-bit microcontroller and wireless MCU connectivity solutions using the ARM Cortex-M0+/M3/M4 and M33 cores. Its portfolio addresses a variety of target markets, including smart home, commercial (building automation and retail) and industrial (energy, factory automation, cities).</v>
    <v>1667</v>
    <v>Nasdaq Stock Market</v>
    <v>XNAS</v>
    <v>XNAS</v>
    <v>400 W Cesar Chavez St, AUSTIN, TX, 78701-3883 US</v>
    <v>139.62</v>
    <v>Semiconductors &amp; Semiconductor Equipment</v>
    <v>Stock</v>
    <v>44635.81547835625</v>
    <v>32</v>
    <v>132.9</v>
    <v>5321374348</v>
    <v>SILICON LABORATORIES INC.</v>
    <v>SILICON LABORATORIES INC.</v>
    <v>134.71</v>
    <v>261.29090000000002</v>
    <v>133.80000000000001</v>
    <v>139.44999999999999</v>
    <v>38159730</v>
    <v>SLAB</v>
    <v>SILICON LABORATORIES INC. (XNAS:SLAB)</v>
    <v>544362</v>
    <v>419373</v>
    <v>1996</v>
  </rv>
  <rv s="2">
    <v>33</v>
  </rv>
  <rv s="0">
    <v>https://www.bing.com/financeapi/forcetrigger?t=a24p1h&amp;q=XNAS%3aTXN&amp;form=skydnc</v>
    <v>Learn more on Bing</v>
  </rv>
  <rv s="1">
    <v>en-US</v>
    <v>a24p1h</v>
    <v>268435456</v>
    <v>1</v>
    <v>Powered by Refinitiv</v>
    <v>0</v>
    <v>TEXAS INSTRUMENTS INCORPORATED (XNAS:TXN)</v>
    <v>2</v>
    <v>3</v>
    <v>Finance</v>
    <v>4</v>
    <v>202.26</v>
    <v>161.04</v>
    <v>0.93320000000000003</v>
    <v>5.13</v>
    <v>3.0769999999999999E-2</v>
    <v>USD</v>
    <v>Texas Instruments Incorporated designs, makes and sells semiconductors to electronics designers and manufacturers across the world. The Company operates through segments such as Analog and Embedded Processing. The Company's Analog segment's product lines includes Power and Signal Chain. Power includes products that help customers manage power in electronic systems in all end markets. Signal Chain includes products that sense, condition and measure signals to allow information to be transferred or converted for processing and control. Its Embedded Processing segment includes microcontrollers, digital signal processors (DSPs) and applications processors. Microcontrollers are systems with a processor core, memory and peripherals that are designed to control a set of tasks for electronic equipment. DSPs perform mathematical computations to process digital data. Applications processors are designed for computing activity.</v>
    <v>31000</v>
    <v>Nasdaq Stock Market</v>
    <v>XNAS</v>
    <v>XNAS</v>
    <v>12500 T I Blvd, DALLAS, TX, 75243-0592 US</v>
    <v>172.58</v>
    <v>Semiconductors &amp; Semiconductor Equipment</v>
    <v>Stock</v>
    <v>44635.815518517971</v>
    <v>35</v>
    <v>167.88499999999999</v>
    <v>158711569135</v>
    <v>TEXAS INSTRUMENTS INCORPORATED</v>
    <v>TEXAS INSTRUMENTS INCORPORATED</v>
    <v>168.06</v>
    <v>20.1724</v>
    <v>166.72</v>
    <v>171.85</v>
    <v>923547100</v>
    <v>TXN</v>
    <v>TEXAS INSTRUMENTS INCORPORATED (XNAS:TXN)</v>
    <v>3155752</v>
    <v>6267271</v>
    <v>1938</v>
  </rv>
  <rv s="2">
    <v>36</v>
  </rv>
  <rv s="0">
    <v>https://www.bing.com/financeapi/forcetrigger?t=a1yv52&amp;q=XNAS%3aNVDA&amp;form=skydnc</v>
    <v>Learn more on Bing</v>
  </rv>
  <rv s="1">
    <v>en-US</v>
    <v>a1yv52</v>
    <v>268435456</v>
    <v>1</v>
    <v>Powered by Refinitiv</v>
    <v>0</v>
    <v>NVIDIA CORPORATION (XNAS:NVDA)</v>
    <v>2</v>
    <v>3</v>
    <v>Finance</v>
    <v>4</v>
    <v>346.47</v>
    <v>122.72</v>
    <v>1.4555</v>
    <v>16.707799999999999</v>
    <v>7.8329999999999997E-2</v>
    <v>USD</v>
    <v>Nvidia Corporation is an artificial intelligence computing company. It operates through two segments: Graphics and Compute &amp; Networking. Its Graphics segment includes GeForce graphics processing unit (GPU), the GeForce NOW game streaming service and related infrastructure, and solutions for gaming platforms; Quadro/NVIDIA RTX GPUs for enterprise workstation graphics; virtual graphics processing unit (vGPU) software for cloud-based visual and virtual computing; and automotive platforms for infotainment systems. Its Compute &amp; Networking segment includes Data Center platforms and systems for artificial intelligence (AI), high-performance computing (HPC), and accelerated computing; Mellanox networking and interconnect solutions; automotive AI Cockpit, autonomous driving development agreements, and autonomous vehicle solutions; and Jetson for robotics and other embedded platforms. Its platforms address markets such as Gaming, Professional Visualization, Data Center, and Automotive.</v>
    <v>18975</v>
    <v>Nasdaq Stock Market</v>
    <v>XNAS</v>
    <v>XNAS</v>
    <v>2788 San Tomas Expy, SANTA CLARA, CA, 95051-0952 US</v>
    <v>230.37</v>
    <v>Semiconductors &amp; Semiconductor Equipment</v>
    <v>Stock</v>
    <v>44635.815503888283</v>
    <v>38</v>
    <v>213.2201</v>
    <v>575019500000</v>
    <v>NVIDIA CORPORATION</v>
    <v>NVIDIA CORPORATION</v>
    <v>215.46</v>
    <v>55.4617</v>
    <v>213.3</v>
    <v>230.0078</v>
    <v>2500000000</v>
    <v>NVDA</v>
    <v>NVIDIA CORPORATION (XNAS:NVDA)</v>
    <v>40997594</v>
    <v>52397052</v>
    <v>1998</v>
  </rv>
  <rv s="2">
    <v>39</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m/d/yyyy\ 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Pr n="IsHeroField" t="b"/>
  </richProperties>
  <richStyles>
    <rSty dxfid="6">
      <rpv i="0">_([$$-en-US]* #,##0.00_);_([$$-en-US]* (#,##0.00);_([$$-en-US]* "-"??_);_(@_)</rpv>
    </rSty>
    <rSty dxfid="4">
      <rpv i="0">#,##0.00</rpv>
    </rSty>
    <rSty>
      <rpv i="1">1</rpv>
    </rSty>
    <rSty dxfid="3">
      <rpv i="0">#,##0</rpv>
    </rSty>
    <rSty dxfid="2"/>
    <rSty dxfid="6">
      <rpv i="0">_([$$-en-US]* #,##0_);_([$$-en-US]* (#,##0);_([$$-en-US]* "-"_);_(@_)</rpv>
    </rSty>
    <rSty dxfid="1"/>
    <rSty dxfid="5">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EE626-EE9B-4164-BEB3-9EE6EF61F1A8}">
  <dimension ref="A1:F19"/>
  <sheetViews>
    <sheetView tabSelected="1" workbookViewId="0">
      <selection activeCell="I12" sqref="I12"/>
    </sheetView>
  </sheetViews>
  <sheetFormatPr defaultRowHeight="15.6"/>
  <cols>
    <col min="1" max="1" width="17.296875" bestFit="1" customWidth="1"/>
    <col min="2" max="2" width="19.19921875" bestFit="1" customWidth="1"/>
    <col min="3" max="3" width="11.3984375" bestFit="1" customWidth="1"/>
    <col min="4" max="4" width="9.8984375" bestFit="1" customWidth="1"/>
    <col min="5" max="5" width="6.296875" bestFit="1" customWidth="1"/>
    <col min="6" max="6" width="5.09765625" bestFit="1" customWidth="1"/>
  </cols>
  <sheetData>
    <row r="1" spans="1:6">
      <c r="B1" s="138">
        <v>44592</v>
      </c>
      <c r="C1" s="138">
        <v>44227</v>
      </c>
      <c r="D1" s="138">
        <v>43861</v>
      </c>
      <c r="F1" t="s">
        <v>236</v>
      </c>
    </row>
    <row r="2" spans="1:6">
      <c r="A2" t="s">
        <v>12</v>
      </c>
      <c r="B2" s="83">
        <v>26914000</v>
      </c>
      <c r="C2" s="83">
        <v>16675000</v>
      </c>
      <c r="D2" s="83">
        <v>10918000</v>
      </c>
      <c r="E2" t="s">
        <v>237</v>
      </c>
      <c r="F2" s="138" t="s">
        <v>248</v>
      </c>
    </row>
    <row r="3" spans="1:6">
      <c r="A3" t="s">
        <v>14</v>
      </c>
      <c r="B3">
        <v>102</v>
      </c>
      <c r="C3" t="s">
        <v>238</v>
      </c>
      <c r="D3">
        <v>800</v>
      </c>
      <c r="F3">
        <v>800</v>
      </c>
    </row>
    <row r="4" spans="1:6">
      <c r="A4" t="s">
        <v>16</v>
      </c>
      <c r="B4">
        <v>103</v>
      </c>
      <c r="C4" t="s">
        <v>239</v>
      </c>
      <c r="D4">
        <v>200</v>
      </c>
      <c r="F4">
        <v>200</v>
      </c>
    </row>
    <row r="5" spans="1:6">
      <c r="A5" t="s">
        <v>240</v>
      </c>
      <c r="B5">
        <v>104</v>
      </c>
      <c r="C5" t="s">
        <v>241</v>
      </c>
      <c r="D5">
        <v>2000</v>
      </c>
      <c r="F5">
        <v>2000</v>
      </c>
    </row>
    <row r="6" spans="1:6">
      <c r="A6" t="s">
        <v>242</v>
      </c>
      <c r="B6">
        <v>105</v>
      </c>
      <c r="C6" t="s">
        <v>243</v>
      </c>
      <c r="D6">
        <v>100</v>
      </c>
      <c r="F6">
        <v>100</v>
      </c>
    </row>
    <row r="7" spans="1:6">
      <c r="A7" t="s">
        <v>244</v>
      </c>
      <c r="B7">
        <v>106</v>
      </c>
      <c r="C7" t="s">
        <v>245</v>
      </c>
      <c r="D7">
        <v>1500</v>
      </c>
      <c r="F7">
        <v>1500</v>
      </c>
    </row>
    <row r="8" spans="1:6">
      <c r="A8" t="s">
        <v>246</v>
      </c>
      <c r="B8">
        <v>107</v>
      </c>
      <c r="C8" t="s">
        <v>247</v>
      </c>
      <c r="D8">
        <v>1800</v>
      </c>
      <c r="F8">
        <v>1800</v>
      </c>
    </row>
    <row r="10" spans="1:6">
      <c r="A10" t="s">
        <v>251</v>
      </c>
    </row>
    <row r="11" spans="1:6">
      <c r="A11" t="s">
        <v>252</v>
      </c>
    </row>
    <row r="12" spans="1:6">
      <c r="A12" t="s">
        <v>253</v>
      </c>
    </row>
    <row r="13" spans="1:6">
      <c r="A13" t="s">
        <v>249</v>
      </c>
    </row>
    <row r="14" spans="1:6">
      <c r="A14" t="s">
        <v>254</v>
      </c>
    </row>
    <row r="15" spans="1:6">
      <c r="A15" t="s">
        <v>250</v>
      </c>
    </row>
    <row r="16" spans="1:6">
      <c r="A16" s="1" t="s">
        <v>38</v>
      </c>
      <c r="B16" t="s">
        <v>255</v>
      </c>
    </row>
    <row r="17" spans="1:2">
      <c r="A17" s="1" t="s">
        <v>39</v>
      </c>
      <c r="B17" t="s">
        <v>255</v>
      </c>
    </row>
    <row r="18" spans="1:2">
      <c r="A18" s="1" t="s">
        <v>40</v>
      </c>
      <c r="B18" t="s">
        <v>255</v>
      </c>
    </row>
    <row r="19" spans="1:2">
      <c r="A19" s="26" t="s">
        <v>41</v>
      </c>
      <c r="B19"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651AB-D597-9D44-826B-59063E0D92DF}">
  <dimension ref="B2:N86"/>
  <sheetViews>
    <sheetView topLeftCell="A40" zoomScale="97" zoomScaleNormal="100" workbookViewId="0">
      <selection activeCell="B51" sqref="B51:B54"/>
    </sheetView>
  </sheetViews>
  <sheetFormatPr defaultColWidth="10.796875" defaultRowHeight="14.4"/>
  <cols>
    <col min="1" max="1" width="1.5" style="1" customWidth="1"/>
    <col min="2" max="2" width="54.5" style="1" customWidth="1"/>
    <col min="3" max="3" width="11.69921875" style="1" bestFit="1" customWidth="1"/>
    <col min="4" max="4" width="11.19921875" style="1" bestFit="1" customWidth="1"/>
    <col min="5" max="5" width="11.69921875" style="1" bestFit="1" customWidth="1"/>
    <col min="6" max="6" width="13.296875" style="1" customWidth="1"/>
    <col min="7" max="8" width="12.5" style="1" bestFit="1" customWidth="1"/>
    <col min="9" max="10" width="10.796875" style="1" customWidth="1"/>
    <col min="11" max="11" width="1.5" style="1" customWidth="1"/>
    <col min="12" max="16384" width="10.796875" style="1"/>
  </cols>
  <sheetData>
    <row r="2" spans="2:12">
      <c r="B2" s="16" t="s">
        <v>0</v>
      </c>
      <c r="C2" s="17"/>
      <c r="D2" s="17"/>
      <c r="E2" s="17"/>
      <c r="F2" s="17"/>
      <c r="G2" s="17"/>
      <c r="H2" s="17"/>
      <c r="I2" s="17"/>
      <c r="J2" s="17"/>
    </row>
    <row r="3" spans="2:12">
      <c r="B3" s="2" t="s">
        <v>50</v>
      </c>
    </row>
    <row r="4" spans="2:12">
      <c r="G4" s="45"/>
    </row>
    <row r="5" spans="2:12">
      <c r="B5" s="1" t="s">
        <v>1</v>
      </c>
      <c r="C5" s="4" t="s">
        <v>69</v>
      </c>
      <c r="E5" s="1" t="s">
        <v>2</v>
      </c>
      <c r="G5" s="38">
        <f>WACC!F18</f>
        <v>0.16893958710660084</v>
      </c>
      <c r="H5" s="20"/>
    </row>
    <row r="6" spans="2:12">
      <c r="B6" s="1" t="s">
        <v>3</v>
      </c>
      <c r="C6" s="4" t="s">
        <v>69</v>
      </c>
      <c r="E6" s="1" t="s">
        <v>4</v>
      </c>
      <c r="G6" s="8">
        <v>264.13</v>
      </c>
      <c r="I6" s="7"/>
    </row>
    <row r="7" spans="2:12">
      <c r="B7" s="1" t="s">
        <v>5</v>
      </c>
      <c r="C7" s="5">
        <f>DATA!B1</f>
        <v>44592</v>
      </c>
      <c r="E7" s="1" t="s">
        <v>6</v>
      </c>
      <c r="G7" s="5">
        <v>44502</v>
      </c>
    </row>
    <row r="8" spans="2:12">
      <c r="B8" s="1" t="s">
        <v>7</v>
      </c>
      <c r="C8" s="6">
        <f>F13</f>
        <v>44957</v>
      </c>
      <c r="E8" s="1" t="s">
        <v>8</v>
      </c>
      <c r="F8" s="5"/>
      <c r="G8" s="5">
        <v>44502</v>
      </c>
    </row>
    <row r="10" spans="2:12">
      <c r="B10" s="16" t="s">
        <v>9</v>
      </c>
      <c r="C10" s="17"/>
      <c r="D10" s="17"/>
      <c r="E10" s="17"/>
      <c r="F10" s="17"/>
      <c r="G10" s="17"/>
      <c r="H10" s="17"/>
      <c r="I10" s="17"/>
      <c r="J10" s="17"/>
    </row>
    <row r="11" spans="2:12">
      <c r="F11" s="6"/>
      <c r="G11" s="6"/>
      <c r="H11" s="6"/>
      <c r="I11" s="6"/>
      <c r="J11" s="6"/>
    </row>
    <row r="12" spans="2:12">
      <c r="B12" s="30" t="s">
        <v>10</v>
      </c>
      <c r="C12" s="31">
        <f>D12-1</f>
        <v>2020</v>
      </c>
      <c r="D12" s="31">
        <f>E12-1</f>
        <v>2021</v>
      </c>
      <c r="E12" s="31">
        <f>YEAR(E13)</f>
        <v>2022</v>
      </c>
      <c r="F12" s="32">
        <f>E12+1</f>
        <v>2023</v>
      </c>
      <c r="G12" s="32">
        <f t="shared" ref="G12:I12" si="0">F12+1</f>
        <v>2024</v>
      </c>
      <c r="H12" s="32">
        <f t="shared" si="0"/>
        <v>2025</v>
      </c>
      <c r="I12" s="32">
        <f t="shared" si="0"/>
        <v>2026</v>
      </c>
      <c r="J12" s="32">
        <f>I12+1</f>
        <v>2027</v>
      </c>
    </row>
    <row r="13" spans="2:12">
      <c r="B13" s="33" t="s">
        <v>11</v>
      </c>
      <c r="C13" s="34">
        <f>DATA!D1</f>
        <v>43861</v>
      </c>
      <c r="D13" s="34">
        <f>DATA!C1</f>
        <v>44227</v>
      </c>
      <c r="E13" s="35">
        <f>C7</f>
        <v>44592</v>
      </c>
      <c r="F13" s="35">
        <f>EOMONTH(E13,12)</f>
        <v>44957</v>
      </c>
      <c r="G13" s="35">
        <f>EOMONTH(F13,12)</f>
        <v>45322</v>
      </c>
      <c r="H13" s="35">
        <f t="shared" ref="H13:J13" si="1">EOMONTH(G13,12)</f>
        <v>45688</v>
      </c>
      <c r="I13" s="35">
        <f t="shared" si="1"/>
        <v>46053</v>
      </c>
      <c r="J13" s="35">
        <f t="shared" si="1"/>
        <v>46418</v>
      </c>
      <c r="L13" s="147"/>
    </row>
    <row r="14" spans="2:12">
      <c r="F14" s="89"/>
    </row>
    <row r="15" spans="2:12">
      <c r="B15" s="1" t="s">
        <v>12</v>
      </c>
      <c r="C15" s="9">
        <f>DATA!D2</f>
        <v>10918000</v>
      </c>
      <c r="D15" s="9">
        <f>DATA!C2</f>
        <v>16675000</v>
      </c>
      <c r="E15" s="9">
        <f>DATA!B2</f>
        <v>26914000</v>
      </c>
      <c r="F15" s="10">
        <v>25720.57</v>
      </c>
      <c r="G15" s="10">
        <v>29059.24</v>
      </c>
      <c r="H15" s="10">
        <v>33478.14</v>
      </c>
      <c r="I15" s="10">
        <v>40939.599999999999</v>
      </c>
      <c r="J15" s="10">
        <v>48460.2</v>
      </c>
    </row>
    <row r="16" spans="2:12">
      <c r="B16" s="3" t="s">
        <v>13</v>
      </c>
      <c r="C16" s="13"/>
      <c r="D16" s="13">
        <f>(D15-C15)/C15</f>
        <v>0.52729437625938813</v>
      </c>
      <c r="E16" s="13">
        <f>(E15-D15)/D15</f>
        <v>0.61403298350824587</v>
      </c>
      <c r="F16" s="80">
        <f>(F15-E15)/E15</f>
        <v>-0.99904434234970652</v>
      </c>
      <c r="G16" s="80">
        <f t="shared" ref="G16:H16" si="2">(G15-F15)/F15</f>
        <v>0.12980544365851931</v>
      </c>
      <c r="H16" s="80">
        <f t="shared" si="2"/>
        <v>0.15206522951047577</v>
      </c>
      <c r="I16" s="80">
        <f t="shared" ref="I16" si="3">(I15-H15)/H15</f>
        <v>0.22287558388847167</v>
      </c>
      <c r="J16" s="80">
        <f t="shared" ref="J16" si="4">(J15-I15)/I15</f>
        <v>0.18369988959344982</v>
      </c>
    </row>
    <row r="17" spans="2:10">
      <c r="B17" s="1" t="s">
        <v>14</v>
      </c>
      <c r="C17" s="9">
        <v>4112</v>
      </c>
      <c r="D17" s="9">
        <v>3386</v>
      </c>
      <c r="E17" s="9">
        <v>6649</v>
      </c>
      <c r="F17" s="10">
        <v>11915.85</v>
      </c>
      <c r="G17" s="10">
        <v>13611.54</v>
      </c>
      <c r="H17" s="10">
        <v>15998.13</v>
      </c>
      <c r="I17" s="10">
        <v>15299</v>
      </c>
      <c r="J17" s="10">
        <v>16872</v>
      </c>
    </row>
    <row r="18" spans="2:10">
      <c r="B18" s="3" t="s">
        <v>15</v>
      </c>
      <c r="C18" s="14">
        <f>C17/C15</f>
        <v>3.7662575563289979E-4</v>
      </c>
      <c r="D18" s="14">
        <f t="shared" ref="D18:J18" si="5">D17/D15</f>
        <v>2.0305847076461768E-4</v>
      </c>
      <c r="E18" s="14">
        <f t="shared" si="5"/>
        <v>2.4704614698669837E-4</v>
      </c>
      <c r="F18" s="81">
        <f t="shared" si="5"/>
        <v>0.4632809459510423</v>
      </c>
      <c r="G18" s="81">
        <f t="shared" si="5"/>
        <v>0.46840660664215583</v>
      </c>
      <c r="H18" s="81">
        <f t="shared" si="5"/>
        <v>0.47786794606868838</v>
      </c>
      <c r="I18" s="81">
        <f t="shared" si="5"/>
        <v>0.37369686074118946</v>
      </c>
      <c r="J18" s="81">
        <f t="shared" si="5"/>
        <v>0.34816199685515126</v>
      </c>
    </row>
    <row r="19" spans="2:10">
      <c r="B19" s="1" t="s">
        <v>16</v>
      </c>
      <c r="C19" s="9">
        <v>3850</v>
      </c>
      <c r="D19" s="9">
        <v>2891</v>
      </c>
      <c r="E19" s="9">
        <v>5406</v>
      </c>
      <c r="F19" s="82">
        <v>11890</v>
      </c>
      <c r="G19" s="11">
        <v>13503.21</v>
      </c>
      <c r="H19" s="11">
        <v>16121.79</v>
      </c>
      <c r="I19" s="11">
        <v>21891.33</v>
      </c>
      <c r="J19" s="11">
        <v>27631.33</v>
      </c>
    </row>
    <row r="20" spans="2:10">
      <c r="B20" s="3" t="s">
        <v>15</v>
      </c>
      <c r="C20" s="14">
        <f>C19/C15</f>
        <v>3.5262868657263236E-4</v>
      </c>
      <c r="D20" s="14">
        <f>D19/D15</f>
        <v>1.7337331334332833E-4</v>
      </c>
      <c r="E20" s="14">
        <f>E19/E15</f>
        <v>2.0086200490451066E-4</v>
      </c>
      <c r="F20" s="81">
        <f t="shared" ref="F20:J20" si="6">F19/F15</f>
        <v>0.4622759137919572</v>
      </c>
      <c r="G20" s="81">
        <f t="shared" si="6"/>
        <v>0.46467870460480032</v>
      </c>
      <c r="H20" s="81">
        <f t="shared" si="6"/>
        <v>0.48156169966431828</v>
      </c>
      <c r="I20" s="81">
        <f t="shared" si="6"/>
        <v>0.53472261575589408</v>
      </c>
      <c r="J20" s="81">
        <f t="shared" si="6"/>
        <v>0.57018604958295682</v>
      </c>
    </row>
    <row r="22" spans="2:10">
      <c r="B22" s="84" t="s">
        <v>70</v>
      </c>
      <c r="C22" s="85">
        <v>3896</v>
      </c>
      <c r="D22" s="85">
        <v>2970</v>
      </c>
      <c r="E22" s="85">
        <v>4409</v>
      </c>
      <c r="F22" s="142">
        <v>11716.46</v>
      </c>
      <c r="G22" s="142">
        <v>13187.78</v>
      </c>
      <c r="H22" s="142">
        <v>15091.77</v>
      </c>
      <c r="I22" s="142">
        <v>18916.5</v>
      </c>
      <c r="J22" s="142">
        <v>23201</v>
      </c>
    </row>
    <row r="23" spans="2:10">
      <c r="B23" s="84" t="s">
        <v>71</v>
      </c>
      <c r="C23" s="85">
        <v>-245</v>
      </c>
      <c r="D23" s="85">
        <v>174</v>
      </c>
      <c r="E23" s="85">
        <v>77</v>
      </c>
      <c r="F23" s="142">
        <f>F22*F24</f>
        <v>-234.32919999999999</v>
      </c>
      <c r="G23" s="142">
        <f t="shared" ref="G23:J23" si="7">G22*G24</f>
        <v>-263.75560000000002</v>
      </c>
      <c r="H23" s="142">
        <f t="shared" si="7"/>
        <v>-301.83539999999999</v>
      </c>
      <c r="I23" s="142">
        <f t="shared" si="7"/>
        <v>-378.33</v>
      </c>
      <c r="J23" s="142">
        <f t="shared" si="7"/>
        <v>-464.02</v>
      </c>
    </row>
    <row r="24" spans="2:10">
      <c r="B24" s="51" t="s">
        <v>17</v>
      </c>
      <c r="C24" s="143">
        <f>C23/C22</f>
        <v>-6.2885010266940447E-2</v>
      </c>
      <c r="D24" s="143">
        <f t="shared" ref="D24:E24" si="8">D23/D22</f>
        <v>5.8585858585858588E-2</v>
      </c>
      <c r="E24" s="143">
        <f t="shared" si="8"/>
        <v>1.7464277613971423E-2</v>
      </c>
      <c r="F24" s="86">
        <v>-0.02</v>
      </c>
      <c r="G24" s="86">
        <v>-0.02</v>
      </c>
      <c r="H24" s="86">
        <v>-0.02</v>
      </c>
      <c r="I24" s="86">
        <v>-0.02</v>
      </c>
      <c r="J24" s="86">
        <v>-0.02</v>
      </c>
    </row>
    <row r="25" spans="2:10">
      <c r="B25" s="87" t="s">
        <v>18</v>
      </c>
      <c r="C25" s="88">
        <f>C19*(1-C24)</f>
        <v>4092.1072895277207</v>
      </c>
      <c r="D25" s="88">
        <f t="shared" ref="D25:J25" si="9">D19*(1-D24)</f>
        <v>2721.6282828282829</v>
      </c>
      <c r="E25" s="88">
        <f t="shared" si="9"/>
        <v>5311.5881152188704</v>
      </c>
      <c r="F25" s="88">
        <f t="shared" si="9"/>
        <v>12127.800000000001</v>
      </c>
      <c r="G25" s="88">
        <f t="shared" si="9"/>
        <v>13773.2742</v>
      </c>
      <c r="H25" s="88">
        <f t="shared" si="9"/>
        <v>16444.2258</v>
      </c>
      <c r="I25" s="88">
        <f t="shared" si="9"/>
        <v>22329.156600000002</v>
      </c>
      <c r="J25" s="88">
        <f t="shared" si="9"/>
        <v>28183.956600000001</v>
      </c>
    </row>
    <row r="27" spans="2:10">
      <c r="B27" s="1" t="s">
        <v>19</v>
      </c>
      <c r="C27" s="10">
        <f>C17-C19</f>
        <v>262</v>
      </c>
      <c r="D27" s="10">
        <f>D17-D19</f>
        <v>495</v>
      </c>
      <c r="E27" s="10">
        <f t="shared" ref="E27:J27" si="10">E17-E19</f>
        <v>1243</v>
      </c>
      <c r="F27" s="10">
        <f t="shared" si="10"/>
        <v>25.850000000000364</v>
      </c>
      <c r="G27" s="10">
        <f t="shared" si="10"/>
        <v>108.33000000000175</v>
      </c>
      <c r="H27" s="10">
        <f t="shared" si="10"/>
        <v>-123.66000000000167</v>
      </c>
      <c r="I27" s="10">
        <f t="shared" si="10"/>
        <v>-6592.3300000000017</v>
      </c>
      <c r="J27" s="10">
        <f t="shared" si="10"/>
        <v>-10759.330000000002</v>
      </c>
    </row>
    <row r="28" spans="2:10">
      <c r="B28" s="1" t="s">
        <v>20</v>
      </c>
      <c r="C28" s="10"/>
      <c r="D28" s="10">
        <f t="shared" ref="D28:J28" si="11">C34-D34</f>
        <v>539</v>
      </c>
      <c r="E28" s="10">
        <f t="shared" si="11"/>
        <v>-1105</v>
      </c>
      <c r="F28" s="10">
        <f t="shared" si="11"/>
        <v>-2090.1140000000005</v>
      </c>
      <c r="G28" s="10">
        <f t="shared" si="11"/>
        <v>-667.73400000000038</v>
      </c>
      <c r="H28" s="10">
        <f t="shared" si="11"/>
        <v>-883.77999999999975</v>
      </c>
      <c r="I28" s="10">
        <f t="shared" si="11"/>
        <v>-1492.2919999999995</v>
      </c>
      <c r="J28" s="10">
        <f t="shared" si="11"/>
        <v>-1504.119999999999</v>
      </c>
    </row>
    <row r="29" spans="2:10">
      <c r="B29" s="1" t="s">
        <v>21</v>
      </c>
      <c r="C29" s="9">
        <v>600</v>
      </c>
      <c r="D29" s="9">
        <v>489</v>
      </c>
      <c r="E29" s="9">
        <v>1130</v>
      </c>
      <c r="F29" s="10">
        <f>-(F15*F30)</f>
        <v>1028.8227999999999</v>
      </c>
      <c r="G29" s="10">
        <f t="shared" ref="G29:J29" si="12">-(G15*G30)</f>
        <v>1162.3696</v>
      </c>
      <c r="H29" s="10">
        <f t="shared" si="12"/>
        <v>1339.1256000000001</v>
      </c>
      <c r="I29" s="10">
        <f t="shared" si="12"/>
        <v>1637.5840000000001</v>
      </c>
      <c r="J29" s="10">
        <f t="shared" si="12"/>
        <v>1938.4079999999999</v>
      </c>
    </row>
    <row r="30" spans="2:10">
      <c r="B30" s="3" t="s">
        <v>22</v>
      </c>
      <c r="C30" s="14">
        <f>-(C29/C15)</f>
        <v>-5.49551199853453E-5</v>
      </c>
      <c r="D30" s="14">
        <v>0.01</v>
      </c>
      <c r="E30" s="14">
        <f t="shared" ref="E30" si="13">-(E29/E15)</f>
        <v>-4.1985583711079734E-5</v>
      </c>
      <c r="F30" s="15">
        <v>-0.04</v>
      </c>
      <c r="G30" s="15">
        <v>-0.04</v>
      </c>
      <c r="H30" s="15">
        <v>-0.04</v>
      </c>
      <c r="I30" s="15">
        <v>-0.04</v>
      </c>
      <c r="J30" s="15">
        <v>-0.04</v>
      </c>
    </row>
    <row r="32" spans="2:10">
      <c r="B32" s="7" t="s">
        <v>23</v>
      </c>
      <c r="F32" s="12">
        <f>F25+F27+F28+F29</f>
        <v>11092.3588</v>
      </c>
      <c r="G32" s="12">
        <f t="shared" ref="G32:J32" si="14">G25+G27+G28+G29</f>
        <v>14376.239800000001</v>
      </c>
      <c r="H32" s="12">
        <f t="shared" si="14"/>
        <v>16775.911399999997</v>
      </c>
      <c r="I32" s="12">
        <f t="shared" si="14"/>
        <v>15882.118600000002</v>
      </c>
      <c r="J32" s="12">
        <f t="shared" si="14"/>
        <v>17858.9146</v>
      </c>
    </row>
    <row r="33" spans="2:10">
      <c r="B33" s="7"/>
      <c r="F33" s="12"/>
      <c r="G33" s="12"/>
      <c r="H33" s="12"/>
      <c r="I33" s="12"/>
      <c r="J33" s="12"/>
    </row>
    <row r="34" spans="2:10">
      <c r="B34" s="1" t="s">
        <v>24</v>
      </c>
      <c r="C34" s="9">
        <v>2488</v>
      </c>
      <c r="D34" s="9">
        <v>1949</v>
      </c>
      <c r="E34" s="9">
        <v>3054</v>
      </c>
      <c r="F34" s="10">
        <f>F15*F35</f>
        <v>5144.1140000000005</v>
      </c>
      <c r="G34" s="10">
        <f>G15*G35</f>
        <v>5811.8480000000009</v>
      </c>
      <c r="H34" s="10">
        <f>H15*H35</f>
        <v>6695.6280000000006</v>
      </c>
      <c r="I34" s="10">
        <f>I15*I35</f>
        <v>8187.92</v>
      </c>
      <c r="J34" s="10">
        <f>J15*J35</f>
        <v>9692.0399999999991</v>
      </c>
    </row>
    <row r="35" spans="2:10">
      <c r="B35" s="3" t="s">
        <v>22</v>
      </c>
      <c r="C35" s="14">
        <f>C34/C15</f>
        <v>2.2788056420589852E-4</v>
      </c>
      <c r="D35" s="14">
        <f>D34/D15</f>
        <v>1.1688155922038981E-4</v>
      </c>
      <c r="E35" s="14">
        <f>E34/E15</f>
        <v>1.1347254217136064E-4</v>
      </c>
      <c r="F35" s="15">
        <v>0.2</v>
      </c>
      <c r="G35" s="15">
        <v>0.2</v>
      </c>
      <c r="H35" s="15">
        <v>0.2</v>
      </c>
      <c r="I35" s="15">
        <v>0.2</v>
      </c>
      <c r="J35" s="15">
        <v>0.2</v>
      </c>
    </row>
    <row r="36" spans="2:10" ht="15.75" customHeight="1">
      <c r="B36" s="3"/>
      <c r="F36" s="37"/>
      <c r="G36" s="37"/>
      <c r="H36" s="37"/>
      <c r="I36" s="37"/>
      <c r="J36" s="37"/>
    </row>
    <row r="37" spans="2:10">
      <c r="B37" s="1" t="s">
        <v>60</v>
      </c>
      <c r="C37" s="20">
        <f>YEARFRAC($G$8,C8)</f>
        <v>1.2472222222222222</v>
      </c>
      <c r="E37" s="40"/>
      <c r="F37" s="10">
        <f>F32*C37</f>
        <v>13834.636392222223</v>
      </c>
      <c r="G37" s="10">
        <f>G32</f>
        <v>14376.239800000001</v>
      </c>
      <c r="H37" s="10">
        <f>H32</f>
        <v>16775.911399999997</v>
      </c>
      <c r="I37" s="10">
        <f>I32</f>
        <v>15882.118600000002</v>
      </c>
      <c r="J37" s="10">
        <f>J32</f>
        <v>17858.9146</v>
      </c>
    </row>
    <row r="38" spans="2:10">
      <c r="B38" s="7" t="s">
        <v>25</v>
      </c>
      <c r="C38" s="20"/>
      <c r="E38" s="6"/>
      <c r="F38" s="12">
        <f>F37/(1+$G$5)^((F13-$G$8)/365)</f>
        <v>11388.324425712326</v>
      </c>
      <c r="G38" s="12">
        <f>G37/(1+$G$5)^((G13-$G$8)/365)</f>
        <v>10123.841170249259</v>
      </c>
      <c r="H38" s="12">
        <f>H37/(1+$G$5)^((H13-$G$8)/365)</f>
        <v>10102.022702593737</v>
      </c>
      <c r="I38" s="12">
        <f>I37/(1+$G$5)^((I13-$G$8)/365)</f>
        <v>8181.6064358506692</v>
      </c>
      <c r="J38" s="12">
        <f>J37/(1+$G$5)^((J13-$G$8)/365)</f>
        <v>7870.3336445392042</v>
      </c>
    </row>
    <row r="39" spans="2:10">
      <c r="B39" s="19"/>
    </row>
    <row r="40" spans="2:10">
      <c r="B40" s="16" t="s">
        <v>26</v>
      </c>
      <c r="C40" s="16"/>
      <c r="D40" s="16"/>
      <c r="E40" s="16"/>
      <c r="F40" s="16"/>
      <c r="G40" s="16"/>
      <c r="H40" s="16"/>
      <c r="I40" s="16"/>
      <c r="J40" s="16"/>
    </row>
    <row r="41" spans="2:10">
      <c r="B41" s="18"/>
      <c r="C41" s="18"/>
      <c r="D41" s="18"/>
      <c r="E41" s="18"/>
      <c r="F41" s="18"/>
      <c r="G41" s="18"/>
      <c r="H41" s="18"/>
      <c r="I41" s="18"/>
      <c r="J41" s="18"/>
    </row>
    <row r="42" spans="2:10">
      <c r="B42" s="28" t="s">
        <v>27</v>
      </c>
      <c r="C42" s="29"/>
      <c r="D42" s="18"/>
      <c r="E42" s="18"/>
      <c r="F42" s="25" t="s">
        <v>28</v>
      </c>
      <c r="G42" s="29"/>
      <c r="H42" s="29"/>
      <c r="I42" s="29"/>
      <c r="J42" s="18"/>
    </row>
    <row r="43" spans="2:10">
      <c r="B43" s="1" t="s">
        <v>29</v>
      </c>
      <c r="C43" s="15">
        <v>5.5E-2</v>
      </c>
      <c r="F43" s="1" t="s">
        <v>30</v>
      </c>
      <c r="I43" s="10">
        <f>J17</f>
        <v>16872</v>
      </c>
    </row>
    <row r="44" spans="2:10">
      <c r="B44" s="1" t="s">
        <v>31</v>
      </c>
      <c r="C44" s="10">
        <f>J32*(1+C43)</f>
        <v>18841.154902999999</v>
      </c>
      <c r="D44" s="21"/>
      <c r="F44" s="1" t="s">
        <v>32</v>
      </c>
      <c r="I44" s="22">
        <v>60</v>
      </c>
    </row>
    <row r="45" spans="2:10">
      <c r="B45" s="1" t="s">
        <v>33</v>
      </c>
      <c r="C45" s="10">
        <f>(C44)/(G5-C43)</f>
        <v>165360.9196018271</v>
      </c>
      <c r="F45" s="1" t="s">
        <v>26</v>
      </c>
      <c r="I45" s="10">
        <f>I43*I44</f>
        <v>1012320</v>
      </c>
    </row>
    <row r="46" spans="2:10">
      <c r="B46" s="1" t="s">
        <v>34</v>
      </c>
      <c r="C46" s="23">
        <f>C45/(1+$G$5)^(($J$13-$G$8)/365)</f>
        <v>72873.723749941797</v>
      </c>
      <c r="F46" s="1" t="s">
        <v>34</v>
      </c>
      <c r="I46" s="10">
        <f>I45/(1+$G$5)^(($J$13-$G$8)/365)</f>
        <v>446124.32129777514</v>
      </c>
    </row>
    <row r="47" spans="2:10">
      <c r="B47" s="1" t="s">
        <v>35</v>
      </c>
      <c r="C47" s="10">
        <f>SUM(F38:J38)</f>
        <v>47666.128378945199</v>
      </c>
      <c r="F47" s="1" t="s">
        <v>35</v>
      </c>
      <c r="I47" s="10">
        <f>C47</f>
        <v>47666.128378945199</v>
      </c>
    </row>
    <row r="48" spans="2:10">
      <c r="B48" s="1" t="s">
        <v>36</v>
      </c>
      <c r="C48" s="23">
        <f>SUM(C46:C47)</f>
        <v>120539.852128887</v>
      </c>
      <c r="F48" s="1" t="s">
        <v>36</v>
      </c>
      <c r="I48" s="10">
        <f>SUM(I46:I47)</f>
        <v>493790.44967672031</v>
      </c>
    </row>
    <row r="50" spans="2:14">
      <c r="B50" s="25" t="s">
        <v>37</v>
      </c>
      <c r="C50" s="36"/>
      <c r="F50" s="90"/>
      <c r="H50" s="90"/>
      <c r="I50" s="90"/>
    </row>
    <row r="51" spans="2:14">
      <c r="B51" s="1" t="s">
        <v>38</v>
      </c>
      <c r="C51" s="9">
        <v>5964</v>
      </c>
      <c r="F51" s="91"/>
      <c r="G51" s="91"/>
      <c r="H51" s="91"/>
      <c r="I51" s="92"/>
    </row>
    <row r="52" spans="2:14">
      <c r="B52" s="1" t="s">
        <v>39</v>
      </c>
      <c r="C52" s="9">
        <v>3925</v>
      </c>
      <c r="F52" s="90"/>
      <c r="H52" s="90"/>
      <c r="I52" s="92"/>
    </row>
    <row r="53" spans="2:14">
      <c r="B53" s="1" t="s">
        <v>40</v>
      </c>
      <c r="C53" s="9">
        <v>11561</v>
      </c>
      <c r="F53" s="90"/>
      <c r="H53" s="90"/>
      <c r="I53" s="92"/>
      <c r="L53" s="90"/>
      <c r="M53" s="90"/>
      <c r="N53" s="90"/>
    </row>
    <row r="54" spans="2:14">
      <c r="B54" s="26" t="s">
        <v>41</v>
      </c>
      <c r="C54" s="27">
        <v>847</v>
      </c>
      <c r="F54" s="90"/>
      <c r="G54" s="90"/>
      <c r="H54" s="90"/>
      <c r="I54" s="92"/>
    </row>
    <row r="55" spans="2:14">
      <c r="B55" s="1" t="s">
        <v>42</v>
      </c>
      <c r="C55" s="10">
        <f>SUM(C51:C52) - SUM(C53:C54)</f>
        <v>-2519</v>
      </c>
      <c r="F55" s="90"/>
      <c r="G55" s="90"/>
      <c r="I55" s="92"/>
    </row>
    <row r="56" spans="2:14">
      <c r="F56" s="90"/>
      <c r="G56" s="90"/>
      <c r="I56" s="92"/>
    </row>
    <row r="57" spans="2:14">
      <c r="B57" s="25" t="s">
        <v>43</v>
      </c>
      <c r="C57" s="24" t="s">
        <v>44</v>
      </c>
      <c r="D57" s="24" t="s">
        <v>14</v>
      </c>
      <c r="F57" s="90"/>
      <c r="G57" s="90"/>
      <c r="H57" s="90"/>
    </row>
    <row r="58" spans="2:14">
      <c r="B58" s="1" t="s">
        <v>45</v>
      </c>
      <c r="C58" s="23">
        <f>C48</f>
        <v>120539.852128887</v>
      </c>
      <c r="D58" s="10">
        <f>I48</f>
        <v>493790.44967672031</v>
      </c>
    </row>
    <row r="59" spans="2:14">
      <c r="B59" s="1" t="s">
        <v>42</v>
      </c>
      <c r="C59" s="10">
        <f>$C$55</f>
        <v>-2519</v>
      </c>
      <c r="D59" s="10">
        <f>$C$55</f>
        <v>-2519</v>
      </c>
    </row>
    <row r="60" spans="2:14">
      <c r="B60" s="1" t="s">
        <v>46</v>
      </c>
      <c r="C60" s="23">
        <f>C58-C59</f>
        <v>123058.852128887</v>
      </c>
      <c r="D60" s="23">
        <f>D58-D59</f>
        <v>496309.44967672031</v>
      </c>
    </row>
    <row r="61" spans="2:14">
      <c r="B61" s="1" t="s">
        <v>47</v>
      </c>
      <c r="C61" s="9">
        <v>2490</v>
      </c>
      <c r="D61" s="9">
        <v>2490</v>
      </c>
    </row>
    <row r="62" spans="2:14">
      <c r="B62" s="1" t="s">
        <v>61</v>
      </c>
      <c r="C62" s="41">
        <f>C60/C61</f>
        <v>49.421225754573094</v>
      </c>
      <c r="D62" s="41">
        <f>D60/D61</f>
        <v>199.32106412719691</v>
      </c>
    </row>
    <row r="63" spans="2:14">
      <c r="B63" s="1" t="s">
        <v>48</v>
      </c>
      <c r="C63" s="14">
        <f>C62/$G$6-1</f>
        <v>-0.81289052453499</v>
      </c>
      <c r="D63" s="14">
        <f>D62/$G$6-1</f>
        <v>-0.24536756851854424</v>
      </c>
    </row>
    <row r="65" spans="2:10">
      <c r="B65" s="47" t="s">
        <v>62</v>
      </c>
      <c r="C65" s="42"/>
      <c r="D65" s="42"/>
      <c r="E65" s="42"/>
      <c r="F65" s="42"/>
      <c r="G65" s="42"/>
      <c r="H65" s="42"/>
      <c r="I65" s="42"/>
      <c r="J65" s="42"/>
    </row>
    <row r="67" spans="2:10" ht="17.399999999999999">
      <c r="B67" s="42"/>
      <c r="D67" s="55" t="s">
        <v>63</v>
      </c>
      <c r="E67" s="48"/>
      <c r="F67" s="48"/>
      <c r="G67" s="48"/>
      <c r="H67" s="48"/>
      <c r="I67" s="48"/>
    </row>
    <row r="68" spans="2:10" ht="15.6">
      <c r="B68" s="42"/>
      <c r="D68" s="49"/>
      <c r="E68" s="54" t="s">
        <v>64</v>
      </c>
      <c r="F68" s="50"/>
      <c r="G68" s="50"/>
      <c r="H68" s="50"/>
      <c r="I68" s="50"/>
    </row>
    <row r="69" spans="2:10">
      <c r="B69" s="42"/>
      <c r="D69" s="67">
        <f>C62</f>
        <v>49.421225754573094</v>
      </c>
      <c r="E69" s="68">
        <f>F69-0.005</f>
        <v>4.5000000000000005E-2</v>
      </c>
      <c r="F69" s="68">
        <f>G69-0.005</f>
        <v>0.05</v>
      </c>
      <c r="G69" s="69">
        <f>C43</f>
        <v>5.5E-2</v>
      </c>
      <c r="H69" s="68">
        <f>G69+0.005</f>
        <v>0.06</v>
      </c>
      <c r="I69" s="70">
        <f>H69+0.005</f>
        <v>6.5000000000000002E-2</v>
      </c>
    </row>
    <row r="70" spans="2:10">
      <c r="B70" s="42"/>
      <c r="D70" s="65">
        <f>D71+0.005</f>
        <v>0.17893958710660085</v>
      </c>
      <c r="E70" s="58">
        <f t="dataTable" ref="E70:I74" dt2D="1" dtr="1" r1="C43" r2="G5" ca="1"/>
        <v>43.245545638447211</v>
      </c>
      <c r="F70" s="58">
        <v>42.288129743408454</v>
      </c>
      <c r="G70" s="58">
        <v>42.288129743408454</v>
      </c>
      <c r="H70" s="58">
        <v>43.245545638447211</v>
      </c>
      <c r="I70" s="74">
        <v>45.392123213077468</v>
      </c>
    </row>
    <row r="71" spans="2:10">
      <c r="B71" s="42"/>
      <c r="D71" s="65">
        <f>D72+0.005</f>
        <v>0.17393958710660085</v>
      </c>
      <c r="E71" s="58">
        <v>41.659090233903186</v>
      </c>
      <c r="F71" s="58">
        <v>40.784067910910352</v>
      </c>
      <c r="G71" s="58">
        <v>40.784067910910352</v>
      </c>
      <c r="H71" s="58">
        <v>41.659090233903186</v>
      </c>
      <c r="I71" s="74">
        <v>43.612723787522647</v>
      </c>
    </row>
    <row r="72" spans="2:10">
      <c r="B72" s="42"/>
      <c r="C72" s="52" t="s">
        <v>65</v>
      </c>
      <c r="D72" s="79">
        <f>G5</f>
        <v>0.16893958710660084</v>
      </c>
      <c r="E72" s="58">
        <v>41.659090233903186</v>
      </c>
      <c r="F72" s="58">
        <v>40.784067910910352</v>
      </c>
      <c r="G72" s="59">
        <v>40.784067910910352</v>
      </c>
      <c r="H72" s="58">
        <v>41.659090233903186</v>
      </c>
      <c r="I72" s="74">
        <v>43.612723787522647</v>
      </c>
    </row>
    <row r="73" spans="2:10">
      <c r="B73" s="42"/>
      <c r="D73" s="65">
        <f>D72-0.005</f>
        <v>0.16393958710660084</v>
      </c>
      <c r="E73" s="58">
        <v>43.245545638447211</v>
      </c>
      <c r="F73" s="58">
        <v>42.288129743408454</v>
      </c>
      <c r="G73" s="58">
        <v>42.288129743408454</v>
      </c>
      <c r="H73" s="58">
        <v>43.245545638447211</v>
      </c>
      <c r="I73" s="74">
        <v>45.392123213077468</v>
      </c>
    </row>
    <row r="74" spans="2:10">
      <c r="B74" s="42"/>
      <c r="D74" s="66">
        <f>D73-0.005</f>
        <v>0.15893958710660083</v>
      </c>
      <c r="E74" s="73">
        <v>46.804843608725754</v>
      </c>
      <c r="F74" s="73">
        <v>45.648839048371201</v>
      </c>
      <c r="G74" s="73">
        <v>45.648839048371201</v>
      </c>
      <c r="H74" s="73">
        <v>46.804843608725754</v>
      </c>
      <c r="I74" s="75">
        <v>49.421225754573094</v>
      </c>
    </row>
    <row r="75" spans="2:10">
      <c r="B75" s="57" t="s">
        <v>66</v>
      </c>
    </row>
    <row r="76" spans="2:10" ht="17.399999999999999">
      <c r="B76" s="42"/>
      <c r="D76" s="55" t="s">
        <v>63</v>
      </c>
      <c r="E76" s="48"/>
      <c r="F76" s="48"/>
      <c r="G76" s="48"/>
      <c r="H76" s="48"/>
      <c r="I76" s="48"/>
    </row>
    <row r="77" spans="2:10" ht="15.6">
      <c r="B77" s="42"/>
      <c r="D77" s="49"/>
      <c r="E77" s="54" t="s">
        <v>67</v>
      </c>
      <c r="F77" s="50"/>
      <c r="G77" s="50"/>
      <c r="H77" s="50"/>
      <c r="I77" s="50"/>
    </row>
    <row r="78" spans="2:10">
      <c r="B78" s="42"/>
      <c r="D78" s="53">
        <f>D62</f>
        <v>199.32106412719691</v>
      </c>
      <c r="E78" s="62">
        <f>F78-0.5</f>
        <v>59</v>
      </c>
      <c r="F78" s="62">
        <f>G78-0.5</f>
        <v>59.5</v>
      </c>
      <c r="G78" s="63">
        <f>I44</f>
        <v>60</v>
      </c>
      <c r="H78" s="62">
        <f>G78+0.5</f>
        <v>60.5</v>
      </c>
      <c r="I78" s="64">
        <f>H78+0.5</f>
        <v>61</v>
      </c>
      <c r="J78" s="26"/>
    </row>
    <row r="79" spans="2:10">
      <c r="B79" s="42"/>
      <c r="D79" s="60">
        <f>D80+0.005</f>
        <v>0.17893958710660085</v>
      </c>
      <c r="E79" s="71">
        <f t="dataTable" ref="E79:I83" dt2D="1" dtr="1" r1="I44" r2="G5" ca="1"/>
        <v>188.13931662200395</v>
      </c>
      <c r="F79" s="71">
        <v>186.71155551160882</v>
      </c>
      <c r="G79" s="71">
        <v>186.71155551160882</v>
      </c>
      <c r="H79" s="71">
        <v>188.13931662200395</v>
      </c>
      <c r="I79" s="76">
        <v>190.99483884279428</v>
      </c>
    </row>
    <row r="80" spans="2:10">
      <c r="B80" s="42"/>
      <c r="D80" s="60">
        <f>D81+0.005</f>
        <v>0.17393958710660085</v>
      </c>
      <c r="E80" s="71">
        <v>184.19942200724844</v>
      </c>
      <c r="F80" s="71">
        <v>182.8030300038528</v>
      </c>
      <c r="G80" s="71">
        <v>182.8030300038528</v>
      </c>
      <c r="H80" s="71">
        <v>184.19942200724844</v>
      </c>
      <c r="I80" s="76">
        <v>186.99220601403979</v>
      </c>
    </row>
    <row r="81" spans="2:9">
      <c r="B81" s="42"/>
      <c r="C81" s="52" t="s">
        <v>65</v>
      </c>
      <c r="D81" s="61">
        <f>G5</f>
        <v>0.16893958710660084</v>
      </c>
      <c r="E81" s="71">
        <v>184.19942200724844</v>
      </c>
      <c r="F81" s="71">
        <v>182.8030300038528</v>
      </c>
      <c r="G81" s="72">
        <v>182.8030300038528</v>
      </c>
      <c r="H81" s="71">
        <v>184.19942200724844</v>
      </c>
      <c r="I81" s="76">
        <v>186.99220601403979</v>
      </c>
    </row>
    <row r="82" spans="2:9">
      <c r="B82" s="42"/>
      <c r="D82" s="60">
        <f>D81-0.005</f>
        <v>0.16393958710660084</v>
      </c>
      <c r="E82" s="71">
        <v>188.13931662200395</v>
      </c>
      <c r="F82" s="71">
        <v>186.71155551160882</v>
      </c>
      <c r="G82" s="71">
        <v>186.71155551160882</v>
      </c>
      <c r="H82" s="71">
        <v>188.13931662200395</v>
      </c>
      <c r="I82" s="76">
        <v>190.99483884279428</v>
      </c>
    </row>
    <row r="83" spans="2:9">
      <c r="B83" s="42"/>
      <c r="D83" s="56">
        <f>D82-0.005</f>
        <v>0.15893958710660083</v>
      </c>
      <c r="E83" s="77">
        <v>196.33495755893873</v>
      </c>
      <c r="F83" s="77">
        <v>194.84190427480962</v>
      </c>
      <c r="G83" s="77">
        <v>194.84190427480962</v>
      </c>
      <c r="H83" s="77">
        <v>196.33495755893873</v>
      </c>
      <c r="I83" s="78">
        <v>199.32106412719691</v>
      </c>
    </row>
    <row r="84" spans="2:9">
      <c r="D84" s="26"/>
    </row>
    <row r="86" spans="2:9">
      <c r="D86" s="51"/>
    </row>
  </sheetData>
  <pageMargins left="0.7" right="0.7" top="0.75" bottom="0.75" header="0.3" footer="0.3"/>
  <pageSetup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91A00-DB94-4A9E-8399-BF29E84BD1F6}">
  <dimension ref="B1:J20"/>
  <sheetViews>
    <sheetView zoomScale="112" workbookViewId="0">
      <selection activeCell="F10" sqref="F10"/>
    </sheetView>
  </sheetViews>
  <sheetFormatPr defaultColWidth="8.796875" defaultRowHeight="14.4"/>
  <cols>
    <col min="1" max="1" width="1.5" style="1" customWidth="1"/>
    <col min="2" max="4" width="8.796875" style="1"/>
    <col min="5" max="5" width="12.19921875" style="1" customWidth="1"/>
    <col min="6" max="6" width="12" style="1" bestFit="1" customWidth="1"/>
    <col min="7" max="10" width="8.796875" style="1"/>
    <col min="11" max="11" width="1.5" style="1" customWidth="1"/>
    <col min="12" max="16384" width="8.796875" style="1"/>
  </cols>
  <sheetData>
    <row r="1" spans="2:10">
      <c r="B1" s="16" t="s">
        <v>49</v>
      </c>
      <c r="C1" s="17"/>
      <c r="D1" s="17"/>
      <c r="E1" s="17"/>
      <c r="F1" s="17"/>
      <c r="G1" s="17"/>
      <c r="H1" s="17"/>
      <c r="I1" s="17"/>
      <c r="J1" s="17"/>
    </row>
    <row r="2" spans="2:10">
      <c r="B2" s="2" t="s">
        <v>50</v>
      </c>
    </row>
    <row r="4" spans="2:10">
      <c r="B4" s="7" t="s">
        <v>51</v>
      </c>
      <c r="C4" s="4"/>
      <c r="F4" s="7"/>
    </row>
    <row r="5" spans="2:10">
      <c r="B5" s="1" t="s">
        <v>52</v>
      </c>
      <c r="C5" s="4"/>
      <c r="F5" s="38">
        <v>3.5518000000000001E-2</v>
      </c>
      <c r="G5" s="8"/>
      <c r="I5" s="7"/>
    </row>
    <row r="6" spans="2:10">
      <c r="B6" s="1" t="s">
        <v>17</v>
      </c>
      <c r="C6" s="5"/>
      <c r="F6" s="15">
        <v>0.21</v>
      </c>
      <c r="G6" s="5"/>
    </row>
    <row r="7" spans="2:10">
      <c r="B7" s="1" t="s">
        <v>53</v>
      </c>
      <c r="C7" s="6"/>
      <c r="F7" s="39">
        <f>F5*(1-F6)</f>
        <v>2.8059220000000003E-2</v>
      </c>
      <c r="G7" s="5"/>
    </row>
    <row r="9" spans="2:10">
      <c r="B9" s="1" t="s">
        <v>54</v>
      </c>
      <c r="F9" s="38">
        <v>1.55E-2</v>
      </c>
    </row>
    <row r="10" spans="2:10">
      <c r="B10" s="1" t="s">
        <v>55</v>
      </c>
      <c r="F10" s="43">
        <v>1.39</v>
      </c>
    </row>
    <row r="11" spans="2:10">
      <c r="B11" s="1" t="s">
        <v>56</v>
      </c>
      <c r="F11" s="38">
        <v>0.11</v>
      </c>
    </row>
    <row r="12" spans="2:10">
      <c r="B12" s="1" t="s">
        <v>57</v>
      </c>
      <c r="F12" s="39">
        <f>F9+F10*F11</f>
        <v>0.16839999999999999</v>
      </c>
    </row>
    <row r="14" spans="2:10">
      <c r="B14" s="7" t="s">
        <v>58</v>
      </c>
      <c r="F14" s="7"/>
      <c r="G14" s="7"/>
    </row>
    <row r="15" spans="2:10">
      <c r="B15" s="1" t="s">
        <v>59</v>
      </c>
      <c r="E15" s="46">
        <f>DCF!G6*DCF!C61</f>
        <v>657683.69999999995</v>
      </c>
      <c r="F15" s="44">
        <f>E15/(E15+E16)</f>
        <v>1.0038448347415543</v>
      </c>
    </row>
    <row r="16" spans="2:10">
      <c r="B16" s="1" t="s">
        <v>37</v>
      </c>
      <c r="E16" s="46">
        <f>DCF!C55</f>
        <v>-2519</v>
      </c>
      <c r="F16" s="44">
        <f>E16/(E16+E15)</f>
        <v>-3.8448347415542994E-3</v>
      </c>
    </row>
    <row r="17" spans="2:10">
      <c r="F17" s="7"/>
    </row>
    <row r="18" spans="2:10">
      <c r="B18" s="7" t="s">
        <v>2</v>
      </c>
      <c r="F18" s="20">
        <f>F7*F16+F12*F15</f>
        <v>0.16893958710660084</v>
      </c>
    </row>
    <row r="20" spans="2:10">
      <c r="B20" s="16"/>
      <c r="C20" s="17"/>
      <c r="D20" s="17"/>
      <c r="E20" s="17"/>
      <c r="F20" s="17"/>
      <c r="G20" s="17"/>
      <c r="H20" s="17"/>
      <c r="I20" s="17"/>
      <c r="J2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DECE-C656-4035-BFD9-7B73FDDF6E39}">
  <dimension ref="A2:I20"/>
  <sheetViews>
    <sheetView workbookViewId="0">
      <selection activeCell="B26" sqref="B26"/>
    </sheetView>
  </sheetViews>
  <sheetFormatPr defaultRowHeight="15.6"/>
  <cols>
    <col min="1" max="1" width="10.59765625" bestFit="1" customWidth="1"/>
  </cols>
  <sheetData>
    <row r="2" spans="1:9">
      <c r="B2" t="s">
        <v>72</v>
      </c>
    </row>
    <row r="4" spans="1:9">
      <c r="B4">
        <v>2019</v>
      </c>
      <c r="C4">
        <v>2020</v>
      </c>
      <c r="D4">
        <v>2021</v>
      </c>
      <c r="E4">
        <v>2022</v>
      </c>
      <c r="F4">
        <v>2023</v>
      </c>
      <c r="G4">
        <v>2024</v>
      </c>
      <c r="H4">
        <v>2025</v>
      </c>
      <c r="I4">
        <v>2026</v>
      </c>
    </row>
    <row r="5" spans="1:9">
      <c r="A5" t="s">
        <v>73</v>
      </c>
      <c r="B5">
        <v>1424</v>
      </c>
      <c r="C5">
        <v>1657</v>
      </c>
      <c r="D5">
        <v>2429</v>
      </c>
    </row>
    <row r="6" spans="1:9">
      <c r="A6" t="s">
        <v>74</v>
      </c>
      <c r="B6">
        <v>1575</v>
      </c>
      <c r="C6">
        <v>979</v>
      </c>
      <c r="D6">
        <v>1826</v>
      </c>
    </row>
    <row r="7" spans="1:9">
      <c r="A7" t="s">
        <v>75</v>
      </c>
      <c r="B7">
        <v>511</v>
      </c>
      <c r="C7">
        <v>687</v>
      </c>
      <c r="D7">
        <v>1201</v>
      </c>
    </row>
    <row r="8" spans="1:9">
      <c r="B8">
        <f>B5+B6-B7</f>
        <v>2488</v>
      </c>
      <c r="C8">
        <f t="shared" ref="C8:D8" si="0">C5+C6-C7</f>
        <v>1949</v>
      </c>
      <c r="D8">
        <f t="shared" si="0"/>
        <v>3054</v>
      </c>
    </row>
    <row r="13" spans="1:9">
      <c r="D13" s="83">
        <v>2429</v>
      </c>
      <c r="E13" s="83">
        <v>1657</v>
      </c>
      <c r="F13" s="83">
        <v>1424</v>
      </c>
    </row>
    <row r="14" spans="1:9">
      <c r="D14" s="83">
        <f>F13</f>
        <v>1424</v>
      </c>
      <c r="E14" s="83">
        <f>E13</f>
        <v>1657</v>
      </c>
      <c r="F14" s="83">
        <f>D13</f>
        <v>2429</v>
      </c>
    </row>
    <row r="16" spans="1:9">
      <c r="D16" s="83">
        <v>1826</v>
      </c>
      <c r="E16">
        <v>979</v>
      </c>
      <c r="F16" s="83">
        <v>1575</v>
      </c>
    </row>
    <row r="17" spans="4:6">
      <c r="D17" s="83">
        <f>F16</f>
        <v>1575</v>
      </c>
      <c r="E17" s="83">
        <f>E16</f>
        <v>979</v>
      </c>
      <c r="F17" s="83">
        <f>D16</f>
        <v>1826</v>
      </c>
    </row>
    <row r="19" spans="4:6">
      <c r="D19" s="83">
        <v>1201</v>
      </c>
      <c r="E19">
        <v>687</v>
      </c>
      <c r="F19">
        <v>511</v>
      </c>
    </row>
    <row r="20" spans="4:6">
      <c r="D20" s="83">
        <f>F19</f>
        <v>511</v>
      </c>
      <c r="E20" s="83">
        <f>E19</f>
        <v>687</v>
      </c>
      <c r="F20" s="83">
        <f>D19</f>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C20C6-3E16-49E8-B3A2-5B6AE2BE45F9}">
  <dimension ref="B1:P32"/>
  <sheetViews>
    <sheetView workbookViewId="0">
      <selection activeCell="A24" sqref="A24"/>
    </sheetView>
  </sheetViews>
  <sheetFormatPr defaultColWidth="12.296875" defaultRowHeight="15.6"/>
  <cols>
    <col min="1" max="1" width="11.59765625" customWidth="1"/>
    <col min="2" max="2" width="34.5" customWidth="1"/>
    <col min="3" max="27" width="11.59765625" customWidth="1"/>
  </cols>
  <sheetData>
    <row r="1" spans="2:16" ht="15.75" customHeight="1"/>
    <row r="2" spans="2:16" ht="15.75" customHeight="1">
      <c r="B2" s="93" t="s">
        <v>92</v>
      </c>
      <c r="E2" s="94"/>
    </row>
    <row r="3" spans="2:16" ht="15.75" customHeight="1">
      <c r="E3" s="94"/>
    </row>
    <row r="4" spans="2:16" ht="15.75" customHeight="1">
      <c r="B4" s="95"/>
      <c r="C4" s="96"/>
      <c r="D4" s="136"/>
      <c r="E4" s="97" t="s">
        <v>97</v>
      </c>
      <c r="F4" s="144" t="s">
        <v>93</v>
      </c>
      <c r="G4" s="145"/>
      <c r="H4" s="146" t="s">
        <v>94</v>
      </c>
      <c r="I4" s="145"/>
      <c r="J4" s="146" t="s">
        <v>95</v>
      </c>
      <c r="K4" s="145"/>
    </row>
    <row r="5" spans="2:16" ht="15.75" customHeight="1">
      <c r="B5" s="98" t="s">
        <v>96</v>
      </c>
      <c r="C5" s="99" t="s">
        <v>3</v>
      </c>
      <c r="D5" s="137" t="s">
        <v>108</v>
      </c>
      <c r="E5" s="100" t="s">
        <v>109</v>
      </c>
      <c r="F5" s="101" t="s">
        <v>98</v>
      </c>
      <c r="G5" s="102" t="s">
        <v>106</v>
      </c>
      <c r="H5" s="103" t="s">
        <v>98</v>
      </c>
      <c r="I5" s="102" t="s">
        <v>106</v>
      </c>
      <c r="J5" s="103" t="s">
        <v>98</v>
      </c>
      <c r="K5" s="102" t="s">
        <v>106</v>
      </c>
    </row>
    <row r="6" spans="2:16" ht="15.75" customHeight="1">
      <c r="B6" s="104" t="str" cm="1">
        <f t="array" ref="B6">_FV(D6,"Name")</f>
        <v>INTEL CORPORATION</v>
      </c>
      <c r="C6" s="108" t="s">
        <v>82</v>
      </c>
      <c r="D6" s="108" t="e" vm="1">
        <v>#VALUE!</v>
      </c>
      <c r="E6" s="106" cm="1">
        <f t="array" ref="E6">_FV(D6,"Price")</f>
        <v>44.820099999999996</v>
      </c>
      <c r="F6" s="107">
        <v>11.05</v>
      </c>
      <c r="G6" s="107">
        <v>11.84</v>
      </c>
      <c r="H6" s="107">
        <v>10.83</v>
      </c>
      <c r="I6" s="107">
        <v>13.53</v>
      </c>
      <c r="J6" s="107">
        <v>2.74</v>
      </c>
      <c r="K6" s="107">
        <v>2.56</v>
      </c>
    </row>
    <row r="7" spans="2:16" ht="15.75" customHeight="1">
      <c r="B7" s="104" t="str" cm="1">
        <f t="array" ref="B7">_FV(D7,"Name")</f>
        <v>ADVANCED MICRO DEVICES, INC.</v>
      </c>
      <c r="C7" s="108" t="s">
        <v>77</v>
      </c>
      <c r="D7" s="108" t="e" vm="2">
        <v>#VALUE!</v>
      </c>
      <c r="E7" s="106" cm="1">
        <f t="array" ref="E7">_FV(D7,"Price")</f>
        <v>109.535</v>
      </c>
      <c r="F7" s="107">
        <v>33.869999999999997</v>
      </c>
      <c r="G7" s="107">
        <v>28.16</v>
      </c>
      <c r="H7" s="107">
        <v>51.02</v>
      </c>
      <c r="I7" s="107">
        <v>36.5</v>
      </c>
      <c r="J7" s="107">
        <v>12.68</v>
      </c>
      <c r="K7" s="107">
        <v>9.91</v>
      </c>
    </row>
    <row r="8" spans="2:16" ht="15.75" customHeight="1">
      <c r="B8" s="104" t="str" cm="1">
        <f t="array" ref="B8">_FV(D8,"Name")</f>
        <v>QUALCOMM INCORPORATED</v>
      </c>
      <c r="C8" s="108" t="s">
        <v>86</v>
      </c>
      <c r="D8" s="108" t="e" vm="3">
        <v>#VALUE!</v>
      </c>
      <c r="E8" s="106" cm="1">
        <f t="array" ref="E8">_FV(D8,"Price")</f>
        <v>143.68</v>
      </c>
      <c r="F8" s="107">
        <v>16.59</v>
      </c>
      <c r="G8" s="107">
        <v>20.53</v>
      </c>
      <c r="H8" s="107">
        <v>19.27</v>
      </c>
      <c r="I8" s="107">
        <v>14.58</v>
      </c>
      <c r="J8" s="107">
        <v>6.85</v>
      </c>
      <c r="K8" s="107">
        <v>4.7</v>
      </c>
      <c r="M8" s="90" t="s">
        <v>83</v>
      </c>
      <c r="N8" s="1" t="s">
        <v>79</v>
      </c>
      <c r="O8" s="90" t="s">
        <v>80</v>
      </c>
      <c r="P8" s="90" t="s">
        <v>91</v>
      </c>
    </row>
    <row r="9" spans="2:16" ht="15.75" customHeight="1">
      <c r="B9" s="104" t="str" cm="1">
        <f t="array" ref="B9">_FV(D9,"Name")</f>
        <v>LATTICE SEMICONDUCTOR CORPORATION</v>
      </c>
      <c r="C9" s="108" t="s">
        <v>89</v>
      </c>
      <c r="D9" s="108" t="e" vm="4">
        <v>#VALUE!</v>
      </c>
      <c r="E9" s="106" cm="1">
        <f t="array" ref="E9">_FV(D9,"Price")</f>
        <v>54.725000000000001</v>
      </c>
      <c r="F9" s="107">
        <v>38.54</v>
      </c>
      <c r="G9" s="107">
        <v>61.05</v>
      </c>
      <c r="H9" s="107">
        <v>37.17</v>
      </c>
      <c r="I9" s="107">
        <v>57.8</v>
      </c>
      <c r="J9" s="107">
        <v>9.99</v>
      </c>
      <c r="K9" s="107">
        <v>21.93</v>
      </c>
      <c r="M9" s="91" t="s">
        <v>68</v>
      </c>
      <c r="N9" s="91" t="s">
        <v>81</v>
      </c>
      <c r="O9" s="91">
        <v>73.28</v>
      </c>
      <c r="P9" s="92">
        <f>O9/$O$15</f>
        <v>1.8186631369953674</v>
      </c>
    </row>
    <row r="10" spans="2:16" ht="15.75" customHeight="1">
      <c r="B10" s="104" t="str" cm="1">
        <f t="array" ref="B10">_FV(D10,"Name")</f>
        <v>Broadcom Inc.</v>
      </c>
      <c r="C10" s="108" t="s">
        <v>87</v>
      </c>
      <c r="D10" s="108" t="e" vm="5">
        <v>#VALUE!</v>
      </c>
      <c r="E10" s="106" cm="1">
        <f t="array" ref="E10">_FV(D10,"Price")</f>
        <v>594.27</v>
      </c>
      <c r="F10" s="107">
        <v>27.33</v>
      </c>
      <c r="G10" s="107">
        <v>33.950000000000003</v>
      </c>
      <c r="H10" s="107">
        <v>14.04</v>
      </c>
      <c r="I10" s="107">
        <v>17.39</v>
      </c>
      <c r="J10" s="107">
        <v>6.32</v>
      </c>
      <c r="K10" s="107">
        <v>8.58</v>
      </c>
      <c r="M10" s="90" t="s">
        <v>78</v>
      </c>
      <c r="N10" s="1" t="s">
        <v>82</v>
      </c>
      <c r="O10" s="90">
        <v>5.64</v>
      </c>
      <c r="P10" s="92">
        <f t="shared" ref="P10:P14" si="0">O10/$O$15</f>
        <v>0.13997352746525479</v>
      </c>
    </row>
    <row r="11" spans="2:16" ht="15.75" customHeight="1">
      <c r="B11" s="104" t="str" cm="1">
        <f t="array" ref="B11">_FV(D11,"Name")</f>
        <v>SYNAPTICS INCORPORATED</v>
      </c>
      <c r="C11" s="108" t="s">
        <v>107</v>
      </c>
      <c r="D11" s="108" t="e" vm="6">
        <v>#VALUE!</v>
      </c>
      <c r="E11" s="106" cm="1">
        <f t="array" ref="E11">_FV(D11,"Price")</f>
        <v>213.38</v>
      </c>
      <c r="F11" s="107">
        <v>7.93</v>
      </c>
      <c r="G11" s="107">
        <v>17.309999999999999</v>
      </c>
      <c r="H11" s="107">
        <v>14.22</v>
      </c>
      <c r="I11" s="107">
        <v>19.12</v>
      </c>
      <c r="J11" s="107">
        <v>2.1</v>
      </c>
      <c r="K11" s="107">
        <v>5.56</v>
      </c>
      <c r="M11" s="90" t="s">
        <v>77</v>
      </c>
      <c r="N11" s="1" t="s">
        <v>77</v>
      </c>
      <c r="O11" s="90">
        <v>40.89</v>
      </c>
      <c r="P11" s="92">
        <f t="shared" si="0"/>
        <v>1.0148080741230974</v>
      </c>
    </row>
    <row r="12" spans="2:16" ht="15.75" customHeight="1">
      <c r="B12" s="104" t="str" cm="1">
        <f t="array" ref="B12">_FV(D12,"Name")</f>
        <v>SILICON LABORATORIES INC.</v>
      </c>
      <c r="C12" s="108" t="s">
        <v>110</v>
      </c>
      <c r="D12" s="108" t="e" vm="7">
        <v>#VALUE!</v>
      </c>
      <c r="E12" s="106" cm="1">
        <f t="array" ref="E12">_FV(D12,"Price")</f>
        <v>139.44999999999999</v>
      </c>
      <c r="F12" s="107">
        <v>22.32</v>
      </c>
      <c r="G12" s="107">
        <v>32.979999999999997</v>
      </c>
      <c r="H12" s="107">
        <v>37.590000000000003</v>
      </c>
      <c r="I12" s="107">
        <v>81.97</v>
      </c>
      <c r="J12" s="107">
        <v>6.55</v>
      </c>
      <c r="K12" s="107">
        <v>8.26</v>
      </c>
      <c r="M12" s="90" t="s">
        <v>84</v>
      </c>
      <c r="N12" s="90" t="s">
        <v>86</v>
      </c>
      <c r="O12" s="90">
        <v>12.35</v>
      </c>
      <c r="P12" s="92">
        <f t="shared" si="0"/>
        <v>0.3065023163467902</v>
      </c>
    </row>
    <row r="13" spans="2:16" ht="15.75" customHeight="1">
      <c r="B13" s="104" t="str" cm="1">
        <f t="array" ref="B13">_FV(D13,"Name")</f>
        <v>TEXAS INSTRUMENTS INCORPORATED</v>
      </c>
      <c r="C13" s="108" t="s">
        <v>111</v>
      </c>
      <c r="D13" s="108" t="e" vm="8">
        <v>#VALUE!</v>
      </c>
      <c r="E13" s="106" cm="1">
        <f t="array" ref="E13">_FV(D13,"Price")</f>
        <v>171.85</v>
      </c>
      <c r="F13" s="107">
        <v>37.33</v>
      </c>
      <c r="G13" s="107">
        <v>37.979999999999997</v>
      </c>
      <c r="H13" s="107">
        <v>27.93</v>
      </c>
      <c r="I13" s="107">
        <v>22.37</v>
      </c>
      <c r="J13" s="107">
        <v>11.2</v>
      </c>
      <c r="K13" s="107">
        <v>9.9700000000000006</v>
      </c>
      <c r="M13" s="90" t="s">
        <v>88</v>
      </c>
      <c r="N13" s="90" t="s">
        <v>89</v>
      </c>
      <c r="O13" s="1">
        <v>91.71</v>
      </c>
      <c r="P13" s="92">
        <f t="shared" si="0"/>
        <v>2.276058901389808</v>
      </c>
    </row>
    <row r="14" spans="2:16" ht="15.75" customHeight="1">
      <c r="B14" s="104"/>
      <c r="C14" s="108"/>
      <c r="D14" s="108"/>
      <c r="E14" s="106"/>
      <c r="F14" s="107"/>
      <c r="G14" s="107"/>
      <c r="H14" s="107"/>
      <c r="I14" s="107"/>
      <c r="J14" s="107"/>
      <c r="K14" s="107"/>
      <c r="M14" s="90" t="s">
        <v>85</v>
      </c>
      <c r="N14" s="90" t="s">
        <v>87</v>
      </c>
      <c r="O14" s="1">
        <v>17.89</v>
      </c>
      <c r="P14" s="92">
        <f t="shared" si="0"/>
        <v>0.44399404367968237</v>
      </c>
    </row>
    <row r="15" spans="2:16" ht="15.75" customHeight="1">
      <c r="B15" s="108"/>
      <c r="C15" s="108"/>
      <c r="D15" s="108"/>
      <c r="E15" s="109"/>
      <c r="F15" s="110"/>
      <c r="G15" s="110"/>
      <c r="H15" s="111"/>
      <c r="I15" s="111"/>
      <c r="J15" s="111"/>
      <c r="K15" s="111"/>
      <c r="M15" s="90" t="s">
        <v>90</v>
      </c>
      <c r="N15" s="90"/>
      <c r="O15" s="90">
        <f>AVERAGEA(O9:O14)</f>
        <v>40.293333333333329</v>
      </c>
      <c r="P15" s="1"/>
    </row>
    <row r="16" spans="2:16" ht="15.75" customHeight="1">
      <c r="B16" s="112"/>
      <c r="C16" s="108"/>
      <c r="D16" s="108"/>
      <c r="E16" s="109" t="s">
        <v>99</v>
      </c>
      <c r="F16" s="111">
        <f>AVERAGE(F6:F13)</f>
        <v>24.369999999999997</v>
      </c>
      <c r="G16" s="111">
        <f t="shared" ref="G16:K16" si="1">AVERAGE(G6:G13)</f>
        <v>30.474999999999998</v>
      </c>
      <c r="H16" s="111">
        <f t="shared" si="1"/>
        <v>26.508750000000003</v>
      </c>
      <c r="I16" s="111">
        <f t="shared" si="1"/>
        <v>32.907499999999999</v>
      </c>
      <c r="J16" s="111">
        <f t="shared" si="1"/>
        <v>7.3037499999999991</v>
      </c>
      <c r="K16" s="111">
        <f t="shared" si="1"/>
        <v>8.9337499999999999</v>
      </c>
    </row>
    <row r="17" spans="2:11" ht="15.75" customHeight="1">
      <c r="B17" s="112"/>
      <c r="C17" s="108"/>
      <c r="D17" s="108"/>
      <c r="E17" s="109" t="s">
        <v>100</v>
      </c>
      <c r="F17" s="111">
        <f>MEDIAN(F6:F14)</f>
        <v>24.824999999999999</v>
      </c>
      <c r="G17" s="111">
        <f t="shared" ref="G17:K17" si="2">MEDIAN(G6:G14)</f>
        <v>30.57</v>
      </c>
      <c r="H17" s="111">
        <f t="shared" si="2"/>
        <v>23.6</v>
      </c>
      <c r="I17" s="111">
        <f t="shared" si="2"/>
        <v>20.745000000000001</v>
      </c>
      <c r="J17" s="111">
        <f t="shared" si="2"/>
        <v>6.6999999999999993</v>
      </c>
      <c r="K17" s="111">
        <f t="shared" si="2"/>
        <v>8.42</v>
      </c>
    </row>
    <row r="18" spans="2:11" ht="15.75" customHeight="1">
      <c r="B18" s="108"/>
      <c r="C18" s="108"/>
      <c r="D18" s="108"/>
      <c r="E18" s="109"/>
      <c r="F18" s="108"/>
      <c r="G18" s="108"/>
      <c r="H18" s="108"/>
      <c r="I18" s="108"/>
      <c r="J18" s="108"/>
      <c r="K18" s="108"/>
    </row>
    <row r="19" spans="2:11" ht="15.75" customHeight="1">
      <c r="B19" s="104" t="str" cm="1">
        <f t="array" ref="B19">_FV(D19,"Name")</f>
        <v>NVIDIA CORPORATION</v>
      </c>
      <c r="C19" s="105" t="s">
        <v>81</v>
      </c>
      <c r="D19" s="105" t="e" vm="9">
        <v>#VALUE!</v>
      </c>
      <c r="E19" s="106" cm="1">
        <f t="array" ref="E19">_FV(D19,"Price")</f>
        <v>230.0078</v>
      </c>
      <c r="F19" s="111">
        <v>64.97</v>
      </c>
      <c r="G19" s="111">
        <v>73.92</v>
      </c>
      <c r="H19" s="111">
        <v>46.73</v>
      </c>
      <c r="I19" s="111">
        <v>54.95</v>
      </c>
      <c r="J19" s="111">
        <v>23.87</v>
      </c>
      <c r="K19" s="111">
        <v>29.52</v>
      </c>
    </row>
    <row r="20" spans="2:11" ht="15.75" customHeight="1">
      <c r="B20" s="108"/>
      <c r="C20" s="109"/>
      <c r="D20" s="109"/>
      <c r="E20" s="113"/>
      <c r="F20" s="111"/>
      <c r="G20" s="111"/>
      <c r="H20" s="111"/>
      <c r="I20" s="111"/>
      <c r="J20" s="111"/>
      <c r="K20" s="111"/>
    </row>
    <row r="21" spans="2:11" ht="15.75" customHeight="1">
      <c r="C21" s="94"/>
      <c r="D21" s="94"/>
      <c r="E21" s="114"/>
      <c r="F21" s="115"/>
      <c r="G21" s="115"/>
      <c r="H21" s="115"/>
      <c r="I21" s="115"/>
      <c r="J21" s="115"/>
      <c r="K21" s="115"/>
    </row>
    <row r="22" spans="2:11" ht="15.75" customHeight="1">
      <c r="B22" s="116" t="s">
        <v>112</v>
      </c>
      <c r="C22" s="117"/>
      <c r="D22" s="117"/>
      <c r="E22" s="118" t="s">
        <v>98</v>
      </c>
      <c r="F22" s="118" t="s">
        <v>106</v>
      </c>
    </row>
    <row r="23" spans="2:11" ht="15.75" customHeight="1">
      <c r="B23" s="119" t="s">
        <v>101</v>
      </c>
      <c r="C23" s="119"/>
      <c r="D23" s="119"/>
      <c r="E23" s="120">
        <v>1.1499999999999999</v>
      </c>
      <c r="F23" s="120">
        <v>1.75</v>
      </c>
    </row>
    <row r="24" spans="2:11" ht="15.75" customHeight="1">
      <c r="B24" s="121" t="s">
        <v>102</v>
      </c>
      <c r="C24" s="94"/>
      <c r="D24" s="94"/>
      <c r="E24" s="122">
        <v>10918</v>
      </c>
      <c r="F24" s="122">
        <v>16675</v>
      </c>
    </row>
    <row r="25" spans="2:11" ht="15.75" customHeight="1">
      <c r="B25" s="121" t="s">
        <v>103</v>
      </c>
      <c r="C25" s="94"/>
      <c r="D25" s="94"/>
      <c r="E25" s="123">
        <v>1991</v>
      </c>
      <c r="F25" s="123">
        <v>6116</v>
      </c>
    </row>
    <row r="26" spans="2:11" ht="15.75" customHeight="1">
      <c r="B26" s="121" t="s">
        <v>104</v>
      </c>
      <c r="C26" s="94"/>
      <c r="D26" s="94"/>
      <c r="E26" s="124">
        <v>2448</v>
      </c>
      <c r="F26" s="124">
        <v>2468</v>
      </c>
    </row>
    <row r="27" spans="2:11" ht="15.75" customHeight="1">
      <c r="E27" s="94"/>
    </row>
    <row r="28" spans="2:11" ht="15.75" customHeight="1">
      <c r="B28" s="125" t="s">
        <v>105</v>
      </c>
      <c r="C28" s="126"/>
      <c r="D28" s="126"/>
      <c r="E28" s="127"/>
      <c r="F28" s="126"/>
      <c r="G28" s="126"/>
      <c r="H28" s="128"/>
      <c r="I28" s="128"/>
      <c r="J28" s="126"/>
      <c r="K28" s="129"/>
    </row>
    <row r="29" spans="2:11" ht="15.75" customHeight="1">
      <c r="B29" s="130" t="s">
        <v>99</v>
      </c>
      <c r="C29" s="105"/>
      <c r="D29" s="105"/>
      <c r="E29" s="130"/>
      <c r="F29" s="131">
        <f t="shared" ref="F29:G29" si="3">(F16*E24-E25)/E26</f>
        <v>107.87608660130718</v>
      </c>
      <c r="G29" s="131">
        <f t="shared" si="3"/>
        <v>203.42569894651538</v>
      </c>
      <c r="H29" s="132">
        <f t="shared" ref="H29:I29" si="4">E23*H16</f>
        <v>30.485062500000002</v>
      </c>
      <c r="I29" s="132">
        <f t="shared" si="4"/>
        <v>57.588124999999998</v>
      </c>
      <c r="J29" s="131">
        <f t="shared" ref="J29:K29" si="5">J16*E24/E26</f>
        <v>32.574486315359472</v>
      </c>
      <c r="K29" s="131">
        <f t="shared" si="5"/>
        <v>60.36072984197731</v>
      </c>
    </row>
    <row r="30" spans="2:11" ht="15.75" customHeight="1">
      <c r="B30" s="109" t="s">
        <v>100</v>
      </c>
      <c r="C30" s="108"/>
      <c r="D30" s="108"/>
      <c r="E30" s="109"/>
      <c r="F30" s="133">
        <f t="shared" ref="F30:G30" si="6">(F17*E24-E25)/E26</f>
        <v>109.90537173202614</v>
      </c>
      <c r="G30" s="133">
        <f t="shared" si="6"/>
        <v>204.06756482982172</v>
      </c>
      <c r="H30" s="134">
        <f t="shared" ref="H30:I30" si="7">E23*H17</f>
        <v>27.14</v>
      </c>
      <c r="I30" s="134">
        <f t="shared" si="7"/>
        <v>36.303750000000001</v>
      </c>
      <c r="J30" s="133">
        <f t="shared" ref="J30:K30" si="8">J17*E24/E26</f>
        <v>29.88178104575163</v>
      </c>
      <c r="K30" s="133">
        <f t="shared" si="8"/>
        <v>56.889586709886551</v>
      </c>
    </row>
    <row r="31" spans="2:11" ht="15.75" customHeight="1">
      <c r="B31" s="135"/>
      <c r="C31" s="108"/>
      <c r="D31" s="108"/>
      <c r="E31" s="109"/>
      <c r="F31" s="133"/>
      <c r="G31" s="133"/>
      <c r="H31" s="134"/>
      <c r="I31" s="134"/>
      <c r="J31" s="133"/>
      <c r="K31" s="133"/>
    </row>
    <row r="32" spans="2:11" ht="15.75" customHeight="1"/>
  </sheetData>
  <mergeCells count="3">
    <mergeCell ref="F4:G4"/>
    <mergeCell ref="H4:I4"/>
    <mergeCell ref="J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6F33-5B21-45A1-A465-9174638934CB}">
  <dimension ref="B1:Y165"/>
  <sheetViews>
    <sheetView topLeftCell="A11" workbookViewId="0">
      <selection activeCell="D27" sqref="D27"/>
    </sheetView>
  </sheetViews>
  <sheetFormatPr defaultRowHeight="15.6"/>
  <cols>
    <col min="2" max="2" width="31.8984375" customWidth="1"/>
    <col min="3" max="3" width="10.09765625" bestFit="1" customWidth="1"/>
    <col min="4" max="5" width="9.5" bestFit="1" customWidth="1"/>
    <col min="6" max="7" width="10.5" bestFit="1" customWidth="1"/>
    <col min="8" max="8" width="9.5" bestFit="1" customWidth="1"/>
  </cols>
  <sheetData>
    <row r="1" spans="2:24">
      <c r="H1" s="139"/>
      <c r="I1" s="139"/>
      <c r="J1" s="139"/>
      <c r="K1" t="s">
        <v>179</v>
      </c>
    </row>
    <row r="2" spans="2:24">
      <c r="B2" t="s">
        <v>114</v>
      </c>
      <c r="H2" s="139"/>
      <c r="I2" s="140"/>
      <c r="J2" s="139"/>
      <c r="K2" s="146" t="s">
        <v>93</v>
      </c>
      <c r="L2" s="145"/>
      <c r="M2" s="146" t="s">
        <v>94</v>
      </c>
      <c r="N2" s="145"/>
      <c r="O2" s="146" t="s">
        <v>95</v>
      </c>
      <c r="P2" s="145"/>
    </row>
    <row r="3" spans="2:24">
      <c r="H3" s="139"/>
      <c r="I3" s="140"/>
      <c r="J3" s="139"/>
      <c r="K3">
        <v>2020</v>
      </c>
      <c r="L3">
        <v>2021</v>
      </c>
      <c r="M3">
        <v>2020</v>
      </c>
      <c r="N3">
        <v>2021</v>
      </c>
      <c r="O3">
        <v>2020</v>
      </c>
      <c r="P3">
        <v>2021</v>
      </c>
    </row>
    <row r="4" spans="2:24">
      <c r="H4" s="139"/>
      <c r="I4" s="140"/>
      <c r="J4" s="139"/>
    </row>
    <row r="5" spans="2:24">
      <c r="H5" s="139"/>
      <c r="I5" s="140"/>
      <c r="J5" s="139"/>
    </row>
    <row r="6" spans="2:24">
      <c r="B6" t="s">
        <v>69</v>
      </c>
      <c r="C6" t="s">
        <v>156</v>
      </c>
      <c r="D6">
        <v>2021</v>
      </c>
      <c r="G6">
        <v>2020</v>
      </c>
      <c r="H6" s="139"/>
      <c r="I6" s="140" t="str">
        <f>B6</f>
        <v>NVDA</v>
      </c>
      <c r="J6" s="139"/>
    </row>
    <row r="7" spans="2:24">
      <c r="C7" t="s">
        <v>113</v>
      </c>
      <c r="D7" s="138">
        <v>44408</v>
      </c>
      <c r="E7" s="138">
        <v>44316</v>
      </c>
      <c r="F7" s="138">
        <v>44227</v>
      </c>
      <c r="G7" s="138">
        <v>44135</v>
      </c>
      <c r="H7" s="139"/>
      <c r="I7" s="146" t="s">
        <v>93</v>
      </c>
      <c r="J7" s="145"/>
      <c r="K7" s="146" t="s">
        <v>94</v>
      </c>
      <c r="L7" s="145"/>
      <c r="M7" s="146" t="s">
        <v>95</v>
      </c>
      <c r="N7" s="145"/>
      <c r="O7" t="s">
        <v>76</v>
      </c>
      <c r="Q7" s="96"/>
      <c r="R7" s="146" t="s">
        <v>93</v>
      </c>
      <c r="S7" s="145"/>
      <c r="T7" s="146" t="s">
        <v>94</v>
      </c>
      <c r="U7" s="145"/>
      <c r="V7" s="146" t="s">
        <v>95</v>
      </c>
      <c r="W7" s="145"/>
    </row>
    <row r="8" spans="2:24">
      <c r="B8" t="s">
        <v>130</v>
      </c>
      <c r="C8" t="s">
        <v>115</v>
      </c>
      <c r="D8" t="s">
        <v>116</v>
      </c>
      <c r="E8" t="s">
        <v>117</v>
      </c>
      <c r="F8" t="s">
        <v>118</v>
      </c>
      <c r="G8" t="s">
        <v>119</v>
      </c>
      <c r="H8" s="139"/>
      <c r="I8">
        <v>2020</v>
      </c>
      <c r="J8">
        <v>2021</v>
      </c>
      <c r="K8">
        <v>2020</v>
      </c>
      <c r="L8">
        <v>2021</v>
      </c>
      <c r="M8">
        <v>2020</v>
      </c>
      <c r="N8">
        <v>2021</v>
      </c>
      <c r="Q8" s="99" t="s">
        <v>3</v>
      </c>
      <c r="R8">
        <v>2020</v>
      </c>
      <c r="S8">
        <v>2021</v>
      </c>
      <c r="T8">
        <v>2020</v>
      </c>
      <c r="U8">
        <v>2021</v>
      </c>
      <c r="V8">
        <v>2020</v>
      </c>
      <c r="W8">
        <v>2021</v>
      </c>
    </row>
    <row r="9" spans="2:24">
      <c r="B9" t="s">
        <v>131</v>
      </c>
      <c r="C9" t="s">
        <v>120</v>
      </c>
      <c r="D9" t="s">
        <v>121</v>
      </c>
      <c r="E9" t="s">
        <v>122</v>
      </c>
      <c r="F9" t="s">
        <v>123</v>
      </c>
      <c r="G9" t="s">
        <v>124</v>
      </c>
      <c r="H9" s="139"/>
      <c r="I9" s="140">
        <f>G15</f>
        <v>64.97</v>
      </c>
      <c r="J9" s="139">
        <f>D15</f>
        <v>73.92</v>
      </c>
      <c r="K9">
        <f>G11</f>
        <v>46.73</v>
      </c>
      <c r="L9">
        <f>C11</f>
        <v>54.95</v>
      </c>
      <c r="M9">
        <f>G13</f>
        <v>23.87</v>
      </c>
      <c r="N9">
        <f>C13</f>
        <v>29.52</v>
      </c>
      <c r="O9">
        <f>C16</f>
        <v>73.28</v>
      </c>
      <c r="P9">
        <v>1</v>
      </c>
      <c r="Q9" s="108" t="s">
        <v>82</v>
      </c>
      <c r="R9">
        <f>I25</f>
        <v>11.05</v>
      </c>
      <c r="S9">
        <f t="shared" ref="S9:X9" si="0">J25</f>
        <v>11.84</v>
      </c>
      <c r="T9">
        <f t="shared" si="0"/>
        <v>10.83</v>
      </c>
      <c r="U9">
        <f t="shared" si="0"/>
        <v>13.53</v>
      </c>
      <c r="V9">
        <f t="shared" si="0"/>
        <v>2.74</v>
      </c>
      <c r="W9">
        <f t="shared" si="0"/>
        <v>2.56</v>
      </c>
      <c r="X9">
        <f t="shared" si="0"/>
        <v>5.64</v>
      </c>
    </row>
    <row r="10" spans="2:24">
      <c r="B10" t="s">
        <v>125</v>
      </c>
      <c r="C10">
        <v>91.47</v>
      </c>
      <c r="D10">
        <v>92.19</v>
      </c>
      <c r="E10">
        <v>87.01</v>
      </c>
      <c r="F10">
        <v>84.9</v>
      </c>
      <c r="G10">
        <v>91.99</v>
      </c>
      <c r="H10" s="139"/>
      <c r="I10" s="140"/>
      <c r="J10" s="139"/>
      <c r="P10">
        <v>2</v>
      </c>
      <c r="Q10" s="108" t="s">
        <v>77</v>
      </c>
      <c r="R10">
        <f>I41</f>
        <v>33.869999999999997</v>
      </c>
      <c r="S10">
        <f t="shared" ref="S10:X10" si="1">J41</f>
        <v>28.16</v>
      </c>
      <c r="T10">
        <f t="shared" si="1"/>
        <v>51.02</v>
      </c>
      <c r="U10">
        <f t="shared" si="1"/>
        <v>36.5</v>
      </c>
      <c r="V10">
        <f t="shared" si="1"/>
        <v>12.68</v>
      </c>
      <c r="W10">
        <f t="shared" si="1"/>
        <v>9.91</v>
      </c>
      <c r="X10">
        <f t="shared" si="1"/>
        <v>40.89</v>
      </c>
    </row>
    <row r="11" spans="2:24">
      <c r="B11" t="s">
        <v>132</v>
      </c>
      <c r="C11">
        <v>54.95</v>
      </c>
      <c r="D11">
        <v>50</v>
      </c>
      <c r="E11">
        <v>43.48</v>
      </c>
      <c r="F11">
        <v>46.08</v>
      </c>
      <c r="G11">
        <v>46.73</v>
      </c>
      <c r="H11" s="139"/>
      <c r="I11" s="139"/>
      <c r="J11" s="139"/>
      <c r="P11">
        <v>3</v>
      </c>
      <c r="Q11" s="108" t="s">
        <v>86</v>
      </c>
      <c r="R11">
        <f>I57</f>
        <v>16.59</v>
      </c>
      <c r="S11">
        <f t="shared" ref="S11:X11" si="2">J57</f>
        <v>20.53</v>
      </c>
      <c r="T11">
        <f t="shared" si="2"/>
        <v>19.27</v>
      </c>
      <c r="U11">
        <f t="shared" si="2"/>
        <v>14.58</v>
      </c>
      <c r="V11">
        <f t="shared" si="2"/>
        <v>6.85</v>
      </c>
      <c r="W11">
        <f t="shared" si="2"/>
        <v>4.7</v>
      </c>
      <c r="X11">
        <f t="shared" si="2"/>
        <v>12.35</v>
      </c>
    </row>
    <row r="12" spans="2:24">
      <c r="B12" t="s">
        <v>133</v>
      </c>
      <c r="C12">
        <v>3.84</v>
      </c>
      <c r="D12">
        <v>3.5</v>
      </c>
      <c r="E12">
        <v>3.73</v>
      </c>
      <c r="F12">
        <v>2.88</v>
      </c>
      <c r="G12">
        <v>3.13</v>
      </c>
      <c r="P12">
        <v>4</v>
      </c>
      <c r="Q12" s="108" t="s">
        <v>89</v>
      </c>
      <c r="R12">
        <f>I75</f>
        <v>38.54</v>
      </c>
      <c r="S12">
        <f t="shared" ref="S12:X12" si="3">J75</f>
        <v>61.05</v>
      </c>
      <c r="T12">
        <f t="shared" si="3"/>
        <v>37.17</v>
      </c>
      <c r="U12">
        <f t="shared" si="3"/>
        <v>57.8</v>
      </c>
      <c r="V12">
        <f t="shared" si="3"/>
        <v>9.99</v>
      </c>
      <c r="W12">
        <f t="shared" si="3"/>
        <v>21.93</v>
      </c>
      <c r="X12">
        <f t="shared" si="3"/>
        <v>91.71</v>
      </c>
    </row>
    <row r="13" spans="2:24">
      <c r="B13" t="s">
        <v>126</v>
      </c>
      <c r="C13">
        <v>29.52</v>
      </c>
      <c r="D13">
        <v>25.54</v>
      </c>
      <c r="E13">
        <v>22.61</v>
      </c>
      <c r="F13">
        <v>21.97</v>
      </c>
      <c r="G13">
        <v>23.87</v>
      </c>
      <c r="P13">
        <v>5</v>
      </c>
      <c r="Q13" s="108" t="s">
        <v>87</v>
      </c>
      <c r="R13">
        <f>I93</f>
        <v>27.33</v>
      </c>
      <c r="S13">
        <f t="shared" ref="S13:X13" si="4">J93</f>
        <v>33.950000000000003</v>
      </c>
      <c r="T13">
        <f t="shared" si="4"/>
        <v>14.04</v>
      </c>
      <c r="U13">
        <f t="shared" si="4"/>
        <v>17.39</v>
      </c>
      <c r="V13">
        <f t="shared" si="4"/>
        <v>6.32</v>
      </c>
      <c r="W13">
        <f t="shared" si="4"/>
        <v>8.58</v>
      </c>
      <c r="X13">
        <f t="shared" si="4"/>
        <v>17.89</v>
      </c>
    </row>
    <row r="14" spans="2:24">
      <c r="B14" t="s">
        <v>127</v>
      </c>
      <c r="C14">
        <v>30.23</v>
      </c>
      <c r="D14">
        <v>25.88</v>
      </c>
      <c r="E14">
        <v>22.12</v>
      </c>
      <c r="F14">
        <v>21.01</v>
      </c>
      <c r="G14">
        <v>22.3</v>
      </c>
      <c r="P14">
        <v>6</v>
      </c>
      <c r="Q14" s="108" t="s">
        <v>107</v>
      </c>
      <c r="R14">
        <f>I111</f>
        <v>7.93</v>
      </c>
      <c r="S14">
        <f t="shared" ref="S14:X14" si="5">J111</f>
        <v>17.309999999999999</v>
      </c>
      <c r="T14">
        <f t="shared" si="5"/>
        <v>14.22</v>
      </c>
      <c r="U14">
        <f t="shared" si="5"/>
        <v>19.12</v>
      </c>
      <c r="V14">
        <f t="shared" si="5"/>
        <v>2.1</v>
      </c>
      <c r="W14">
        <f t="shared" si="5"/>
        <v>5.56</v>
      </c>
      <c r="X14">
        <f t="shared" si="5"/>
        <v>27.29</v>
      </c>
    </row>
    <row r="15" spans="2:24">
      <c r="B15" t="s">
        <v>134</v>
      </c>
      <c r="C15">
        <v>28.88</v>
      </c>
      <c r="D15">
        <v>73.92</v>
      </c>
      <c r="E15">
        <v>65.33</v>
      </c>
      <c r="F15">
        <v>63.8</v>
      </c>
      <c r="G15">
        <v>64.97</v>
      </c>
      <c r="P15">
        <v>7</v>
      </c>
      <c r="Q15" s="108" t="s">
        <v>110</v>
      </c>
      <c r="R15">
        <f>I129</f>
        <v>22.32</v>
      </c>
      <c r="S15">
        <f t="shared" ref="S15:X15" si="6">J129</f>
        <v>32.979999999999997</v>
      </c>
      <c r="T15">
        <f t="shared" si="6"/>
        <v>37.590000000000003</v>
      </c>
      <c r="U15">
        <f t="shared" si="6"/>
        <v>81.97</v>
      </c>
      <c r="V15">
        <f t="shared" si="6"/>
        <v>6.55</v>
      </c>
      <c r="W15">
        <f t="shared" si="6"/>
        <v>8.26</v>
      </c>
      <c r="X15">
        <f t="shared" si="6"/>
        <v>31.27</v>
      </c>
    </row>
    <row r="16" spans="2:24">
      <c r="B16" t="s">
        <v>135</v>
      </c>
      <c r="C16">
        <v>73.28</v>
      </c>
      <c r="D16">
        <v>175.54</v>
      </c>
      <c r="E16">
        <v>155.52000000000001</v>
      </c>
      <c r="F16">
        <v>176.24</v>
      </c>
      <c r="G16">
        <v>180.62</v>
      </c>
      <c r="P16">
        <v>8</v>
      </c>
      <c r="Q16" s="108" t="s">
        <v>111</v>
      </c>
      <c r="R16">
        <f>I147</f>
        <v>37.33</v>
      </c>
      <c r="S16">
        <f t="shared" ref="S16:X16" si="7">J147</f>
        <v>37.979999999999997</v>
      </c>
      <c r="T16">
        <f t="shared" si="7"/>
        <v>27.93</v>
      </c>
      <c r="U16">
        <f t="shared" si="7"/>
        <v>22.37</v>
      </c>
      <c r="V16">
        <f t="shared" si="7"/>
        <v>11.2</v>
      </c>
      <c r="W16">
        <f t="shared" si="7"/>
        <v>9.9700000000000006</v>
      </c>
      <c r="X16">
        <f t="shared" si="7"/>
        <v>19.3</v>
      </c>
    </row>
    <row r="17" spans="2:25">
      <c r="Q17" s="141" t="s">
        <v>230</v>
      </c>
      <c r="R17">
        <f>AVERAGE(R9:R16)</f>
        <v>24.369999999999997</v>
      </c>
      <c r="S17">
        <f t="shared" ref="S17:X17" si="8">AVERAGE(S9:S16)</f>
        <v>30.474999999999998</v>
      </c>
      <c r="T17">
        <f t="shared" si="8"/>
        <v>26.508750000000003</v>
      </c>
      <c r="U17">
        <f t="shared" si="8"/>
        <v>32.907499999999999</v>
      </c>
      <c r="V17">
        <f t="shared" si="8"/>
        <v>7.3037499999999991</v>
      </c>
      <c r="W17">
        <f t="shared" si="8"/>
        <v>8.9337499999999999</v>
      </c>
      <c r="X17">
        <f t="shared" si="8"/>
        <v>30.792500000000004</v>
      </c>
    </row>
    <row r="18" spans="2:25">
      <c r="B18" t="s">
        <v>114</v>
      </c>
      <c r="Q18" s="141" t="s">
        <v>226</v>
      </c>
      <c r="R18">
        <f>MEDIAN(R9:R16)</f>
        <v>24.824999999999999</v>
      </c>
      <c r="S18">
        <f t="shared" ref="S18:W18" si="9">MEDIAN(S9:S16)</f>
        <v>30.57</v>
      </c>
      <c r="T18">
        <f t="shared" si="9"/>
        <v>23.6</v>
      </c>
      <c r="U18">
        <f t="shared" si="9"/>
        <v>20.745000000000001</v>
      </c>
      <c r="V18">
        <f t="shared" si="9"/>
        <v>6.6999999999999993</v>
      </c>
      <c r="W18">
        <f t="shared" si="9"/>
        <v>8.42</v>
      </c>
      <c r="X18">
        <f>MEDIAN(X9:X16)</f>
        <v>23.295000000000002</v>
      </c>
    </row>
    <row r="19" spans="2:25">
      <c r="P19">
        <v>9</v>
      </c>
      <c r="Q19" t="s">
        <v>69</v>
      </c>
      <c r="R19">
        <f>I9</f>
        <v>64.97</v>
      </c>
      <c r="S19">
        <f t="shared" ref="S19:X19" si="10">J9</f>
        <v>73.92</v>
      </c>
      <c r="T19">
        <f t="shared" si="10"/>
        <v>46.73</v>
      </c>
      <c r="U19">
        <f t="shared" si="10"/>
        <v>54.95</v>
      </c>
      <c r="V19">
        <f t="shared" si="10"/>
        <v>23.87</v>
      </c>
      <c r="W19">
        <f t="shared" si="10"/>
        <v>29.52</v>
      </c>
      <c r="X19">
        <f t="shared" si="10"/>
        <v>73.28</v>
      </c>
    </row>
    <row r="20" spans="2:25">
      <c r="W20" t="s">
        <v>225</v>
      </c>
      <c r="X20">
        <f>SUM(X9:X16,X19)/9</f>
        <v>35.513333333333335</v>
      </c>
      <c r="Y20" t="s">
        <v>227</v>
      </c>
    </row>
    <row r="21" spans="2:25">
      <c r="W21" t="s">
        <v>226</v>
      </c>
      <c r="X21">
        <f>MEDIAN(X9:X16)</f>
        <v>23.295000000000002</v>
      </c>
      <c r="Y21" t="s">
        <v>228</v>
      </c>
    </row>
    <row r="22" spans="2:25">
      <c r="B22" t="s">
        <v>82</v>
      </c>
      <c r="D22">
        <v>2021</v>
      </c>
      <c r="G22">
        <v>2020</v>
      </c>
      <c r="I22" s="140" t="str">
        <f>B22</f>
        <v>INTC</v>
      </c>
      <c r="J22" s="139"/>
      <c r="Y22" t="s">
        <v>229</v>
      </c>
    </row>
    <row r="23" spans="2:25">
      <c r="C23" t="s">
        <v>113</v>
      </c>
      <c r="D23" s="138">
        <v>44469</v>
      </c>
      <c r="E23" s="138">
        <v>44377</v>
      </c>
      <c r="F23" s="138">
        <v>44286</v>
      </c>
      <c r="G23" s="138">
        <v>44196</v>
      </c>
      <c r="H23" s="138"/>
      <c r="I23" s="146" t="s">
        <v>93</v>
      </c>
      <c r="J23" s="145"/>
      <c r="K23" s="146" t="s">
        <v>94</v>
      </c>
      <c r="L23" s="145"/>
      <c r="M23" s="146" t="s">
        <v>95</v>
      </c>
      <c r="N23" s="145"/>
      <c r="O23" t="s">
        <v>76</v>
      </c>
      <c r="Y23" t="s">
        <v>231</v>
      </c>
    </row>
    <row r="24" spans="2:25">
      <c r="B24" t="s">
        <v>130</v>
      </c>
      <c r="C24" t="s">
        <v>136</v>
      </c>
      <c r="D24" t="s">
        <v>137</v>
      </c>
      <c r="E24" t="s">
        <v>138</v>
      </c>
      <c r="F24" t="s">
        <v>139</v>
      </c>
      <c r="G24" t="s">
        <v>140</v>
      </c>
      <c r="I24">
        <v>2020</v>
      </c>
      <c r="J24">
        <v>2021</v>
      </c>
      <c r="K24">
        <v>2020</v>
      </c>
      <c r="L24">
        <v>2021</v>
      </c>
      <c r="M24">
        <v>2020</v>
      </c>
      <c r="N24">
        <v>2021</v>
      </c>
      <c r="Y24" t="s">
        <v>232</v>
      </c>
    </row>
    <row r="25" spans="2:25">
      <c r="B25" t="s">
        <v>131</v>
      </c>
      <c r="C25" t="s">
        <v>141</v>
      </c>
      <c r="D25" t="s">
        <v>142</v>
      </c>
      <c r="E25" t="s">
        <v>143</v>
      </c>
      <c r="F25" t="s">
        <v>144</v>
      </c>
      <c r="G25" t="s">
        <v>145</v>
      </c>
      <c r="I25" s="140">
        <f>G31</f>
        <v>11.05</v>
      </c>
      <c r="J25" s="139">
        <f>D31</f>
        <v>11.84</v>
      </c>
      <c r="K25">
        <f>G27</f>
        <v>10.83</v>
      </c>
      <c r="L25">
        <f>C27</f>
        <v>13.53</v>
      </c>
      <c r="M25">
        <f>G29</f>
        <v>2.74</v>
      </c>
      <c r="N25">
        <f>C29</f>
        <v>2.56</v>
      </c>
      <c r="O25">
        <f>C32</f>
        <v>5.64</v>
      </c>
      <c r="Y25" t="s">
        <v>233</v>
      </c>
    </row>
    <row r="26" spans="2:25">
      <c r="B26" t="s">
        <v>125</v>
      </c>
      <c r="C26">
        <v>9.51</v>
      </c>
      <c r="D26">
        <v>11.84</v>
      </c>
      <c r="E26">
        <v>12.62</v>
      </c>
      <c r="F26">
        <v>12.96</v>
      </c>
      <c r="G26">
        <v>9.7899999999999991</v>
      </c>
      <c r="Y26" t="s">
        <v>234</v>
      </c>
    </row>
    <row r="27" spans="2:25">
      <c r="B27" t="s">
        <v>132</v>
      </c>
      <c r="C27">
        <v>13.53</v>
      </c>
      <c r="D27">
        <v>12.02</v>
      </c>
      <c r="E27">
        <v>12.67</v>
      </c>
      <c r="F27">
        <v>14.06</v>
      </c>
      <c r="G27">
        <v>10.83</v>
      </c>
      <c r="Y27" t="s">
        <v>235</v>
      </c>
    </row>
    <row r="28" spans="2:25">
      <c r="B28" t="s">
        <v>133</v>
      </c>
      <c r="C28">
        <v>2.71</v>
      </c>
      <c r="D28">
        <v>2.06</v>
      </c>
      <c r="E28">
        <v>2.5299999999999998</v>
      </c>
      <c r="F28">
        <v>2.81</v>
      </c>
      <c r="G28">
        <v>1.85</v>
      </c>
    </row>
    <row r="29" spans="2:25">
      <c r="B29" t="s">
        <v>126</v>
      </c>
      <c r="C29">
        <v>2.56</v>
      </c>
      <c r="D29">
        <v>2.83</v>
      </c>
      <c r="E29">
        <v>3.02</v>
      </c>
      <c r="F29">
        <v>3.48</v>
      </c>
      <c r="G29">
        <v>2.74</v>
      </c>
    </row>
    <row r="30" spans="2:25">
      <c r="B30" t="s">
        <v>127</v>
      </c>
      <c r="C30">
        <v>2.21</v>
      </c>
      <c r="D30">
        <v>2.54</v>
      </c>
      <c r="E30">
        <v>2.85</v>
      </c>
      <c r="F30">
        <v>3.19</v>
      </c>
      <c r="G30">
        <v>2.71</v>
      </c>
    </row>
    <row r="31" spans="2:25">
      <c r="B31" t="s">
        <v>134</v>
      </c>
      <c r="C31">
        <v>2.61</v>
      </c>
      <c r="D31">
        <v>11.84</v>
      </c>
      <c r="E31">
        <v>12.29</v>
      </c>
      <c r="F31">
        <v>13.77</v>
      </c>
      <c r="G31">
        <v>11.05</v>
      </c>
    </row>
    <row r="32" spans="2:25">
      <c r="B32" t="s">
        <v>135</v>
      </c>
      <c r="C32">
        <v>5.64</v>
      </c>
      <c r="D32">
        <v>22.81</v>
      </c>
      <c r="E32">
        <v>27.63</v>
      </c>
      <c r="F32">
        <v>38.72</v>
      </c>
      <c r="G32">
        <v>20.74</v>
      </c>
    </row>
    <row r="34" spans="2:15">
      <c r="B34" t="s">
        <v>114</v>
      </c>
    </row>
    <row r="38" spans="2:15">
      <c r="B38" t="s">
        <v>77</v>
      </c>
      <c r="D38">
        <v>2021</v>
      </c>
      <c r="G38">
        <v>2020</v>
      </c>
      <c r="I38" s="140" t="str">
        <f>B38</f>
        <v>AMD</v>
      </c>
      <c r="J38" s="139"/>
    </row>
    <row r="39" spans="2:15">
      <c r="C39" t="s">
        <v>113</v>
      </c>
      <c r="D39" s="138">
        <v>44469</v>
      </c>
      <c r="E39" s="138">
        <v>44377</v>
      </c>
      <c r="F39" s="138">
        <v>44286</v>
      </c>
      <c r="G39" s="138">
        <v>44196</v>
      </c>
      <c r="H39" s="138"/>
      <c r="I39" s="146" t="s">
        <v>93</v>
      </c>
      <c r="J39" s="145"/>
      <c r="K39" s="146" t="s">
        <v>94</v>
      </c>
      <c r="L39" s="145"/>
      <c r="M39" s="146" t="s">
        <v>95</v>
      </c>
      <c r="N39" s="145"/>
      <c r="O39" t="s">
        <v>76</v>
      </c>
    </row>
    <row r="40" spans="2:15">
      <c r="B40" t="s">
        <v>130</v>
      </c>
      <c r="C40" t="s">
        <v>146</v>
      </c>
      <c r="D40" t="s">
        <v>147</v>
      </c>
      <c r="E40" t="s">
        <v>148</v>
      </c>
      <c r="F40" t="s">
        <v>149</v>
      </c>
      <c r="G40" t="s">
        <v>150</v>
      </c>
      <c r="I40">
        <v>2020</v>
      </c>
      <c r="J40">
        <v>2021</v>
      </c>
      <c r="K40">
        <v>2020</v>
      </c>
      <c r="L40">
        <v>2021</v>
      </c>
      <c r="M40">
        <v>2020</v>
      </c>
      <c r="N40">
        <v>2021</v>
      </c>
    </row>
    <row r="41" spans="2:15">
      <c r="B41" t="s">
        <v>131</v>
      </c>
      <c r="C41" t="s">
        <v>151</v>
      </c>
      <c r="D41" t="s">
        <v>152</v>
      </c>
      <c r="E41" t="s">
        <v>153</v>
      </c>
      <c r="F41" t="s">
        <v>154</v>
      </c>
      <c r="G41" t="s">
        <v>155</v>
      </c>
      <c r="I41" s="140">
        <f>G47</f>
        <v>33.869999999999997</v>
      </c>
      <c r="J41" s="139">
        <f>D47</f>
        <v>28.16</v>
      </c>
      <c r="K41">
        <f>G43</f>
        <v>51.02</v>
      </c>
      <c r="L41">
        <f>C43</f>
        <v>36.5</v>
      </c>
      <c r="M41">
        <f>G45</f>
        <v>12.68</v>
      </c>
      <c r="N41">
        <f>C45</f>
        <v>9.91</v>
      </c>
      <c r="O41">
        <f>C48</f>
        <v>40.89</v>
      </c>
    </row>
    <row r="42" spans="2:15">
      <c r="B42" t="s">
        <v>125</v>
      </c>
      <c r="C42">
        <v>36.99</v>
      </c>
      <c r="D42">
        <v>36.49</v>
      </c>
      <c r="E42">
        <v>39.630000000000003</v>
      </c>
      <c r="F42">
        <v>38.11</v>
      </c>
      <c r="G42">
        <v>123.93</v>
      </c>
    </row>
    <row r="43" spans="2:15">
      <c r="B43" t="s">
        <v>132</v>
      </c>
      <c r="C43">
        <v>36.5</v>
      </c>
      <c r="D43">
        <v>34.6</v>
      </c>
      <c r="E43">
        <v>43.48</v>
      </c>
      <c r="F43">
        <v>41.15</v>
      </c>
      <c r="G43">
        <v>51.02</v>
      </c>
    </row>
    <row r="44" spans="2:15">
      <c r="B44" t="s">
        <v>133</v>
      </c>
      <c r="C44">
        <v>1.06</v>
      </c>
      <c r="D44">
        <v>1.01</v>
      </c>
      <c r="E44">
        <v>1.43</v>
      </c>
      <c r="F44">
        <v>1.46</v>
      </c>
      <c r="G44">
        <v>1.1299999999999999</v>
      </c>
    </row>
    <row r="45" spans="2:15">
      <c r="B45" t="s">
        <v>126</v>
      </c>
      <c r="C45">
        <v>9.91</v>
      </c>
      <c r="D45">
        <v>9.33</v>
      </c>
      <c r="E45">
        <v>9.94</v>
      </c>
      <c r="F45">
        <v>9.6999999999999993</v>
      </c>
      <c r="G45">
        <v>12.68</v>
      </c>
    </row>
    <row r="46" spans="2:15">
      <c r="B46" t="s">
        <v>127</v>
      </c>
      <c r="C46">
        <v>20.350000000000001</v>
      </c>
      <c r="D46">
        <v>17.649999999999999</v>
      </c>
      <c r="E46">
        <v>17.59</v>
      </c>
      <c r="F46">
        <v>16.34</v>
      </c>
      <c r="G46">
        <v>28.72</v>
      </c>
    </row>
    <row r="47" spans="2:15">
      <c r="B47" t="s">
        <v>134</v>
      </c>
      <c r="C47">
        <v>9.57</v>
      </c>
      <c r="D47">
        <v>28.16</v>
      </c>
      <c r="E47">
        <v>28.93</v>
      </c>
      <c r="F47">
        <v>27.18</v>
      </c>
      <c r="G47">
        <v>33.869999999999997</v>
      </c>
    </row>
    <row r="48" spans="2:15">
      <c r="B48" t="s">
        <v>135</v>
      </c>
      <c r="C48">
        <v>40.89</v>
      </c>
      <c r="D48">
        <v>108.27</v>
      </c>
      <c r="E48">
        <v>118.36</v>
      </c>
      <c r="F48">
        <v>123.51</v>
      </c>
      <c r="G48">
        <v>167.48</v>
      </c>
    </row>
    <row r="50" spans="2:15">
      <c r="B50" t="s">
        <v>114</v>
      </c>
    </row>
    <row r="54" spans="2:15">
      <c r="B54" t="s">
        <v>167</v>
      </c>
      <c r="D54">
        <v>2021</v>
      </c>
      <c r="G54">
        <v>2020</v>
      </c>
      <c r="I54" s="140" t="str">
        <f>B54</f>
        <v xml:space="preserve">QCOM </v>
      </c>
      <c r="J54" s="139"/>
    </row>
    <row r="55" spans="2:15">
      <c r="C55" t="s">
        <v>113</v>
      </c>
      <c r="D55" s="138">
        <v>44377</v>
      </c>
      <c r="E55" s="138">
        <v>44286</v>
      </c>
      <c r="F55" s="138">
        <v>44196</v>
      </c>
      <c r="G55" s="138">
        <v>44104</v>
      </c>
      <c r="I55" s="146" t="s">
        <v>93</v>
      </c>
      <c r="J55" s="145"/>
      <c r="K55" s="146" t="s">
        <v>94</v>
      </c>
      <c r="L55" s="145"/>
      <c r="M55" s="146" t="s">
        <v>95</v>
      </c>
      <c r="N55" s="145"/>
      <c r="O55" t="s">
        <v>76</v>
      </c>
    </row>
    <row r="56" spans="2:15">
      <c r="B56" t="s">
        <v>130</v>
      </c>
      <c r="C56" t="s">
        <v>157</v>
      </c>
      <c r="D56" t="s">
        <v>158</v>
      </c>
      <c r="E56" t="s">
        <v>159</v>
      </c>
      <c r="F56" t="s">
        <v>160</v>
      </c>
      <c r="G56" t="s">
        <v>161</v>
      </c>
      <c r="I56">
        <v>2020</v>
      </c>
      <c r="J56">
        <v>2021</v>
      </c>
      <c r="K56">
        <v>2020</v>
      </c>
      <c r="L56">
        <v>2021</v>
      </c>
      <c r="M56">
        <v>2020</v>
      </c>
      <c r="N56">
        <v>2021</v>
      </c>
    </row>
    <row r="57" spans="2:15">
      <c r="B57" t="s">
        <v>131</v>
      </c>
      <c r="C57" t="s">
        <v>162</v>
      </c>
      <c r="D57" t="s">
        <v>163</v>
      </c>
      <c r="E57" t="s">
        <v>164</v>
      </c>
      <c r="F57" t="s">
        <v>165</v>
      </c>
      <c r="G57" t="s">
        <v>166</v>
      </c>
      <c r="I57" s="140">
        <f>G63</f>
        <v>16.59</v>
      </c>
      <c r="J57" s="139">
        <f>D63</f>
        <v>20.53</v>
      </c>
      <c r="K57">
        <f>G59</f>
        <v>19.27</v>
      </c>
      <c r="L57">
        <f>C59</f>
        <v>14.58</v>
      </c>
      <c r="M57">
        <f>G61</f>
        <v>6.85</v>
      </c>
      <c r="N57">
        <f>C61</f>
        <v>4.7</v>
      </c>
      <c r="O57">
        <f>C64</f>
        <v>12.35</v>
      </c>
    </row>
    <row r="58" spans="2:15">
      <c r="B58" t="s">
        <v>125</v>
      </c>
      <c r="C58">
        <v>16.63</v>
      </c>
      <c r="D58">
        <v>20.51</v>
      </c>
      <c r="E58">
        <v>22.7</v>
      </c>
      <c r="F58">
        <v>33.700000000000003</v>
      </c>
      <c r="G58">
        <v>49.65</v>
      </c>
    </row>
    <row r="59" spans="2:15">
      <c r="B59" t="s">
        <v>132</v>
      </c>
      <c r="C59">
        <v>14.58</v>
      </c>
      <c r="D59">
        <v>16.45</v>
      </c>
      <c r="E59">
        <v>18.05</v>
      </c>
      <c r="F59">
        <v>21.74</v>
      </c>
      <c r="G59">
        <v>19.27</v>
      </c>
    </row>
    <row r="60" spans="2:15">
      <c r="B60" t="s">
        <v>133</v>
      </c>
      <c r="C60">
        <v>0.66</v>
      </c>
      <c r="D60">
        <v>0.66</v>
      </c>
      <c r="E60">
        <v>0.76</v>
      </c>
      <c r="F60">
        <v>0.95</v>
      </c>
      <c r="G60">
        <v>0.9</v>
      </c>
    </row>
    <row r="61" spans="2:15">
      <c r="B61" t="s">
        <v>126</v>
      </c>
      <c r="C61">
        <v>4.7</v>
      </c>
      <c r="D61">
        <v>5.58</v>
      </c>
      <c r="E61">
        <v>5.7</v>
      </c>
      <c r="F61">
        <v>7.44</v>
      </c>
      <c r="G61">
        <v>6.85</v>
      </c>
    </row>
    <row r="62" spans="2:15">
      <c r="B62" t="s">
        <v>127</v>
      </c>
      <c r="C62">
        <v>18.350000000000001</v>
      </c>
      <c r="D62">
        <v>21.72</v>
      </c>
      <c r="E62">
        <v>20.28</v>
      </c>
      <c r="F62">
        <v>28.48</v>
      </c>
      <c r="G62">
        <v>40.26</v>
      </c>
    </row>
    <row r="63" spans="2:15">
      <c r="B63" t="s">
        <v>134</v>
      </c>
      <c r="C63">
        <v>4.6900000000000004</v>
      </c>
      <c r="D63">
        <v>20.53</v>
      </c>
      <c r="E63">
        <v>19.3</v>
      </c>
      <c r="F63">
        <v>21.56</v>
      </c>
      <c r="G63">
        <v>16.59</v>
      </c>
    </row>
    <row r="64" spans="2:15">
      <c r="B64" t="s">
        <v>135</v>
      </c>
      <c r="C64">
        <v>12.35</v>
      </c>
      <c r="D64">
        <v>59.06</v>
      </c>
      <c r="E64">
        <v>57.63</v>
      </c>
      <c r="F64">
        <v>57.11</v>
      </c>
      <c r="G64">
        <v>36.32</v>
      </c>
    </row>
    <row r="65" spans="2:15">
      <c r="B65" t="s">
        <v>128</v>
      </c>
    </row>
    <row r="66" spans="2:15">
      <c r="B66" t="s">
        <v>129</v>
      </c>
    </row>
    <row r="68" spans="2:15">
      <c r="B68" t="s">
        <v>114</v>
      </c>
    </row>
    <row r="72" spans="2:15">
      <c r="B72" t="s">
        <v>89</v>
      </c>
      <c r="D72">
        <v>2021</v>
      </c>
      <c r="G72">
        <v>2020</v>
      </c>
      <c r="I72" s="140" t="str">
        <f>B72</f>
        <v>LSCC</v>
      </c>
      <c r="J72" s="139"/>
    </row>
    <row r="73" spans="2:15">
      <c r="C73" t="s">
        <v>113</v>
      </c>
      <c r="D73" s="138">
        <v>44377</v>
      </c>
      <c r="E73" s="138">
        <v>44286</v>
      </c>
      <c r="F73" s="138">
        <v>44196</v>
      </c>
      <c r="G73" s="138">
        <v>44104</v>
      </c>
      <c r="I73" s="146" t="s">
        <v>93</v>
      </c>
      <c r="J73" s="145"/>
      <c r="K73" s="146" t="s">
        <v>94</v>
      </c>
      <c r="L73" s="145"/>
      <c r="M73" s="146" t="s">
        <v>95</v>
      </c>
      <c r="N73" s="145"/>
      <c r="O73" t="s">
        <v>76</v>
      </c>
    </row>
    <row r="74" spans="2:15">
      <c r="B74" t="s">
        <v>130</v>
      </c>
      <c r="C74" t="s">
        <v>168</v>
      </c>
      <c r="D74" t="s">
        <v>169</v>
      </c>
      <c r="E74" t="s">
        <v>170</v>
      </c>
      <c r="F74" t="s">
        <v>171</v>
      </c>
      <c r="G74" t="s">
        <v>172</v>
      </c>
      <c r="I74">
        <v>2020</v>
      </c>
      <c r="J74">
        <v>2021</v>
      </c>
      <c r="K74">
        <v>2020</v>
      </c>
      <c r="L74">
        <v>2021</v>
      </c>
      <c r="M74">
        <v>2020</v>
      </c>
      <c r="N74">
        <v>2021</v>
      </c>
    </row>
    <row r="75" spans="2:15">
      <c r="B75" t="s">
        <v>131</v>
      </c>
      <c r="C75" t="s">
        <v>173</v>
      </c>
      <c r="D75" t="s">
        <v>174</v>
      </c>
      <c r="E75" t="s">
        <v>175</v>
      </c>
      <c r="F75" t="s">
        <v>176</v>
      </c>
      <c r="G75" t="s">
        <v>177</v>
      </c>
      <c r="I75" s="140">
        <f>G81</f>
        <v>38.54</v>
      </c>
      <c r="J75" s="139">
        <f>D81</f>
        <v>61.05</v>
      </c>
      <c r="K75">
        <f>G77</f>
        <v>37.17</v>
      </c>
      <c r="L75">
        <f>C77</f>
        <v>57.8</v>
      </c>
      <c r="M75">
        <f>G79</f>
        <v>9.99</v>
      </c>
      <c r="N75">
        <f>C79</f>
        <v>21.93</v>
      </c>
      <c r="O75">
        <f>C82</f>
        <v>91.71</v>
      </c>
    </row>
    <row r="76" spans="2:15">
      <c r="B76" t="s">
        <v>125</v>
      </c>
      <c r="C76">
        <v>141.71</v>
      </c>
      <c r="D76">
        <v>137.02000000000001</v>
      </c>
      <c r="E76">
        <v>132.41</v>
      </c>
      <c r="F76">
        <v>138.85</v>
      </c>
      <c r="G76">
        <v>85.18</v>
      </c>
    </row>
    <row r="77" spans="2:15">
      <c r="B77" t="s">
        <v>132</v>
      </c>
      <c r="C77">
        <v>57.8</v>
      </c>
      <c r="D77">
        <v>67.569999999999993</v>
      </c>
      <c r="E77">
        <v>56.18</v>
      </c>
      <c r="F77">
        <v>59.52</v>
      </c>
      <c r="G77">
        <v>37.17</v>
      </c>
    </row>
    <row r="78" spans="2:15">
      <c r="B78" t="s">
        <v>133</v>
      </c>
      <c r="C78" t="s">
        <v>178</v>
      </c>
      <c r="D78" t="s">
        <v>178</v>
      </c>
      <c r="E78" t="s">
        <v>178</v>
      </c>
      <c r="F78" t="s">
        <v>178</v>
      </c>
      <c r="G78" t="s">
        <v>178</v>
      </c>
    </row>
    <row r="79" spans="2:15">
      <c r="B79" t="s">
        <v>126</v>
      </c>
      <c r="C79">
        <v>21.93</v>
      </c>
      <c r="D79">
        <v>18.73</v>
      </c>
      <c r="E79">
        <v>15.58</v>
      </c>
      <c r="F79">
        <v>15.94</v>
      </c>
      <c r="G79">
        <v>9.99</v>
      </c>
    </row>
    <row r="80" spans="2:15">
      <c r="B80" t="s">
        <v>127</v>
      </c>
      <c r="C80">
        <v>23.84</v>
      </c>
      <c r="D80">
        <v>19.59</v>
      </c>
      <c r="E80">
        <v>15.97</v>
      </c>
      <c r="F80">
        <v>16.55</v>
      </c>
      <c r="G80">
        <v>10.82</v>
      </c>
    </row>
    <row r="81" spans="2:15">
      <c r="B81" t="s">
        <v>134</v>
      </c>
      <c r="C81">
        <v>20.97</v>
      </c>
      <c r="D81">
        <v>61.05</v>
      </c>
      <c r="E81">
        <v>53.15</v>
      </c>
      <c r="F81">
        <v>58.33</v>
      </c>
      <c r="G81">
        <v>38.54</v>
      </c>
    </row>
    <row r="82" spans="2:15">
      <c r="B82" t="s">
        <v>135</v>
      </c>
      <c r="C82">
        <v>91.71</v>
      </c>
      <c r="D82">
        <v>250.35</v>
      </c>
      <c r="E82">
        <v>219.51</v>
      </c>
      <c r="F82">
        <v>215.23</v>
      </c>
      <c r="G82">
        <v>214.06</v>
      </c>
    </row>
    <row r="83" spans="2:15">
      <c r="B83" t="s">
        <v>128</v>
      </c>
    </row>
    <row r="84" spans="2:15">
      <c r="B84" t="s">
        <v>129</v>
      </c>
    </row>
    <row r="86" spans="2:15">
      <c r="B86" t="s">
        <v>114</v>
      </c>
    </row>
    <row r="90" spans="2:15">
      <c r="B90" t="s">
        <v>87</v>
      </c>
      <c r="D90">
        <v>2021</v>
      </c>
      <c r="G90">
        <v>2020</v>
      </c>
      <c r="I90" s="140" t="str">
        <f>B90</f>
        <v>AVGO</v>
      </c>
      <c r="J90" s="139"/>
    </row>
    <row r="91" spans="2:15">
      <c r="C91" t="s">
        <v>113</v>
      </c>
      <c r="D91" s="138">
        <v>44408</v>
      </c>
      <c r="E91" s="138">
        <v>44316</v>
      </c>
      <c r="F91" s="138">
        <v>44227</v>
      </c>
      <c r="G91" s="138">
        <v>44135</v>
      </c>
      <c r="I91" s="146" t="s">
        <v>93</v>
      </c>
      <c r="J91" s="145"/>
      <c r="K91" s="146" t="s">
        <v>94</v>
      </c>
      <c r="L91" s="145"/>
      <c r="M91" s="146" t="s">
        <v>95</v>
      </c>
      <c r="N91" s="145"/>
      <c r="O91" t="s">
        <v>76</v>
      </c>
    </row>
    <row r="92" spans="2:15">
      <c r="B92" t="s">
        <v>130</v>
      </c>
      <c r="C92" t="s">
        <v>180</v>
      </c>
      <c r="D92" t="s">
        <v>181</v>
      </c>
      <c r="E92" t="s">
        <v>182</v>
      </c>
      <c r="F92" t="s">
        <v>183</v>
      </c>
      <c r="G92" t="s">
        <v>184</v>
      </c>
      <c r="I92">
        <v>2020</v>
      </c>
      <c r="J92">
        <v>2021</v>
      </c>
      <c r="K92">
        <v>2020</v>
      </c>
      <c r="L92">
        <v>2021</v>
      </c>
      <c r="M92">
        <v>2020</v>
      </c>
      <c r="N92">
        <v>2021</v>
      </c>
    </row>
    <row r="93" spans="2:15">
      <c r="B93" t="s">
        <v>131</v>
      </c>
      <c r="C93" t="s">
        <v>185</v>
      </c>
      <c r="D93" t="s">
        <v>186</v>
      </c>
      <c r="E93" t="s">
        <v>187</v>
      </c>
      <c r="F93" t="s">
        <v>188</v>
      </c>
      <c r="G93" t="s">
        <v>189</v>
      </c>
      <c r="I93" s="140">
        <f>G99</f>
        <v>27.33</v>
      </c>
      <c r="J93" s="139">
        <f>D99</f>
        <v>33.950000000000003</v>
      </c>
      <c r="K93">
        <f>G95</f>
        <v>14.04</v>
      </c>
      <c r="L93">
        <f>C95</f>
        <v>17.39</v>
      </c>
      <c r="M93">
        <f>G97</f>
        <v>6.32</v>
      </c>
      <c r="N93">
        <f>C97</f>
        <v>8.58</v>
      </c>
      <c r="O93">
        <f>C100</f>
        <v>17.89</v>
      </c>
    </row>
    <row r="94" spans="2:15">
      <c r="B94" t="s">
        <v>125</v>
      </c>
      <c r="C94">
        <v>39.380000000000003</v>
      </c>
      <c r="D94">
        <v>45.11</v>
      </c>
      <c r="E94">
        <v>52.74</v>
      </c>
      <c r="F94">
        <v>71.17</v>
      </c>
      <c r="G94">
        <v>65.599999999999994</v>
      </c>
    </row>
    <row r="95" spans="2:15">
      <c r="B95" t="s">
        <v>132</v>
      </c>
      <c r="C95">
        <v>17.39</v>
      </c>
      <c r="D95">
        <v>16.260000000000002</v>
      </c>
      <c r="E95">
        <v>16.95</v>
      </c>
      <c r="F95">
        <v>17.27</v>
      </c>
      <c r="G95">
        <v>14.04</v>
      </c>
    </row>
    <row r="96" spans="2:15">
      <c r="B96" t="s">
        <v>133</v>
      </c>
      <c r="C96">
        <v>1.21</v>
      </c>
      <c r="D96">
        <v>1.1399999999999999</v>
      </c>
      <c r="E96">
        <v>1.25</v>
      </c>
      <c r="F96">
        <v>1.1299999999999999</v>
      </c>
      <c r="G96">
        <v>1.1000000000000001</v>
      </c>
    </row>
    <row r="97" spans="2:15">
      <c r="B97" t="s">
        <v>126</v>
      </c>
      <c r="C97">
        <v>8.58</v>
      </c>
      <c r="D97">
        <v>8.09</v>
      </c>
      <c r="E97">
        <v>7.82</v>
      </c>
      <c r="F97">
        <v>7.94</v>
      </c>
      <c r="G97">
        <v>6.32</v>
      </c>
    </row>
    <row r="98" spans="2:15">
      <c r="B98" t="s">
        <v>127</v>
      </c>
      <c r="C98">
        <v>8.99</v>
      </c>
      <c r="D98">
        <v>8.32</v>
      </c>
      <c r="E98">
        <v>7.77</v>
      </c>
      <c r="F98">
        <v>7.7</v>
      </c>
      <c r="G98">
        <v>6</v>
      </c>
    </row>
    <row r="99" spans="2:15">
      <c r="B99" t="s">
        <v>134</v>
      </c>
      <c r="C99">
        <v>9.36</v>
      </c>
      <c r="D99">
        <v>33.950000000000003</v>
      </c>
      <c r="E99">
        <v>33.08</v>
      </c>
      <c r="F99">
        <v>32.56</v>
      </c>
      <c r="G99">
        <v>27.33</v>
      </c>
    </row>
    <row r="100" spans="2:15">
      <c r="B100" t="s">
        <v>135</v>
      </c>
      <c r="C100">
        <v>17.89</v>
      </c>
      <c r="D100">
        <v>63.14</v>
      </c>
      <c r="E100">
        <v>63.27</v>
      </c>
      <c r="F100">
        <v>62.14</v>
      </c>
      <c r="G100">
        <v>53.8</v>
      </c>
    </row>
    <row r="101" spans="2:15">
      <c r="B101" t="s">
        <v>128</v>
      </c>
    </row>
    <row r="102" spans="2:15">
      <c r="B102" t="s">
        <v>129</v>
      </c>
    </row>
    <row r="104" spans="2:15">
      <c r="B104" t="s">
        <v>114</v>
      </c>
    </row>
    <row r="108" spans="2:15">
      <c r="B108" t="s">
        <v>200</v>
      </c>
      <c r="D108">
        <v>2021</v>
      </c>
      <c r="G108">
        <v>2020</v>
      </c>
      <c r="I108" s="140" t="str">
        <f>B108</f>
        <v xml:space="preserve">SYNA </v>
      </c>
      <c r="J108" s="139"/>
    </row>
    <row r="109" spans="2:15">
      <c r="C109" t="s">
        <v>113</v>
      </c>
      <c r="D109" s="138">
        <v>44377</v>
      </c>
      <c r="E109" s="138">
        <v>44286</v>
      </c>
      <c r="F109" s="138">
        <v>44196</v>
      </c>
      <c r="G109" s="138">
        <v>44104</v>
      </c>
      <c r="I109" s="146" t="s">
        <v>93</v>
      </c>
      <c r="J109" s="145"/>
      <c r="K109" s="146" t="s">
        <v>94</v>
      </c>
      <c r="L109" s="145"/>
      <c r="M109" s="146" t="s">
        <v>95</v>
      </c>
      <c r="N109" s="145"/>
      <c r="O109" t="s">
        <v>76</v>
      </c>
    </row>
    <row r="110" spans="2:15">
      <c r="B110" t="s">
        <v>130</v>
      </c>
      <c r="C110" t="s">
        <v>190</v>
      </c>
      <c r="D110" t="s">
        <v>191</v>
      </c>
      <c r="E110" t="s">
        <v>192</v>
      </c>
      <c r="F110" t="s">
        <v>193</v>
      </c>
      <c r="G110" t="s">
        <v>194</v>
      </c>
      <c r="I110">
        <v>2020</v>
      </c>
      <c r="J110">
        <v>2021</v>
      </c>
      <c r="K110">
        <v>2020</v>
      </c>
      <c r="L110">
        <v>2021</v>
      </c>
      <c r="M110">
        <v>2020</v>
      </c>
      <c r="N110">
        <v>2021</v>
      </c>
    </row>
    <row r="111" spans="2:15">
      <c r="B111" t="s">
        <v>131</v>
      </c>
      <c r="C111" t="s">
        <v>195</v>
      </c>
      <c r="D111" t="s">
        <v>196</v>
      </c>
      <c r="E111" t="s">
        <v>197</v>
      </c>
      <c r="F111" t="s">
        <v>198</v>
      </c>
      <c r="G111" t="s">
        <v>199</v>
      </c>
      <c r="I111" s="140">
        <f>G117</f>
        <v>7.93</v>
      </c>
      <c r="J111" s="139">
        <f>D117</f>
        <v>17.309999999999999</v>
      </c>
      <c r="K111">
        <f>G113</f>
        <v>14.22</v>
      </c>
      <c r="L111">
        <f>C113</f>
        <v>19.12</v>
      </c>
      <c r="M111">
        <f>G115</f>
        <v>2.1</v>
      </c>
      <c r="N111">
        <f>C115</f>
        <v>5.56</v>
      </c>
      <c r="O111">
        <f>C118</f>
        <v>27.29</v>
      </c>
    </row>
    <row r="112" spans="2:15">
      <c r="B112" t="s">
        <v>125</v>
      </c>
      <c r="C112">
        <v>93.54</v>
      </c>
      <c r="D112">
        <v>37.04</v>
      </c>
      <c r="E112">
        <v>33.85</v>
      </c>
      <c r="F112">
        <v>30.03</v>
      </c>
      <c r="G112">
        <v>23.58</v>
      </c>
    </row>
    <row r="113" spans="2:15">
      <c r="B113" t="s">
        <v>132</v>
      </c>
      <c r="C113">
        <v>19.12</v>
      </c>
      <c r="D113">
        <v>17.57</v>
      </c>
      <c r="E113">
        <v>16.61</v>
      </c>
      <c r="F113">
        <v>13.95</v>
      </c>
      <c r="G113">
        <v>14.22</v>
      </c>
    </row>
    <row r="114" spans="2:15">
      <c r="B114" t="s">
        <v>133</v>
      </c>
      <c r="C114">
        <v>2.0699999999999998</v>
      </c>
      <c r="D114">
        <v>1.58</v>
      </c>
      <c r="E114">
        <v>1.8</v>
      </c>
      <c r="F114">
        <v>1.36</v>
      </c>
      <c r="G114">
        <v>1.1299999999999999</v>
      </c>
    </row>
    <row r="115" spans="2:15">
      <c r="B115" t="s">
        <v>126</v>
      </c>
      <c r="C115">
        <v>5.56</v>
      </c>
      <c r="D115">
        <v>4.47</v>
      </c>
      <c r="E115">
        <v>3.77</v>
      </c>
      <c r="F115">
        <v>2.5499999999999998</v>
      </c>
      <c r="G115">
        <v>2.1</v>
      </c>
    </row>
    <row r="116" spans="2:15">
      <c r="B116" t="s">
        <v>127</v>
      </c>
      <c r="C116">
        <v>7.87</v>
      </c>
      <c r="D116">
        <v>5.89</v>
      </c>
      <c r="E116">
        <v>5.36</v>
      </c>
      <c r="F116">
        <v>4.01</v>
      </c>
      <c r="G116">
        <v>3.38</v>
      </c>
    </row>
    <row r="117" spans="2:15">
      <c r="B117" t="s">
        <v>134</v>
      </c>
      <c r="C117">
        <v>5.73</v>
      </c>
      <c r="D117">
        <v>17.309999999999999</v>
      </c>
      <c r="E117">
        <v>15.6</v>
      </c>
      <c r="F117">
        <v>10.5</v>
      </c>
      <c r="G117">
        <v>7.93</v>
      </c>
    </row>
    <row r="118" spans="2:15">
      <c r="B118" t="s">
        <v>135</v>
      </c>
      <c r="C118">
        <v>27.29</v>
      </c>
      <c r="D118">
        <v>66.58</v>
      </c>
      <c r="E118">
        <v>78.92</v>
      </c>
      <c r="F118">
        <v>39.47</v>
      </c>
      <c r="G118">
        <v>71.2</v>
      </c>
    </row>
    <row r="119" spans="2:15">
      <c r="B119" t="s">
        <v>128</v>
      </c>
    </row>
    <row r="120" spans="2:15">
      <c r="B120" t="s">
        <v>129</v>
      </c>
    </row>
    <row r="122" spans="2:15">
      <c r="B122" t="s">
        <v>114</v>
      </c>
    </row>
    <row r="126" spans="2:15">
      <c r="B126" t="s">
        <v>110</v>
      </c>
      <c r="D126">
        <v>2021</v>
      </c>
      <c r="G126">
        <v>2020</v>
      </c>
      <c r="I126" s="140" t="str">
        <f>B126</f>
        <v>SLAB</v>
      </c>
      <c r="J126" s="139"/>
    </row>
    <row r="127" spans="2:15">
      <c r="C127" t="s">
        <v>113</v>
      </c>
      <c r="D127" s="138">
        <v>44469</v>
      </c>
      <c r="E127" s="138">
        <v>44377</v>
      </c>
      <c r="F127" s="138">
        <v>44286</v>
      </c>
      <c r="G127" s="138">
        <v>44196</v>
      </c>
      <c r="H127" s="138">
        <v>44104</v>
      </c>
      <c r="I127" s="146" t="s">
        <v>93</v>
      </c>
      <c r="J127" s="145"/>
      <c r="K127" s="146" t="s">
        <v>94</v>
      </c>
      <c r="L127" s="145"/>
      <c r="M127" s="146" t="s">
        <v>95</v>
      </c>
      <c r="N127" s="145"/>
      <c r="O127" t="s">
        <v>76</v>
      </c>
    </row>
    <row r="128" spans="2:15">
      <c r="B128" t="s">
        <v>130</v>
      </c>
      <c r="C128" t="s">
        <v>201</v>
      </c>
      <c r="D128" t="s">
        <v>202</v>
      </c>
      <c r="E128" t="s">
        <v>203</v>
      </c>
      <c r="F128" t="s">
        <v>171</v>
      </c>
      <c r="G128" t="s">
        <v>204</v>
      </c>
      <c r="H128" t="s">
        <v>205</v>
      </c>
      <c r="I128">
        <v>2020</v>
      </c>
      <c r="J128">
        <v>2021</v>
      </c>
      <c r="K128">
        <v>2020</v>
      </c>
      <c r="L128">
        <v>2021</v>
      </c>
      <c r="M128">
        <v>2020</v>
      </c>
      <c r="N128">
        <v>2021</v>
      </c>
    </row>
    <row r="129" spans="2:15">
      <c r="B129" t="s">
        <v>131</v>
      </c>
      <c r="C129" t="s">
        <v>206</v>
      </c>
      <c r="D129" t="s">
        <v>207</v>
      </c>
      <c r="E129" t="s">
        <v>208</v>
      </c>
      <c r="F129" t="s">
        <v>209</v>
      </c>
      <c r="G129" t="s">
        <v>210</v>
      </c>
      <c r="H129" t="s">
        <v>211</v>
      </c>
      <c r="I129" s="140">
        <f>G135</f>
        <v>22.32</v>
      </c>
      <c r="J129" s="139">
        <f>D135</f>
        <v>32.979999999999997</v>
      </c>
      <c r="K129">
        <f>G131</f>
        <v>37.590000000000003</v>
      </c>
      <c r="L129">
        <f>C131</f>
        <v>81.97</v>
      </c>
      <c r="M129">
        <f>G133</f>
        <v>6.55</v>
      </c>
      <c r="N129">
        <f>C133</f>
        <v>8.26</v>
      </c>
      <c r="O129">
        <f>C136</f>
        <v>31.27</v>
      </c>
    </row>
    <row r="130" spans="2:15">
      <c r="B130" t="s">
        <v>125</v>
      </c>
      <c r="C130">
        <v>190.67</v>
      </c>
      <c r="D130">
        <v>166.86</v>
      </c>
      <c r="E130">
        <v>294.70999999999998</v>
      </c>
      <c r="F130">
        <v>503.82</v>
      </c>
      <c r="G130">
        <v>439.1</v>
      </c>
      <c r="H130">
        <v>141.81</v>
      </c>
    </row>
    <row r="131" spans="2:15">
      <c r="B131" t="s">
        <v>132</v>
      </c>
      <c r="C131">
        <v>81.97</v>
      </c>
      <c r="D131">
        <v>121.95</v>
      </c>
      <c r="E131">
        <v>37.31</v>
      </c>
      <c r="F131">
        <v>43.48</v>
      </c>
      <c r="G131">
        <v>37.590000000000003</v>
      </c>
      <c r="H131">
        <v>28.99</v>
      </c>
    </row>
    <row r="132" spans="2:15">
      <c r="B132" t="s">
        <v>133</v>
      </c>
      <c r="C132" t="s">
        <v>178</v>
      </c>
      <c r="D132" t="s">
        <v>178</v>
      </c>
      <c r="E132" t="s">
        <v>178</v>
      </c>
      <c r="F132">
        <v>2.89</v>
      </c>
      <c r="G132">
        <v>2.5</v>
      </c>
      <c r="H132">
        <v>1.93</v>
      </c>
    </row>
    <row r="133" spans="2:15">
      <c r="B133" t="s">
        <v>126</v>
      </c>
      <c r="C133">
        <v>8.26</v>
      </c>
      <c r="D133">
        <v>6.45</v>
      </c>
      <c r="E133">
        <v>7.39</v>
      </c>
      <c r="F133">
        <v>7.06</v>
      </c>
      <c r="G133">
        <v>6.55</v>
      </c>
      <c r="H133">
        <v>5.0599999999999996</v>
      </c>
    </row>
    <row r="134" spans="2:15">
      <c r="B134" t="s">
        <v>127</v>
      </c>
      <c r="C134">
        <v>2.87</v>
      </c>
      <c r="D134">
        <v>5.1100000000000003</v>
      </c>
      <c r="E134">
        <v>5.68</v>
      </c>
      <c r="F134">
        <v>5.2</v>
      </c>
      <c r="G134">
        <v>4.7699999999999996</v>
      </c>
      <c r="H134">
        <v>3.7</v>
      </c>
    </row>
    <row r="135" spans="2:15">
      <c r="B135" t="s">
        <v>134</v>
      </c>
      <c r="C135">
        <v>5.13</v>
      </c>
      <c r="D135">
        <v>32.979999999999997</v>
      </c>
      <c r="E135">
        <v>39.64</v>
      </c>
      <c r="F135">
        <v>23.78</v>
      </c>
      <c r="G135">
        <v>22.32</v>
      </c>
      <c r="H135">
        <v>18.68</v>
      </c>
    </row>
    <row r="136" spans="2:15">
      <c r="B136" t="s">
        <v>135</v>
      </c>
      <c r="C136">
        <v>31.27</v>
      </c>
      <c r="D136">
        <v>505.89</v>
      </c>
      <c r="E136" t="s">
        <v>212</v>
      </c>
      <c r="F136">
        <v>147.26</v>
      </c>
      <c r="G136">
        <v>146.04</v>
      </c>
      <c r="H136">
        <v>151.38</v>
      </c>
    </row>
    <row r="137" spans="2:15">
      <c r="B137" t="s">
        <v>128</v>
      </c>
    </row>
    <row r="138" spans="2:15">
      <c r="B138" t="s">
        <v>129</v>
      </c>
    </row>
    <row r="140" spans="2:15">
      <c r="B140" t="s">
        <v>114</v>
      </c>
    </row>
    <row r="144" spans="2:15">
      <c r="B144" t="s">
        <v>111</v>
      </c>
      <c r="D144">
        <v>2021</v>
      </c>
      <c r="G144">
        <v>2020</v>
      </c>
      <c r="I144" s="140" t="str">
        <f>B144</f>
        <v>TXN</v>
      </c>
      <c r="J144" s="139"/>
    </row>
    <row r="145" spans="2:15">
      <c r="C145" t="s">
        <v>113</v>
      </c>
      <c r="D145" s="138">
        <v>44469</v>
      </c>
      <c r="E145" s="138">
        <v>44377</v>
      </c>
      <c r="F145" s="138">
        <v>44286</v>
      </c>
      <c r="G145" s="138">
        <v>44196</v>
      </c>
      <c r="H145" s="138">
        <v>44104</v>
      </c>
      <c r="I145" s="146" t="s">
        <v>93</v>
      </c>
      <c r="J145" s="145"/>
      <c r="K145" s="146" t="s">
        <v>94</v>
      </c>
      <c r="L145" s="145"/>
      <c r="M145" s="146" t="s">
        <v>95</v>
      </c>
      <c r="N145" s="145"/>
      <c r="O145" t="s">
        <v>76</v>
      </c>
    </row>
    <row r="146" spans="2:15">
      <c r="B146" t="s">
        <v>130</v>
      </c>
      <c r="C146" t="s">
        <v>213</v>
      </c>
      <c r="D146" t="s">
        <v>214</v>
      </c>
      <c r="E146" t="s">
        <v>215</v>
      </c>
      <c r="F146" t="s">
        <v>216</v>
      </c>
      <c r="G146" t="s">
        <v>217</v>
      </c>
      <c r="H146" t="s">
        <v>218</v>
      </c>
      <c r="I146">
        <v>2020</v>
      </c>
      <c r="J146">
        <v>2021</v>
      </c>
      <c r="K146">
        <v>2020</v>
      </c>
      <c r="L146">
        <v>2021</v>
      </c>
      <c r="M146">
        <v>2020</v>
      </c>
      <c r="N146">
        <v>2021</v>
      </c>
    </row>
    <row r="147" spans="2:15">
      <c r="B147" t="s">
        <v>131</v>
      </c>
      <c r="C147" t="s">
        <v>219</v>
      </c>
      <c r="D147" t="s">
        <v>220</v>
      </c>
      <c r="E147" t="s">
        <v>221</v>
      </c>
      <c r="F147" t="s">
        <v>222</v>
      </c>
      <c r="G147" t="s">
        <v>223</v>
      </c>
      <c r="H147" t="s">
        <v>224</v>
      </c>
      <c r="I147" s="140">
        <f>G153</f>
        <v>37.33</v>
      </c>
      <c r="J147" s="139">
        <f>D153</f>
        <v>37.979999999999997</v>
      </c>
      <c r="K147">
        <f>G149</f>
        <v>27.93</v>
      </c>
      <c r="L147">
        <f>C149</f>
        <v>22.37</v>
      </c>
      <c r="M147">
        <f>G151</f>
        <v>11.2</v>
      </c>
      <c r="N147">
        <f>C151</f>
        <v>9.9700000000000006</v>
      </c>
      <c r="O147">
        <f>C154</f>
        <v>19.3</v>
      </c>
    </row>
    <row r="148" spans="2:15">
      <c r="B148" t="s">
        <v>125</v>
      </c>
      <c r="C148">
        <v>24.07</v>
      </c>
      <c r="D148">
        <v>26.81</v>
      </c>
      <c r="E148">
        <v>29.14</v>
      </c>
      <c r="F148">
        <v>31.66</v>
      </c>
      <c r="G148">
        <v>31.03</v>
      </c>
      <c r="H148">
        <v>26.79</v>
      </c>
    </row>
    <row r="149" spans="2:15">
      <c r="B149" t="s">
        <v>132</v>
      </c>
      <c r="C149">
        <v>22.37</v>
      </c>
      <c r="D149">
        <v>23.31</v>
      </c>
      <c r="E149">
        <v>26.95</v>
      </c>
      <c r="F149">
        <v>28.82</v>
      </c>
      <c r="G149">
        <v>27.93</v>
      </c>
      <c r="H149">
        <v>25.84</v>
      </c>
    </row>
    <row r="150" spans="2:15">
      <c r="B150" t="s">
        <v>133</v>
      </c>
      <c r="C150">
        <v>2.1</v>
      </c>
      <c r="D150">
        <v>2.13</v>
      </c>
      <c r="E150">
        <v>2.4900000000000002</v>
      </c>
      <c r="F150">
        <v>2.87</v>
      </c>
      <c r="G150">
        <v>2.68</v>
      </c>
      <c r="H150">
        <v>2.34</v>
      </c>
    </row>
    <row r="151" spans="2:15">
      <c r="B151" t="s">
        <v>126</v>
      </c>
      <c r="C151">
        <v>9.9700000000000006</v>
      </c>
      <c r="D151">
        <v>10.7</v>
      </c>
      <c r="E151">
        <v>11.61</v>
      </c>
      <c r="F151">
        <v>12.19</v>
      </c>
      <c r="G151">
        <v>11.2</v>
      </c>
      <c r="H151">
        <v>9.83</v>
      </c>
    </row>
    <row r="152" spans="2:15">
      <c r="B152" t="s">
        <v>127</v>
      </c>
      <c r="C152">
        <v>14.25</v>
      </c>
      <c r="D152">
        <v>15.91</v>
      </c>
      <c r="E152">
        <v>17.46</v>
      </c>
      <c r="F152">
        <v>18.989999999999998</v>
      </c>
      <c r="G152">
        <v>18.13</v>
      </c>
      <c r="H152">
        <v>17.14</v>
      </c>
    </row>
    <row r="153" spans="2:15">
      <c r="B153" t="s">
        <v>134</v>
      </c>
      <c r="C153">
        <v>10.210000000000001</v>
      </c>
      <c r="D153">
        <v>37.979999999999997</v>
      </c>
      <c r="E153">
        <v>38.659999999999997</v>
      </c>
      <c r="F153">
        <v>40.79</v>
      </c>
      <c r="G153">
        <v>37.33</v>
      </c>
      <c r="H153">
        <v>34.81</v>
      </c>
    </row>
    <row r="154" spans="2:15">
      <c r="B154" t="s">
        <v>135</v>
      </c>
      <c r="C154">
        <v>19.3</v>
      </c>
      <c r="D154">
        <v>68.540000000000006</v>
      </c>
      <c r="E154">
        <v>69.91</v>
      </c>
      <c r="F154">
        <v>78.599999999999994</v>
      </c>
      <c r="G154">
        <v>68.61</v>
      </c>
      <c r="H154">
        <v>70.45</v>
      </c>
    </row>
    <row r="155" spans="2:15">
      <c r="B155" t="s">
        <v>128</v>
      </c>
    </row>
    <row r="156" spans="2:15">
      <c r="B156" t="s">
        <v>129</v>
      </c>
    </row>
    <row r="158" spans="2:15">
      <c r="B158" t="s">
        <v>114</v>
      </c>
    </row>
    <row r="162" spans="4:14">
      <c r="I162" s="140"/>
      <c r="J162" s="139"/>
    </row>
    <row r="163" spans="4:14">
      <c r="D163" s="138"/>
      <c r="E163" s="138"/>
      <c r="F163" s="138"/>
      <c r="G163" s="138"/>
      <c r="I163" s="146"/>
      <c r="J163" s="145"/>
      <c r="K163" s="146"/>
      <c r="L163" s="145"/>
      <c r="M163" s="146"/>
      <c r="N163" s="145"/>
    </row>
    <row r="165" spans="4:14">
      <c r="I165" s="140"/>
      <c r="J165" s="139"/>
    </row>
  </sheetData>
  <mergeCells count="36">
    <mergeCell ref="V7:W7"/>
    <mergeCell ref="I163:J163"/>
    <mergeCell ref="K163:L163"/>
    <mergeCell ref="M163:N163"/>
    <mergeCell ref="R7:S7"/>
    <mergeCell ref="T7:U7"/>
    <mergeCell ref="I127:J127"/>
    <mergeCell ref="K127:L127"/>
    <mergeCell ref="M127:N127"/>
    <mergeCell ref="I145:J145"/>
    <mergeCell ref="K145:L145"/>
    <mergeCell ref="M145:N145"/>
    <mergeCell ref="I91:J91"/>
    <mergeCell ref="K91:L91"/>
    <mergeCell ref="M91:N91"/>
    <mergeCell ref="I109:J109"/>
    <mergeCell ref="K109:L109"/>
    <mergeCell ref="M109:N109"/>
    <mergeCell ref="I55:J55"/>
    <mergeCell ref="K55:L55"/>
    <mergeCell ref="M55:N55"/>
    <mergeCell ref="I73:J73"/>
    <mergeCell ref="K73:L73"/>
    <mergeCell ref="M73:N73"/>
    <mergeCell ref="I23:J23"/>
    <mergeCell ref="K23:L23"/>
    <mergeCell ref="M23:N23"/>
    <mergeCell ref="I39:J39"/>
    <mergeCell ref="K39:L39"/>
    <mergeCell ref="M39:N39"/>
    <mergeCell ref="K2:L2"/>
    <mergeCell ref="M2:N2"/>
    <mergeCell ref="O2:P2"/>
    <mergeCell ref="I7:J7"/>
    <mergeCell ref="K7:L7"/>
    <mergeCell ref="M7: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DCF</vt:lpstr>
      <vt:lpstr>WACC</vt:lpstr>
      <vt:lpstr>NWC</vt:lpstr>
      <vt:lpstr>COMPARISON</vt:lpstr>
      <vt:lpstr>MEASURES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Stephen Moores</cp:lastModifiedBy>
  <cp:revision/>
  <dcterms:created xsi:type="dcterms:W3CDTF">2021-05-18T20:04:47Z</dcterms:created>
  <dcterms:modified xsi:type="dcterms:W3CDTF">2022-03-15T19:37:53Z</dcterms:modified>
  <cp:category/>
  <cp:contentStatus/>
</cp:coreProperties>
</file>