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ownloads\SPRING SEMESTER 2021-2022\PYTHON\GitHub\steveproject\PANDAS PROJ\"/>
    </mc:Choice>
  </mc:AlternateContent>
  <xr:revisionPtr revIDLastSave="0" documentId="13_ncr:1_{B0FD613A-0A7D-472E-8FD2-25198B9C7D9E}" xr6:coauthVersionLast="47" xr6:coauthVersionMax="47" xr10:uidLastSave="{00000000-0000-0000-0000-000000000000}"/>
  <bookViews>
    <workbookView xWindow="-108" yWindow="-108" windowWidth="23256" windowHeight="12576" xr2:uid="{38F17426-425A-4946-BB5F-3622334B00E1}"/>
  </bookViews>
  <sheets>
    <sheet name="DATA" sheetId="6" r:id="rId1"/>
    <sheet name="DCF" sheetId="1" r:id="rId2"/>
    <sheet name="WACC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C34" i="1"/>
  <c r="D34" i="1"/>
  <c r="E34" i="1"/>
  <c r="E29" i="1"/>
  <c r="D29" i="1"/>
  <c r="C29" i="1"/>
  <c r="E23" i="1"/>
  <c r="D23" i="1"/>
  <c r="C23" i="1"/>
  <c r="C22" i="1"/>
  <c r="D22" i="1"/>
  <c r="E22" i="1"/>
  <c r="B3" i="1"/>
  <c r="G6" i="1"/>
  <c r="F9" i="2"/>
  <c r="F12" i="2" s="1"/>
  <c r="F10" i="2"/>
  <c r="E19" i="1"/>
  <c r="D19" i="1"/>
  <c r="C19" i="1"/>
  <c r="E17" i="1"/>
  <c r="C17" i="1"/>
  <c r="D17" i="1"/>
  <c r="E28" i="1" l="1"/>
  <c r="C6" i="1"/>
  <c r="G7" i="1"/>
  <c r="G8" i="1" s="1"/>
  <c r="C15" i="1"/>
  <c r="D15" i="1"/>
  <c r="E15" i="1"/>
  <c r="F15" i="1" s="1"/>
  <c r="C13" i="1"/>
  <c r="D13" i="1"/>
  <c r="C7" i="1"/>
  <c r="E13" i="1" s="1"/>
  <c r="F7" i="2"/>
  <c r="G15" i="1" l="1"/>
  <c r="G19" i="1" s="1"/>
  <c r="G22" i="1" s="1"/>
  <c r="G23" i="1" s="1"/>
  <c r="F19" i="1"/>
  <c r="F22" i="1" s="1"/>
  <c r="F23" i="1" s="1"/>
  <c r="G77" i="1"/>
  <c r="F77" i="1" s="1"/>
  <c r="E77" i="1" s="1"/>
  <c r="G68" i="1"/>
  <c r="F68" i="1" s="1"/>
  <c r="E68" i="1" s="1"/>
  <c r="E15" i="2"/>
  <c r="C35" i="1"/>
  <c r="C30" i="1"/>
  <c r="F29" i="1"/>
  <c r="D27" i="1"/>
  <c r="C24" i="1"/>
  <c r="C25" i="1" s="1"/>
  <c r="D24" i="1"/>
  <c r="D25" i="1" s="1"/>
  <c r="E24" i="1"/>
  <c r="E25" i="1" s="1"/>
  <c r="D35" i="1"/>
  <c r="C54" i="1"/>
  <c r="D58" i="1" s="1"/>
  <c r="D28" i="1"/>
  <c r="E35" i="1"/>
  <c r="E30" i="1"/>
  <c r="E27" i="1"/>
  <c r="C27" i="1"/>
  <c r="E20" i="1"/>
  <c r="D20" i="1"/>
  <c r="C20" i="1"/>
  <c r="F34" i="1"/>
  <c r="F28" i="1" s="1"/>
  <c r="D18" i="1"/>
  <c r="E18" i="1"/>
  <c r="C18" i="1"/>
  <c r="E16" i="1"/>
  <c r="D16" i="1"/>
  <c r="F13" i="1"/>
  <c r="E12" i="1"/>
  <c r="F12" i="1" s="1"/>
  <c r="G12" i="1" s="1"/>
  <c r="H12" i="1" s="1"/>
  <c r="I12" i="1" s="1"/>
  <c r="J12" i="1" s="1"/>
  <c r="C58" i="1" l="1"/>
  <c r="E16" i="2"/>
  <c r="F16" i="2" s="1"/>
  <c r="F25" i="1"/>
  <c r="H15" i="1"/>
  <c r="H19" i="1" s="1"/>
  <c r="G25" i="1"/>
  <c r="G13" i="1"/>
  <c r="H13" i="1" s="1"/>
  <c r="I13" i="1" s="1"/>
  <c r="J13" i="1" s="1"/>
  <c r="C8" i="1"/>
  <c r="C37" i="1" s="1"/>
  <c r="D12" i="1"/>
  <c r="C12" i="1" s="1"/>
  <c r="H77" i="1"/>
  <c r="I77" i="1" s="1"/>
  <c r="H68" i="1"/>
  <c r="I68" i="1" s="1"/>
  <c r="F15" i="2" l="1"/>
  <c r="F18" i="2" s="1"/>
  <c r="H22" i="1"/>
  <c r="H23" i="1" s="1"/>
  <c r="H25" i="1"/>
  <c r="H34" i="1"/>
  <c r="I15" i="1"/>
  <c r="I19" i="1" s="1"/>
  <c r="H29" i="1"/>
  <c r="G17" i="1"/>
  <c r="G27" i="1" s="1"/>
  <c r="H17" i="1"/>
  <c r="H27" i="1" s="1"/>
  <c r="J15" i="1" l="1"/>
  <c r="J19" i="1" s="1"/>
  <c r="J22" i="1" s="1"/>
  <c r="J23" i="1" s="1"/>
  <c r="I22" i="1"/>
  <c r="I23" i="1" s="1"/>
  <c r="I25" i="1"/>
  <c r="I29" i="1"/>
  <c r="I34" i="1"/>
  <c r="I28" i="1" s="1"/>
  <c r="I17" i="1"/>
  <c r="I27" i="1" s="1"/>
  <c r="D80" i="1"/>
  <c r="D71" i="1"/>
  <c r="K15" i="1" l="1"/>
  <c r="J25" i="1"/>
  <c r="J34" i="1"/>
  <c r="J28" i="1" s="1"/>
  <c r="J29" i="1"/>
  <c r="I32" i="1"/>
  <c r="I37" i="1" s="1"/>
  <c r="I38" i="1" s="1"/>
  <c r="J17" i="1"/>
  <c r="D70" i="1"/>
  <c r="D69" i="1" s="1"/>
  <c r="D72" i="1"/>
  <c r="D73" i="1" s="1"/>
  <c r="D81" i="1"/>
  <c r="D82" i="1" s="1"/>
  <c r="D79" i="1"/>
  <c r="D78" i="1" s="1"/>
  <c r="J27" i="1" l="1"/>
  <c r="J32" i="1" s="1"/>
  <c r="C44" i="1" s="1"/>
  <c r="C45" i="1" s="1"/>
  <c r="C46" i="1" s="1"/>
  <c r="I43" i="1"/>
  <c r="I45" i="1" s="1"/>
  <c r="I46" i="1" s="1"/>
  <c r="J37" i="1" l="1"/>
  <c r="J38" i="1" s="1"/>
  <c r="G34" i="1"/>
  <c r="H28" i="1" s="1"/>
  <c r="H32" i="1" s="1"/>
  <c r="H37" i="1" s="1"/>
  <c r="H38" i="1" s="1"/>
  <c r="G29" i="1"/>
  <c r="G28" i="1" l="1"/>
  <c r="G32" i="1" s="1"/>
  <c r="G37" i="1" s="1"/>
  <c r="G38" i="1" s="1"/>
  <c r="F17" i="1" l="1"/>
  <c r="F27" i="1" s="1"/>
  <c r="F32" i="1" s="1"/>
  <c r="F37" i="1" s="1"/>
  <c r="F38" i="1" s="1"/>
  <c r="C47" i="1" s="1"/>
  <c r="I47" i="1" l="1"/>
  <c r="I48" i="1" s="1"/>
  <c r="D57" i="1" s="1"/>
  <c r="D59" i="1" s="1"/>
  <c r="D61" i="1" s="1"/>
  <c r="C48" i="1"/>
  <c r="C57" i="1" s="1"/>
  <c r="C59" i="1" s="1"/>
  <c r="C61" i="1" s="1"/>
  <c r="D77" i="1" l="1"/>
  <c r="D62" i="1"/>
  <c r="C62" i="1"/>
  <c r="D68" i="1"/>
</calcChain>
</file>

<file path=xl/sharedStrings.xml><?xml version="1.0" encoding="utf-8"?>
<sst xmlns="http://schemas.openxmlformats.org/spreadsheetml/2006/main" count="128" uniqueCount="98">
  <si>
    <t>Discounted Cash Flow Valuation</t>
  </si>
  <si>
    <t>Company Name</t>
  </si>
  <si>
    <t>WACC</t>
  </si>
  <si>
    <t>Ticker</t>
  </si>
  <si>
    <t>Share Price (Close)</t>
  </si>
  <si>
    <t>Most Recent Fiscal Year End</t>
  </si>
  <si>
    <t>Share Price Date</t>
  </si>
  <si>
    <t>End of First Fiscal Year</t>
  </si>
  <si>
    <t>Valuation Date</t>
  </si>
  <si>
    <t>Unlevered Free Cash Flows</t>
  </si>
  <si>
    <t>Fiscal Year</t>
  </si>
  <si>
    <t>Fiscal Year End Date</t>
  </si>
  <si>
    <t>Revenue</t>
  </si>
  <si>
    <t>% Growth</t>
  </si>
  <si>
    <t>EBITDA</t>
  </si>
  <si>
    <t>% Margin</t>
  </si>
  <si>
    <t>EBIT</t>
  </si>
  <si>
    <t>Tax Rate</t>
  </si>
  <si>
    <t>EBIAT (NOPAT)</t>
  </si>
  <si>
    <t>Depreciation &amp; Amortization</t>
  </si>
  <si>
    <t>Changes in Net Working Capital</t>
  </si>
  <si>
    <t>Capital Expenditures</t>
  </si>
  <si>
    <t>% of Revenue</t>
  </si>
  <si>
    <t>Unlevered Free Cash Flows (UFCF)</t>
  </si>
  <si>
    <t>Net Working Capital</t>
  </si>
  <si>
    <t>Present Value of Unlevered Free Cash Flows</t>
  </si>
  <si>
    <t>Terminal Value</t>
  </si>
  <si>
    <t>Perpeuity Growth Method</t>
  </si>
  <si>
    <t>EBITDA Multiple Method</t>
  </si>
  <si>
    <t>Terminal Growth Rate</t>
  </si>
  <si>
    <t>Terminal Year EBITDA</t>
  </si>
  <si>
    <t>Terminal Year FCF x (1+g)</t>
  </si>
  <si>
    <t xml:space="preserve">EBITDA Multiple  </t>
  </si>
  <si>
    <t xml:space="preserve">Terminal Value </t>
  </si>
  <si>
    <t>Present Value of Terminal Value</t>
  </si>
  <si>
    <t>Present Value of Cash Flows</t>
  </si>
  <si>
    <t>Total Enterprise Value</t>
  </si>
  <si>
    <t>Debt</t>
  </si>
  <si>
    <t xml:space="preserve">Long Term Liabilities </t>
  </si>
  <si>
    <t>Short Term liabilities</t>
  </si>
  <si>
    <t>Cash</t>
  </si>
  <si>
    <t>Cash Equivalents</t>
  </si>
  <si>
    <t>Net Debt</t>
  </si>
  <si>
    <t>Valuation</t>
  </si>
  <si>
    <t>Perpeuity</t>
  </si>
  <si>
    <t>Enterprise Value</t>
  </si>
  <si>
    <t>Equity Value</t>
  </si>
  <si>
    <t xml:space="preserve">Shares Outstanding </t>
  </si>
  <si>
    <t>Estimated Upside</t>
  </si>
  <si>
    <t>Weighted Average Cost of Capital</t>
  </si>
  <si>
    <t>$ and shares in millions, except per share data</t>
  </si>
  <si>
    <t>Cost of Capital Assumptions</t>
  </si>
  <si>
    <t>Cost of Debt</t>
  </si>
  <si>
    <t>After-Tax Cost of Debt</t>
  </si>
  <si>
    <t>Risk Free Rate</t>
  </si>
  <si>
    <t>Beta</t>
  </si>
  <si>
    <t>Market Risk Premium</t>
  </si>
  <si>
    <t>Cost of Equity</t>
  </si>
  <si>
    <t>Capital Structure</t>
  </si>
  <si>
    <t>Equity</t>
  </si>
  <si>
    <t>Unlevered Cash Flows Stub Adjusted</t>
  </si>
  <si>
    <t>Equity Value per Share (USD)</t>
  </si>
  <si>
    <t>Sensitivity Analysis</t>
  </si>
  <si>
    <t>Equity value per share</t>
  </si>
  <si>
    <t>Long term growth rate (g):</t>
  </si>
  <si>
    <t>WACC:</t>
  </si>
  <si>
    <t>Data Tables</t>
  </si>
  <si>
    <t>Exit EBITDA Multiple:</t>
  </si>
  <si>
    <t xml:space="preserve">Pretax income </t>
  </si>
  <si>
    <t>Income Tax expense</t>
  </si>
  <si>
    <t>DESC</t>
  </si>
  <si>
    <t>Ticker:</t>
  </si>
  <si>
    <t>Pretax Income</t>
  </si>
  <si>
    <t>Tax Exp</t>
  </si>
  <si>
    <t>CAPEX</t>
  </si>
  <si>
    <t>NWC</t>
  </si>
  <si>
    <t xml:space="preserve">cost of debt </t>
  </si>
  <si>
    <t>(just the most recent)</t>
  </si>
  <si>
    <t>Todays date</t>
  </si>
  <si>
    <t>Programed space (will be overwritten do not type)</t>
  </si>
  <si>
    <t>Current Price</t>
  </si>
  <si>
    <t xml:space="preserve">RF rate </t>
  </si>
  <si>
    <t>RF Rate</t>
  </si>
  <si>
    <t>LTL</t>
  </si>
  <si>
    <t>STL</t>
  </si>
  <si>
    <t>Shares outst</t>
  </si>
  <si>
    <t>TERM G RATE</t>
  </si>
  <si>
    <t>Exit Mult</t>
  </si>
  <si>
    <t xml:space="preserve">grab the name of the company </t>
  </si>
  <si>
    <t xml:space="preserve">grab the units of all financial statements? </t>
  </si>
  <si>
    <t>&lt; these default to moving averages please account for your subjective assumptions</t>
  </si>
  <si>
    <t>UNITS</t>
  </si>
  <si>
    <t>All numbers in thousands</t>
  </si>
  <si>
    <t>NAME</t>
  </si>
  <si>
    <t>Cash + Cash eq</t>
  </si>
  <si>
    <t xml:space="preserve">Cash + Cash Equivalents </t>
  </si>
  <si>
    <t>CSX</t>
  </si>
  <si>
    <t>CSX Corporation (CSX)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</si>
</sst>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7" formatCode="&quot;$&quot;#,##0.00_);\(&quot;$&quot;#,##0.00\)"/>
    <numFmt numFmtId="43" formatCode="_(* #,##0.00_);_(* \(#,##0.00\);_(* &quot;-&quot;??_);_(@_)"/>
    <numFmt numFmtId="164" formatCode="m/d/yyyy;@"/>
    <numFmt numFmtId="165" formatCode="0000\A"/>
    <numFmt numFmtId="166" formatCode="0000\P"/>
    <numFmt numFmtId="167" formatCode="#,##0_);\(#,##0\);@_)"/>
    <numFmt numFmtId="168" formatCode="_(#,##0.0%_);\(#,##0.0%\);_(&quot;–&quot;_)_%;_(@_)_%\ "/>
    <numFmt numFmtId="169" formatCode="_(#,##0.0%_);\(#,##0.0%\);_(&quot;–&quot;_)_%;_(@_)_%"/>
    <numFmt numFmtId="170" formatCode="0.0\x_);\(0.0\x\);@_)"/>
    <numFmt numFmtId="171" formatCode="_(* #,##0_);_(* \(#,##0\);_(* &quot;-&quot;??_);_(@_)"/>
    <numFmt numFmtId="172" formatCode="_(#,##0.00%_);\(#,##0.00%\);_(&quot;–&quot;_)_%;_(@_)_%"/>
    <numFmt numFmtId="173" formatCode="#,##0.00_);\(#,##0.00\);@_)"/>
  </numFmts>
  <fonts count="2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800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2C891"/>
      <name val="Calibri"/>
      <family val="2"/>
      <scheme val="minor"/>
    </font>
    <font>
      <b/>
      <sz val="11"/>
      <color rgb="FFFFD700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1"/>
      <color theme="1"/>
      <name val="Calibri (Body)"/>
    </font>
    <font>
      <b/>
      <u val="singleAccounting"/>
      <sz val="11"/>
      <color theme="1"/>
      <name val="Calibri (Body)"/>
    </font>
    <font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8"/>
      <color rgb="FF232A3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123A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112">
    <xf numFmtId="0" fontId="0" fillId="0" borderId="0" xfId="0"/>
    <xf numFmtId="0" fontId="5" fillId="0" borderId="0" xfId="0" applyFont="1"/>
    <xf numFmtId="0" fontId="8" fillId="0" borderId="0" xfId="0" applyFont="1"/>
    <xf numFmtId="0" fontId="5" fillId="0" borderId="0" xfId="0" applyFont="1" applyAlignment="1">
      <alignment horizontal="left" indent="1"/>
    </xf>
    <xf numFmtId="0" fontId="10" fillId="0" borderId="0" xfId="0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9" fillId="0" borderId="0" xfId="0" applyFont="1"/>
    <xf numFmtId="7" fontId="10" fillId="0" borderId="0" xfId="0" applyNumberFormat="1" applyFont="1" applyAlignment="1">
      <alignment horizontal="right"/>
    </xf>
    <xf numFmtId="167" fontId="10" fillId="0" borderId="0" xfId="0" applyNumberFormat="1" applyFont="1" applyAlignment="1">
      <alignment horizontal="right"/>
    </xf>
    <xf numFmtId="167" fontId="5" fillId="0" borderId="0" xfId="0" applyNumberFormat="1" applyFont="1"/>
    <xf numFmtId="167" fontId="9" fillId="0" borderId="0" xfId="0" applyNumberFormat="1" applyFont="1"/>
    <xf numFmtId="168" fontId="5" fillId="0" borderId="0" xfId="0" applyNumberFormat="1" applyFont="1"/>
    <xf numFmtId="169" fontId="5" fillId="0" borderId="0" xfId="0" applyNumberFormat="1" applyFont="1"/>
    <xf numFmtId="169" fontId="10" fillId="0" borderId="0" xfId="0" applyNumberFormat="1" applyFont="1" applyAlignment="1">
      <alignment horizontal="right"/>
    </xf>
    <xf numFmtId="0" fontId="6" fillId="2" borderId="0" xfId="0" applyFont="1" applyFill="1"/>
    <xf numFmtId="0" fontId="7" fillId="2" borderId="0" xfId="0" applyFont="1" applyFill="1"/>
    <xf numFmtId="0" fontId="6" fillId="0" borderId="0" xfId="0" applyFont="1" applyFill="1"/>
    <xf numFmtId="0" fontId="11" fillId="0" borderId="0" xfId="0" applyFont="1" applyFill="1"/>
    <xf numFmtId="10" fontId="5" fillId="0" borderId="0" xfId="0" applyNumberFormat="1" applyFont="1"/>
    <xf numFmtId="0" fontId="5" fillId="0" borderId="0" xfId="0" applyNumberFormat="1" applyFont="1"/>
    <xf numFmtId="170" fontId="10" fillId="0" borderId="0" xfId="0" applyNumberFormat="1" applyFont="1" applyAlignment="1">
      <alignment horizontal="right"/>
    </xf>
    <xf numFmtId="171" fontId="5" fillId="0" borderId="0" xfId="0" applyNumberFormat="1" applyFont="1"/>
    <xf numFmtId="0" fontId="5" fillId="0" borderId="1" xfId="0" applyFont="1" applyBorder="1"/>
    <xf numFmtId="0" fontId="9" fillId="0" borderId="1" xfId="0" applyFont="1" applyBorder="1"/>
    <xf numFmtId="0" fontId="5" fillId="0" borderId="0" xfId="0" applyFont="1" applyBorder="1"/>
    <xf numFmtId="0" fontId="9" fillId="0" borderId="1" xfId="0" applyFont="1" applyFill="1" applyBorder="1"/>
    <xf numFmtId="0" fontId="6" fillId="0" borderId="1" xfId="0" applyFont="1" applyFill="1" applyBorder="1"/>
    <xf numFmtId="0" fontId="8" fillId="0" borderId="3" xfId="0" applyFont="1" applyBorder="1"/>
    <xf numFmtId="165" fontId="9" fillId="0" borderId="3" xfId="0" applyNumberFormat="1" applyFont="1" applyBorder="1"/>
    <xf numFmtId="166" fontId="9" fillId="0" borderId="3" xfId="0" applyNumberFormat="1" applyFont="1" applyBorder="1"/>
    <xf numFmtId="0" fontId="8" fillId="0" borderId="2" xfId="0" applyFont="1" applyBorder="1"/>
    <xf numFmtId="164" fontId="10" fillId="0" borderId="2" xfId="0" applyNumberFormat="1" applyFont="1" applyBorder="1" applyAlignment="1">
      <alignment horizontal="right"/>
    </xf>
    <xf numFmtId="164" fontId="5" fillId="0" borderId="2" xfId="0" applyNumberFormat="1" applyFont="1" applyBorder="1"/>
    <xf numFmtId="0" fontId="13" fillId="0" borderId="1" xfId="0" applyFont="1" applyBorder="1"/>
    <xf numFmtId="167" fontId="9" fillId="0" borderId="0" xfId="0" applyNumberFormat="1" applyFont="1" applyBorder="1" applyAlignment="1">
      <alignment horizontal="center"/>
    </xf>
    <xf numFmtId="172" fontId="10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5" fillId="0" borderId="0" xfId="0" applyFont="1" applyBorder="1" applyAlignment="1">
      <alignment horizontal="right"/>
    </xf>
    <xf numFmtId="43" fontId="5" fillId="0" borderId="0" xfId="0" applyNumberFormat="1" applyFont="1"/>
    <xf numFmtId="0" fontId="5" fillId="2" borderId="0" xfId="0" applyFont="1" applyFill="1"/>
    <xf numFmtId="173" fontId="10" fillId="0" borderId="0" xfId="0" applyNumberFormat="1" applyFont="1" applyAlignment="1">
      <alignment horizontal="right"/>
    </xf>
    <xf numFmtId="9" fontId="5" fillId="0" borderId="0" xfId="0" applyNumberFormat="1" applyFont="1"/>
    <xf numFmtId="0" fontId="14" fillId="0" borderId="0" xfId="0" applyFont="1"/>
    <xf numFmtId="167" fontId="12" fillId="0" borderId="0" xfId="0" applyNumberFormat="1" applyFont="1"/>
    <xf numFmtId="0" fontId="15" fillId="2" borderId="0" xfId="0" applyFont="1" applyFill="1"/>
    <xf numFmtId="0" fontId="16" fillId="0" borderId="0" xfId="0" applyFont="1" applyAlignment="1">
      <alignment horizontal="centerContinuous"/>
    </xf>
    <xf numFmtId="0" fontId="0" fillId="0" borderId="0" xfId="0" applyAlignment="1">
      <alignment horizontal="left"/>
    </xf>
    <xf numFmtId="0" fontId="0" fillId="0" borderId="0" xfId="0" applyAlignment="1">
      <alignment horizontal="centerContinuous"/>
    </xf>
    <xf numFmtId="0" fontId="5" fillId="0" borderId="0" xfId="0" applyFont="1" applyFill="1"/>
    <xf numFmtId="0" fontId="5" fillId="0" borderId="0" xfId="0" applyFont="1" applyAlignment="1">
      <alignment horizontal="right"/>
    </xf>
    <xf numFmtId="43" fontId="5" fillId="0" borderId="4" xfId="0" applyNumberFormat="1" applyFont="1" applyBorder="1"/>
    <xf numFmtId="0" fontId="17" fillId="0" borderId="0" xfId="0" applyFont="1" applyAlignment="1">
      <alignment horizontal="centerContinuous"/>
    </xf>
    <xf numFmtId="0" fontId="18" fillId="0" borderId="0" xfId="0" applyFont="1" applyAlignment="1">
      <alignment horizontal="centerContinuous"/>
    </xf>
    <xf numFmtId="169" fontId="5" fillId="0" borderId="5" xfId="0" applyNumberFormat="1" applyFont="1" applyBorder="1"/>
    <xf numFmtId="0" fontId="15" fillId="2" borderId="0" xfId="0" applyFont="1" applyFill="1" applyAlignment="1">
      <alignment horizontal="center"/>
    </xf>
    <xf numFmtId="43" fontId="5" fillId="0" borderId="0" xfId="0" applyNumberFormat="1" applyFont="1" applyBorder="1"/>
    <xf numFmtId="43" fontId="9" fillId="0" borderId="0" xfId="0" applyNumberFormat="1" applyFont="1" applyBorder="1"/>
    <xf numFmtId="169" fontId="5" fillId="0" borderId="7" xfId="0" applyNumberFormat="1" applyFont="1" applyBorder="1"/>
    <xf numFmtId="169" fontId="10" fillId="0" borderId="7" xfId="0" applyNumberFormat="1" applyFont="1" applyBorder="1" applyAlignment="1">
      <alignment horizontal="right"/>
    </xf>
    <xf numFmtId="170" fontId="5" fillId="0" borderId="8" xfId="0" applyNumberFormat="1" applyFont="1" applyBorder="1" applyAlignment="1">
      <alignment horizontal="right"/>
    </xf>
    <xf numFmtId="170" fontId="10" fillId="0" borderId="8" xfId="0" applyNumberFormat="1" applyFont="1" applyBorder="1" applyAlignment="1">
      <alignment horizontal="right"/>
    </xf>
    <xf numFmtId="170" fontId="5" fillId="0" borderId="6" xfId="0" applyNumberFormat="1" applyFont="1" applyBorder="1" applyAlignment="1">
      <alignment horizontal="right"/>
    </xf>
    <xf numFmtId="169" fontId="5" fillId="0" borderId="7" xfId="0" applyNumberFormat="1" applyFont="1" applyFill="1" applyBorder="1"/>
    <xf numFmtId="169" fontId="5" fillId="0" borderId="5" xfId="0" applyNumberFormat="1" applyFont="1" applyFill="1" applyBorder="1"/>
    <xf numFmtId="43" fontId="5" fillId="0" borderId="4" xfId="0" applyNumberFormat="1" applyFont="1" applyFill="1" applyBorder="1"/>
    <xf numFmtId="169" fontId="5" fillId="0" borderId="8" xfId="0" applyNumberFormat="1" applyFont="1" applyFill="1" applyBorder="1"/>
    <xf numFmtId="169" fontId="10" fillId="0" borderId="8" xfId="0" applyNumberFormat="1" applyFont="1" applyBorder="1" applyAlignment="1">
      <alignment horizontal="right"/>
    </xf>
    <xf numFmtId="169" fontId="5" fillId="0" borderId="6" xfId="0" applyNumberFormat="1" applyFont="1" applyFill="1" applyBorder="1"/>
    <xf numFmtId="2" fontId="5" fillId="0" borderId="0" xfId="0" applyNumberFormat="1" applyFont="1" applyBorder="1"/>
    <xf numFmtId="2" fontId="9" fillId="0" borderId="0" xfId="0" applyNumberFormat="1" applyFont="1" applyBorder="1"/>
    <xf numFmtId="43" fontId="5" fillId="0" borderId="1" xfId="0" applyNumberFormat="1" applyFont="1" applyBorder="1"/>
    <xf numFmtId="43" fontId="5" fillId="0" borderId="9" xfId="0" applyNumberFormat="1" applyFont="1" applyBorder="1"/>
    <xf numFmtId="43" fontId="5" fillId="0" borderId="10" xfId="0" applyNumberFormat="1" applyFont="1" applyBorder="1"/>
    <xf numFmtId="2" fontId="5" fillId="0" borderId="9" xfId="0" applyNumberFormat="1" applyFont="1" applyBorder="1"/>
    <xf numFmtId="2" fontId="5" fillId="0" borderId="1" xfId="0" applyNumberFormat="1" applyFont="1" applyBorder="1"/>
    <xf numFmtId="2" fontId="5" fillId="0" borderId="10" xfId="0" applyNumberFormat="1" applyFont="1" applyBorder="1"/>
    <xf numFmtId="169" fontId="10" fillId="0" borderId="7" xfId="0" applyNumberFormat="1" applyFont="1" applyFill="1" applyBorder="1" applyAlignment="1">
      <alignment horizontal="right"/>
    </xf>
    <xf numFmtId="3" fontId="0" fillId="0" borderId="0" xfId="0" applyNumberFormat="1"/>
    <xf numFmtId="0" fontId="4" fillId="0" borderId="0" xfId="0" applyFont="1" applyFill="1"/>
    <xf numFmtId="0" fontId="9" fillId="0" borderId="0" xfId="0" applyFont="1" applyFill="1"/>
    <xf numFmtId="167" fontId="9" fillId="0" borderId="0" xfId="0" applyNumberFormat="1" applyFont="1" applyFill="1"/>
    <xf numFmtId="0" fontId="3" fillId="0" borderId="0" xfId="0" applyFont="1"/>
    <xf numFmtId="0" fontId="2" fillId="0" borderId="0" xfId="0" applyFont="1"/>
    <xf numFmtId="0" fontId="20" fillId="0" borderId="0" xfId="0" applyFont="1"/>
    <xf numFmtId="9" fontId="5" fillId="0" borderId="0" xfId="2" applyFont="1"/>
    <xf numFmtId="0" fontId="0" fillId="0" borderId="0" xfId="0" applyBorder="1"/>
    <xf numFmtId="171" fontId="21" fillId="0" borderId="0" xfId="1" applyNumberFormat="1" applyFont="1" applyFill="1" applyAlignment="1">
      <alignment horizontal="right"/>
    </xf>
    <xf numFmtId="10" fontId="21" fillId="0" borderId="0" xfId="2" applyNumberFormat="1" applyFont="1" applyFill="1" applyAlignment="1">
      <alignment horizontal="right"/>
    </xf>
    <xf numFmtId="14" fontId="5" fillId="0" borderId="0" xfId="0" applyNumberFormat="1" applyFont="1"/>
    <xf numFmtId="0" fontId="0" fillId="0" borderId="11" xfId="0" applyBorder="1"/>
    <xf numFmtId="14" fontId="0" fillId="0" borderId="12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3" fontId="0" fillId="0" borderId="0" xfId="0" applyNumberFormat="1" applyBorder="1"/>
    <xf numFmtId="14" fontId="0" fillId="0" borderId="15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4" fontId="10" fillId="0" borderId="0" xfId="0" applyNumberFormat="1" applyFont="1" applyAlignment="1">
      <alignment horizontal="right"/>
    </xf>
    <xf numFmtId="0" fontId="1" fillId="0" borderId="0" xfId="0" applyFont="1" applyBorder="1"/>
    <xf numFmtId="0" fontId="8" fillId="0" borderId="0" xfId="0" applyFont="1" applyAlignment="1">
      <alignment horizontal="right"/>
    </xf>
    <xf numFmtId="169" fontId="20" fillId="3" borderId="0" xfId="0" applyNumberFormat="1" applyFont="1" applyFill="1"/>
    <xf numFmtId="168" fontId="20" fillId="3" borderId="0" xfId="0" applyNumberFormat="1" applyFont="1" applyFill="1"/>
    <xf numFmtId="0" fontId="1" fillId="0" borderId="0" xfId="0" applyFont="1"/>
    <xf numFmtId="3" fontId="22" fillId="0" borderId="0" xfId="0" applyNumberFormat="1" applyFont="1"/>
    <xf numFmtId="10" fontId="10" fillId="3" borderId="0" xfId="2" applyNumberFormat="1" applyFont="1" applyFill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D700"/>
      <color rgb="FF00123A"/>
      <color rgb="FF92C8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240818</xdr:colOff>
      <xdr:row>0</xdr:row>
      <xdr:rowOff>161676</xdr:rowOff>
    </xdr:from>
    <xdr:to>
      <xdr:col>9</xdr:col>
      <xdr:colOff>479307</xdr:colOff>
      <xdr:row>6</xdr:row>
      <xdr:rowOff>158107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FA55EB-F605-4046-9560-785A7633B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60406" y="161676"/>
          <a:ext cx="1149746" cy="10805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E626-EE9B-4164-BEB3-9EE6EF61F1A8}">
  <dimension ref="A1:L29"/>
  <sheetViews>
    <sheetView tabSelected="1" zoomScale="85" zoomScaleNormal="85" workbookViewId="0">
      <selection activeCell="B8" sqref="B8"/>
    </sheetView>
  </sheetViews>
  <sheetFormatPr defaultRowHeight="15.6"/>
  <cols>
    <col min="1" max="1" width="36.796875" bestFit="1" customWidth="1"/>
    <col min="2" max="2" width="19.19921875" bestFit="1" customWidth="1"/>
    <col min="3" max="4" width="11.19921875" bestFit="1" customWidth="1"/>
    <col min="5" max="5" width="13.59765625" bestFit="1" customWidth="1"/>
    <col min="6" max="6" width="22.69921875" bestFit="1" customWidth="1"/>
    <col min="7" max="7" width="9.8984375" bestFit="1" customWidth="1"/>
  </cols>
  <sheetData>
    <row r="1" spans="1:12">
      <c r="A1" s="90"/>
      <c r="B1" s="91">
        <v>44561</v>
      </c>
      <c r="C1" s="91">
        <v>44196</v>
      </c>
      <c r="D1" s="91">
        <v>43830</v>
      </c>
      <c r="E1" s="92"/>
      <c r="F1" s="93" t="s">
        <v>70</v>
      </c>
    </row>
    <row r="2" spans="1:12">
      <c r="A2" s="94" t="s">
        <v>12</v>
      </c>
      <c r="B2" s="95">
        <v>12522000</v>
      </c>
      <c r="C2" s="95">
        <v>10583000</v>
      </c>
      <c r="D2" s="95">
        <v>11937000</v>
      </c>
      <c r="E2" s="86" t="s">
        <v>71</v>
      </c>
      <c r="F2" s="96" t="s">
        <v>96</v>
      </c>
      <c r="G2" s="78"/>
    </row>
    <row r="3" spans="1:12" ht="16.2" thickBot="1">
      <c r="A3" s="94" t="s">
        <v>14</v>
      </c>
      <c r="B3" s="86">
        <v>7093000</v>
      </c>
      <c r="C3" s="86">
        <v>5764000</v>
      </c>
      <c r="D3" s="86">
        <v>6402000</v>
      </c>
      <c r="E3" s="86" t="s">
        <v>78</v>
      </c>
      <c r="F3" s="96">
        <v>44641</v>
      </c>
    </row>
    <row r="4" spans="1:12" ht="16.2" thickBot="1">
      <c r="A4" s="94" t="s">
        <v>16</v>
      </c>
      <c r="B4" s="95">
        <v>5673000</v>
      </c>
      <c r="C4" s="95">
        <v>4381000</v>
      </c>
      <c r="D4" s="95">
        <v>5053000</v>
      </c>
      <c r="E4" s="86" t="s">
        <v>80</v>
      </c>
      <c r="F4" s="97">
        <v>36.86</v>
      </c>
      <c r="H4" s="101" t="s">
        <v>79</v>
      </c>
      <c r="I4" s="102"/>
      <c r="J4" s="102"/>
      <c r="K4" s="102"/>
      <c r="L4" s="103"/>
    </row>
    <row r="5" spans="1:12">
      <c r="A5" s="94" t="s">
        <v>72</v>
      </c>
      <c r="B5" s="95">
        <v>1170000</v>
      </c>
      <c r="C5" s="95">
        <v>862000</v>
      </c>
      <c r="D5" s="95">
        <v>985000</v>
      </c>
      <c r="E5" s="86" t="s">
        <v>55</v>
      </c>
      <c r="F5" s="97">
        <v>1.22</v>
      </c>
    </row>
    <row r="6" spans="1:12">
      <c r="A6" s="94" t="s">
        <v>73</v>
      </c>
      <c r="B6" s="95">
        <v>3781000</v>
      </c>
      <c r="C6" s="95">
        <v>2765000</v>
      </c>
      <c r="D6" s="95">
        <v>3331000</v>
      </c>
      <c r="E6" s="86" t="s">
        <v>82</v>
      </c>
      <c r="F6" s="97">
        <v>2.315E-2</v>
      </c>
    </row>
    <row r="7" spans="1:12">
      <c r="A7" s="94" t="s">
        <v>74</v>
      </c>
      <c r="B7" s="95">
        <v>-1791000</v>
      </c>
      <c r="C7" s="95">
        <v>-1626000</v>
      </c>
      <c r="D7" s="95">
        <v>-1657000</v>
      </c>
      <c r="E7" s="86" t="s">
        <v>52</v>
      </c>
      <c r="F7" s="97">
        <v>0</v>
      </c>
    </row>
    <row r="8" spans="1:12">
      <c r="A8" s="94" t="s">
        <v>75</v>
      </c>
      <c r="B8" s="95">
        <v>1640000</v>
      </c>
      <c r="C8" s="95">
        <v>2422000</v>
      </c>
      <c r="D8" s="95">
        <v>1127000</v>
      </c>
      <c r="E8" s="86" t="s">
        <v>83</v>
      </c>
      <c r="F8" s="97">
        <v>0</v>
      </c>
      <c r="G8" s="110"/>
    </row>
    <row r="9" spans="1:12">
      <c r="A9" s="94" t="s">
        <v>84</v>
      </c>
      <c r="B9" s="86"/>
      <c r="C9" s="86"/>
      <c r="D9" s="86"/>
      <c r="E9" s="86" t="s">
        <v>84</v>
      </c>
      <c r="F9" s="97">
        <v>1</v>
      </c>
      <c r="G9" s="110"/>
    </row>
    <row r="10" spans="1:12">
      <c r="A10" s="94" t="s">
        <v>94</v>
      </c>
      <c r="B10" s="86"/>
      <c r="C10" s="86"/>
      <c r="D10" s="86"/>
      <c r="E10" s="86" t="s">
        <v>94</v>
      </c>
      <c r="F10" s="97">
        <v>2</v>
      </c>
      <c r="G10" s="110"/>
      <c r="H10" s="86"/>
      <c r="I10" s="86"/>
    </row>
    <row r="11" spans="1:12">
      <c r="A11" s="94" t="s">
        <v>85</v>
      </c>
      <c r="B11" s="86"/>
      <c r="C11" s="86"/>
      <c r="D11" s="86"/>
      <c r="E11" s="86" t="s">
        <v>85</v>
      </c>
      <c r="F11" s="97">
        <v>4</v>
      </c>
    </row>
    <row r="12" spans="1:12">
      <c r="A12" s="94" t="s">
        <v>86</v>
      </c>
      <c r="B12" s="86"/>
      <c r="C12" s="86"/>
      <c r="D12" s="86"/>
      <c r="E12" s="86" t="s">
        <v>86</v>
      </c>
      <c r="F12" s="97">
        <v>5</v>
      </c>
    </row>
    <row r="13" spans="1:12">
      <c r="A13" s="94" t="s">
        <v>87</v>
      </c>
      <c r="B13" s="86"/>
      <c r="C13" s="86"/>
      <c r="D13" s="86"/>
      <c r="E13" s="86" t="s">
        <v>87</v>
      </c>
      <c r="F13" s="97">
        <v>6</v>
      </c>
    </row>
    <row r="14" spans="1:12">
      <c r="A14" s="94" t="s">
        <v>91</v>
      </c>
      <c r="B14" s="86"/>
      <c r="C14" s="86"/>
      <c r="D14" s="86"/>
      <c r="E14" s="86" t="s">
        <v>91</v>
      </c>
      <c r="F14" s="97" t="s">
        <v>92</v>
      </c>
    </row>
    <row r="15" spans="1:12" ht="16.2" thickBot="1">
      <c r="A15" s="98" t="s">
        <v>93</v>
      </c>
      <c r="B15" s="99"/>
      <c r="C15" s="99"/>
      <c r="D15" s="99"/>
      <c r="E15" s="99" t="s">
        <v>93</v>
      </c>
      <c r="F15" s="100" t="s">
        <v>97</v>
      </c>
    </row>
    <row r="16" spans="1:12">
      <c r="A16" s="1"/>
    </row>
    <row r="17" spans="1:2">
      <c r="A17" s="1"/>
    </row>
    <row r="18" spans="1:2">
      <c r="A18" s="1"/>
    </row>
    <row r="19" spans="1:2">
      <c r="A19" s="105" t="s">
        <v>88</v>
      </c>
    </row>
    <row r="20" spans="1:2">
      <c r="A20" t="s">
        <v>89</v>
      </c>
    </row>
    <row r="21" spans="1:2">
      <c r="A21" t="s">
        <v>81</v>
      </c>
    </row>
    <row r="22" spans="1:2">
      <c r="A22" s="94" t="s">
        <v>76</v>
      </c>
    </row>
    <row r="24" spans="1:2">
      <c r="A24" s="1" t="s">
        <v>38</v>
      </c>
      <c r="B24" t="s">
        <v>77</v>
      </c>
    </row>
    <row r="25" spans="1:2">
      <c r="A25" s="1" t="s">
        <v>39</v>
      </c>
      <c r="B25" t="s">
        <v>77</v>
      </c>
    </row>
    <row r="26" spans="1:2">
      <c r="A26" s="1" t="s">
        <v>40</v>
      </c>
      <c r="B26" t="s">
        <v>77</v>
      </c>
    </row>
    <row r="27" spans="1:2">
      <c r="A27" s="25" t="s">
        <v>41</v>
      </c>
      <c r="B27" t="s">
        <v>77</v>
      </c>
    </row>
    <row r="28" spans="1:2">
      <c r="A28" s="94"/>
    </row>
    <row r="29" spans="1:2" ht="16.2" thickBot="1">
      <c r="A29" s="9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51AB-D597-9D44-826B-59063E0D92DF}">
  <dimension ref="B2:N85"/>
  <sheetViews>
    <sheetView topLeftCell="A16" zoomScale="97" zoomScaleNormal="100" workbookViewId="0">
      <selection activeCell="B33" sqref="B33"/>
    </sheetView>
  </sheetViews>
  <sheetFormatPr defaultColWidth="10.796875" defaultRowHeight="14.4"/>
  <cols>
    <col min="1" max="1" width="1.5" style="1" customWidth="1"/>
    <col min="2" max="2" width="54.5" style="1" customWidth="1"/>
    <col min="3" max="3" width="11.69921875" style="1" bestFit="1" customWidth="1"/>
    <col min="4" max="4" width="12.5" style="1" bestFit="1" customWidth="1"/>
    <col min="5" max="5" width="11.69921875" style="1" bestFit="1" customWidth="1"/>
    <col min="6" max="6" width="13.296875" style="1" customWidth="1"/>
    <col min="7" max="8" width="12.5" style="1" bestFit="1" customWidth="1"/>
    <col min="9" max="9" width="12" style="1" bestFit="1" customWidth="1"/>
    <col min="10" max="10" width="10.796875" style="1" customWidth="1"/>
    <col min="11" max="11" width="1.5" style="1" customWidth="1"/>
    <col min="12" max="16384" width="10.796875" style="1"/>
  </cols>
  <sheetData>
    <row r="2" spans="2:12">
      <c r="B2" s="15" t="s">
        <v>0</v>
      </c>
      <c r="C2" s="16"/>
      <c r="D2" s="16"/>
      <c r="E2" s="16"/>
      <c r="F2" s="16"/>
      <c r="G2" s="16"/>
      <c r="H2" s="16"/>
      <c r="I2" s="16"/>
      <c r="J2" s="16"/>
    </row>
    <row r="3" spans="2:12">
      <c r="B3" s="106" t="str">
        <f>DATA!F14</f>
        <v>All numbers in thousands</v>
      </c>
      <c r="C3" s="49"/>
    </row>
    <row r="4" spans="2:12">
      <c r="G4" s="43"/>
    </row>
    <row r="5" spans="2:12">
      <c r="B5" s="1" t="s">
        <v>1</v>
      </c>
      <c r="C5" s="104"/>
      <c r="E5" s="1" t="s">
        <v>2</v>
      </c>
      <c r="G5" s="36">
        <f>WACC!F18</f>
        <v>0.13135797358695675</v>
      </c>
      <c r="H5" s="19"/>
    </row>
    <row r="6" spans="2:12">
      <c r="B6" s="1" t="s">
        <v>3</v>
      </c>
      <c r="C6" s="104" t="str">
        <f>DATA!F2</f>
        <v>CSX</v>
      </c>
      <c r="E6" s="1" t="s">
        <v>4</v>
      </c>
      <c r="G6" s="8">
        <f>DATA!F4</f>
        <v>36.86</v>
      </c>
      <c r="I6" s="7"/>
    </row>
    <row r="7" spans="2:12">
      <c r="B7" s="1" t="s">
        <v>5</v>
      </c>
      <c r="C7" s="5">
        <f>DATA!B1</f>
        <v>44561</v>
      </c>
      <c r="E7" s="1" t="s">
        <v>6</v>
      </c>
      <c r="G7" s="5">
        <f>DATA!F3</f>
        <v>44641</v>
      </c>
    </row>
    <row r="8" spans="2:12">
      <c r="B8" s="1" t="s">
        <v>7</v>
      </c>
      <c r="C8" s="6">
        <f>F13</f>
        <v>44926</v>
      </c>
      <c r="E8" s="1" t="s">
        <v>8</v>
      </c>
      <c r="F8" s="5"/>
      <c r="G8" s="5">
        <f>G7</f>
        <v>44641</v>
      </c>
    </row>
    <row r="10" spans="2:12">
      <c r="B10" s="15" t="s">
        <v>9</v>
      </c>
      <c r="C10" s="16"/>
      <c r="D10" s="16"/>
      <c r="E10" s="16"/>
      <c r="F10" s="16"/>
      <c r="G10" s="16"/>
      <c r="H10" s="16"/>
      <c r="I10" s="16"/>
      <c r="J10" s="16"/>
    </row>
    <row r="11" spans="2:12">
      <c r="F11" s="6"/>
      <c r="G11" s="6"/>
      <c r="H11" s="6"/>
      <c r="I11" s="6"/>
      <c r="J11" s="6"/>
    </row>
    <row r="12" spans="2:12">
      <c r="B12" s="28" t="s">
        <v>10</v>
      </c>
      <c r="C12" s="29">
        <f>D12-1</f>
        <v>2019</v>
      </c>
      <c r="D12" s="29">
        <f>E12-1</f>
        <v>2020</v>
      </c>
      <c r="E12" s="29">
        <f>YEAR(E13)</f>
        <v>2021</v>
      </c>
      <c r="F12" s="30">
        <f>E12+1</f>
        <v>2022</v>
      </c>
      <c r="G12" s="30">
        <f t="shared" ref="G12:I12" si="0">F12+1</f>
        <v>2023</v>
      </c>
      <c r="H12" s="30">
        <f t="shared" si="0"/>
        <v>2024</v>
      </c>
      <c r="I12" s="30">
        <f t="shared" si="0"/>
        <v>2025</v>
      </c>
      <c r="J12" s="30">
        <f>I12+1</f>
        <v>2026</v>
      </c>
    </row>
    <row r="13" spans="2:12">
      <c r="B13" s="31" t="s">
        <v>11</v>
      </c>
      <c r="C13" s="32">
        <f>DATA!D1</f>
        <v>43830</v>
      </c>
      <c r="D13" s="32">
        <f>DATA!C1</f>
        <v>44196</v>
      </c>
      <c r="E13" s="33">
        <f>C7</f>
        <v>44561</v>
      </c>
      <c r="F13" s="33">
        <f>EOMONTH(E13,12)</f>
        <v>44926</v>
      </c>
      <c r="G13" s="33">
        <f>EOMONTH(F13,12)</f>
        <v>45291</v>
      </c>
      <c r="H13" s="33">
        <f t="shared" ref="H13:J13" si="1">EOMONTH(G13,12)</f>
        <v>45657</v>
      </c>
      <c r="I13" s="33">
        <f t="shared" si="1"/>
        <v>46022</v>
      </c>
      <c r="J13" s="33">
        <f t="shared" si="1"/>
        <v>46387</v>
      </c>
      <c r="L13" s="89"/>
    </row>
    <row r="14" spans="2:12">
      <c r="F14" s="82"/>
    </row>
    <row r="15" spans="2:12">
      <c r="B15" s="1" t="s">
        <v>12</v>
      </c>
      <c r="C15" s="9">
        <f>DATA!D2</f>
        <v>11937000</v>
      </c>
      <c r="D15" s="9">
        <f>DATA!C2</f>
        <v>10583000</v>
      </c>
      <c r="E15" s="9">
        <f>DATA!B2</f>
        <v>12522000</v>
      </c>
      <c r="F15" s="10">
        <f>E15*(1+F16)</f>
        <v>13774200.000000002</v>
      </c>
      <c r="G15" s="10">
        <f t="shared" ref="G15:K15" si="2">F15*(1+G16)</f>
        <v>15151620.000000004</v>
      </c>
      <c r="H15" s="10">
        <f t="shared" si="2"/>
        <v>16666782.000000006</v>
      </c>
      <c r="I15" s="10">
        <f t="shared" si="2"/>
        <v>18333460.200000007</v>
      </c>
      <c r="J15" s="10">
        <f t="shared" si="2"/>
        <v>20166806.22000001</v>
      </c>
      <c r="K15" s="10">
        <f t="shared" si="2"/>
        <v>20166806.22000001</v>
      </c>
    </row>
    <row r="16" spans="2:12">
      <c r="B16" s="3" t="s">
        <v>13</v>
      </c>
      <c r="C16" s="12"/>
      <c r="D16" s="12">
        <f>(D15-C15)/C15</f>
        <v>-0.11342883471559018</v>
      </c>
      <c r="E16" s="12">
        <f>(E15-D15)/D15</f>
        <v>0.18321836908249078</v>
      </c>
      <c r="F16" s="108">
        <v>0.1</v>
      </c>
      <c r="G16" s="108">
        <v>0.1</v>
      </c>
      <c r="H16" s="108">
        <v>0.1</v>
      </c>
      <c r="I16" s="108">
        <v>0.1</v>
      </c>
      <c r="J16" s="108">
        <v>0.1</v>
      </c>
    </row>
    <row r="17" spans="2:12">
      <c r="B17" s="1" t="s">
        <v>14</v>
      </c>
      <c r="C17" s="9">
        <f>DATA!D3</f>
        <v>6402000</v>
      </c>
      <c r="D17" s="9">
        <f>DATA!C3</f>
        <v>5764000</v>
      </c>
      <c r="E17" s="9">
        <f>DATA!B3</f>
        <v>7093000</v>
      </c>
      <c r="F17" s="10">
        <f>F15*F18</f>
        <v>7300326.0000000009</v>
      </c>
      <c r="G17" s="10">
        <f t="shared" ref="G17:J17" si="3">G15*G18</f>
        <v>8030358.6000000024</v>
      </c>
      <c r="H17" s="10">
        <f t="shared" si="3"/>
        <v>8833394.4600000028</v>
      </c>
      <c r="I17" s="10">
        <f t="shared" si="3"/>
        <v>9716733.9060000032</v>
      </c>
      <c r="J17" s="10">
        <f t="shared" si="3"/>
        <v>10688407.296600007</v>
      </c>
    </row>
    <row r="18" spans="2:12">
      <c r="B18" s="3" t="s">
        <v>15</v>
      </c>
      <c r="C18" s="13">
        <f>C17/C15</f>
        <v>0.53631565720030161</v>
      </c>
      <c r="D18" s="13">
        <f t="shared" ref="D18:J18" si="4">D17/D15</f>
        <v>0.54464707549844094</v>
      </c>
      <c r="E18" s="13">
        <f t="shared" si="4"/>
        <v>0.56644306021402335</v>
      </c>
      <c r="F18" s="107">
        <v>0.53</v>
      </c>
      <c r="G18" s="107">
        <v>0.53</v>
      </c>
      <c r="H18" s="107">
        <v>0.53</v>
      </c>
      <c r="I18" s="107">
        <v>0.53</v>
      </c>
      <c r="J18" s="107">
        <v>0.53</v>
      </c>
      <c r="L18" s="109" t="s">
        <v>90</v>
      </c>
    </row>
    <row r="19" spans="2:12">
      <c r="B19" s="1" t="s">
        <v>16</v>
      </c>
      <c r="C19" s="9">
        <f>DATA!D4</f>
        <v>5053000</v>
      </c>
      <c r="D19" s="9">
        <f>DATA!C4</f>
        <v>4381000</v>
      </c>
      <c r="E19" s="9">
        <f>DATA!B4</f>
        <v>5673000</v>
      </c>
      <c r="F19" s="10">
        <f>F15*F20</f>
        <v>5785164.0000000009</v>
      </c>
      <c r="G19" s="10">
        <f t="shared" ref="G19:J19" si="5">G15*G20</f>
        <v>6363680.4000000013</v>
      </c>
      <c r="H19" s="10">
        <f t="shared" si="5"/>
        <v>7000048.4400000023</v>
      </c>
      <c r="I19" s="10">
        <f t="shared" si="5"/>
        <v>7700053.2840000028</v>
      </c>
      <c r="J19" s="10">
        <f t="shared" si="5"/>
        <v>8470058.6124000046</v>
      </c>
    </row>
    <row r="20" spans="2:12">
      <c r="B20" s="3" t="s">
        <v>15</v>
      </c>
      <c r="C20" s="13">
        <f>C19/C15</f>
        <v>0.42330568819636427</v>
      </c>
      <c r="D20" s="13">
        <f>D19/D15</f>
        <v>0.41396579419824248</v>
      </c>
      <c r="E20" s="13">
        <f>E19/E15</f>
        <v>0.45304264494489699</v>
      </c>
      <c r="F20" s="107">
        <v>0.42</v>
      </c>
      <c r="G20" s="107">
        <v>0.42</v>
      </c>
      <c r="H20" s="107">
        <v>0.42</v>
      </c>
      <c r="I20" s="107">
        <v>0.42</v>
      </c>
      <c r="J20" s="107">
        <v>0.42</v>
      </c>
    </row>
    <row r="22" spans="2:12">
      <c r="B22" s="79" t="s">
        <v>68</v>
      </c>
      <c r="C22" s="9">
        <f>DATA!D5</f>
        <v>985000</v>
      </c>
      <c r="D22" s="9">
        <f>DATA!C5</f>
        <v>862000</v>
      </c>
      <c r="E22" s="9">
        <f>DATA!B5</f>
        <v>1170000</v>
      </c>
      <c r="F22" s="87">
        <f>F19</f>
        <v>5785164.0000000009</v>
      </c>
      <c r="G22" s="87">
        <f t="shared" ref="G22:J22" si="6">G19</f>
        <v>6363680.4000000013</v>
      </c>
      <c r="H22" s="87">
        <f t="shared" si="6"/>
        <v>7000048.4400000023</v>
      </c>
      <c r="I22" s="87">
        <f t="shared" si="6"/>
        <v>7700053.2840000028</v>
      </c>
      <c r="J22" s="87">
        <f t="shared" si="6"/>
        <v>8470058.6124000046</v>
      </c>
    </row>
    <row r="23" spans="2:12">
      <c r="B23" s="79" t="s">
        <v>69</v>
      </c>
      <c r="C23" s="9">
        <f>DATA!D6</f>
        <v>3331000</v>
      </c>
      <c r="D23" s="9">
        <f>DATA!C6</f>
        <v>2765000</v>
      </c>
      <c r="E23" s="9">
        <f>DATA!B6</f>
        <v>3781000</v>
      </c>
      <c r="F23" s="87">
        <f>F22*F24</f>
        <v>-115703.28000000003</v>
      </c>
      <c r="G23" s="87">
        <f t="shared" ref="G23:J23" si="7">G22*G24</f>
        <v>-127273.60800000002</v>
      </c>
      <c r="H23" s="87">
        <f t="shared" si="7"/>
        <v>-140000.96880000006</v>
      </c>
      <c r="I23" s="87">
        <f t="shared" si="7"/>
        <v>-154001.06568000006</v>
      </c>
      <c r="J23" s="87">
        <f t="shared" si="7"/>
        <v>-169401.1722480001</v>
      </c>
    </row>
    <row r="24" spans="2:12">
      <c r="B24" s="49" t="s">
        <v>17</v>
      </c>
      <c r="C24" s="88">
        <f>C23/C22</f>
        <v>3.3817258883248731</v>
      </c>
      <c r="D24" s="88">
        <f t="shared" ref="D24:E24" si="8">D23/D22</f>
        <v>3.2076566125290022</v>
      </c>
      <c r="E24" s="88">
        <f t="shared" si="8"/>
        <v>3.2316239316239317</v>
      </c>
      <c r="F24" s="111">
        <v>-0.02</v>
      </c>
      <c r="G24" s="111">
        <v>-0.02</v>
      </c>
      <c r="H24" s="111">
        <v>-0.02</v>
      </c>
      <c r="I24" s="111">
        <v>-0.02</v>
      </c>
      <c r="J24" s="111">
        <v>-0.02</v>
      </c>
    </row>
    <row r="25" spans="2:12">
      <c r="B25" s="80" t="s">
        <v>18</v>
      </c>
      <c r="C25" s="81">
        <f>C19*(1-C24)</f>
        <v>-12034860.913705584</v>
      </c>
      <c r="D25" s="81">
        <f t="shared" ref="D25:J25" si="9">D19*(1-D24)</f>
        <v>-9671743.619489558</v>
      </c>
      <c r="E25" s="81">
        <f t="shared" si="9"/>
        <v>-12660002.564102564</v>
      </c>
      <c r="F25" s="81">
        <f t="shared" si="9"/>
        <v>5900867.2800000012</v>
      </c>
      <c r="G25" s="81">
        <f t="shared" si="9"/>
        <v>6490954.0080000013</v>
      </c>
      <c r="H25" s="81">
        <f t="shared" si="9"/>
        <v>7140049.4088000022</v>
      </c>
      <c r="I25" s="81">
        <f t="shared" si="9"/>
        <v>7854054.3496800028</v>
      </c>
      <c r="J25" s="81">
        <f t="shared" si="9"/>
        <v>8639459.7846480049</v>
      </c>
    </row>
    <row r="27" spans="2:12">
      <c r="B27" s="1" t="s">
        <v>19</v>
      </c>
      <c r="C27" s="10">
        <f>C17-C19</f>
        <v>1349000</v>
      </c>
      <c r="D27" s="10">
        <f>D17-D19</f>
        <v>1383000</v>
      </c>
      <c r="E27" s="10">
        <f t="shared" ref="E27:J27" si="10">E17-E19</f>
        <v>1420000</v>
      </c>
      <c r="F27" s="10">
        <f t="shared" si="10"/>
        <v>1515162</v>
      </c>
      <c r="G27" s="10">
        <f t="shared" si="10"/>
        <v>1666678.2000000011</v>
      </c>
      <c r="H27" s="10">
        <f t="shared" si="10"/>
        <v>1833346.0200000005</v>
      </c>
      <c r="I27" s="10">
        <f t="shared" si="10"/>
        <v>2016680.6220000004</v>
      </c>
      <c r="J27" s="10">
        <f t="shared" si="10"/>
        <v>2218348.6842000019</v>
      </c>
    </row>
    <row r="28" spans="2:12">
      <c r="B28" s="1" t="s">
        <v>20</v>
      </c>
      <c r="C28" s="10"/>
      <c r="D28" s="10">
        <f t="shared" ref="D28:J28" si="11">C34-D34</f>
        <v>-1295000</v>
      </c>
      <c r="E28" s="10">
        <f>D34-E34</f>
        <v>782000</v>
      </c>
      <c r="F28" s="10">
        <f t="shared" si="11"/>
        <v>-1114840.0000000005</v>
      </c>
      <c r="G28" s="10">
        <f t="shared" si="11"/>
        <v>-275484.00000000047</v>
      </c>
      <c r="H28" s="10">
        <f t="shared" si="11"/>
        <v>-303032.40000000037</v>
      </c>
      <c r="I28" s="10">
        <f t="shared" si="11"/>
        <v>-333335.64000000013</v>
      </c>
      <c r="J28" s="10">
        <f t="shared" si="11"/>
        <v>-366669.20400000084</v>
      </c>
    </row>
    <row r="29" spans="2:12">
      <c r="B29" s="1" t="s">
        <v>21</v>
      </c>
      <c r="C29" s="9">
        <f>DATA!D7*-1</f>
        <v>1657000</v>
      </c>
      <c r="D29" s="9">
        <f>DATA!C7*-1</f>
        <v>1626000</v>
      </c>
      <c r="E29" s="9">
        <f>DATA!B7*-1</f>
        <v>1791000</v>
      </c>
      <c r="F29" s="10">
        <f>-(F15*F30)</f>
        <v>1377420.0000000002</v>
      </c>
      <c r="G29" s="10">
        <f t="shared" ref="G29:J29" si="12">-(G15*G30)</f>
        <v>1515162.0000000005</v>
      </c>
      <c r="H29" s="10">
        <f t="shared" si="12"/>
        <v>1666678.2000000007</v>
      </c>
      <c r="I29" s="10">
        <f t="shared" si="12"/>
        <v>1833346.0200000007</v>
      </c>
      <c r="J29" s="10">
        <f t="shared" si="12"/>
        <v>2016680.6220000011</v>
      </c>
    </row>
    <row r="30" spans="2:12">
      <c r="B30" s="3" t="s">
        <v>22</v>
      </c>
      <c r="C30" s="13">
        <f>-(C29/C15)</f>
        <v>-0.13881209684175252</v>
      </c>
      <c r="D30" s="13">
        <v>0.01</v>
      </c>
      <c r="E30" s="13">
        <f t="shared" ref="E30" si="13">-(E29/E15)</f>
        <v>-0.1430282702443699</v>
      </c>
      <c r="F30" s="107">
        <v>-0.1</v>
      </c>
      <c r="G30" s="107">
        <v>-0.1</v>
      </c>
      <c r="H30" s="107">
        <v>-0.1</v>
      </c>
      <c r="I30" s="107">
        <v>-0.1</v>
      </c>
      <c r="J30" s="107">
        <v>-0.1</v>
      </c>
    </row>
    <row r="32" spans="2:12">
      <c r="B32" s="7" t="s">
        <v>23</v>
      </c>
      <c r="F32" s="11">
        <f>F25+F27+F28+F29</f>
        <v>7678609.2800000012</v>
      </c>
      <c r="G32" s="11">
        <f t="shared" ref="G32:J32" si="14">G25+G27+G28+G29</f>
        <v>9397310.2080000024</v>
      </c>
      <c r="H32" s="11">
        <f t="shared" si="14"/>
        <v>10337041.228800002</v>
      </c>
      <c r="I32" s="11">
        <f t="shared" si="14"/>
        <v>11370745.351680005</v>
      </c>
      <c r="J32" s="11">
        <f t="shared" si="14"/>
        <v>12507819.886848006</v>
      </c>
    </row>
    <row r="33" spans="2:10">
      <c r="B33" s="7"/>
      <c r="F33" s="11"/>
      <c r="G33" s="11"/>
      <c r="H33" s="11"/>
      <c r="I33" s="11"/>
      <c r="J33" s="11"/>
    </row>
    <row r="34" spans="2:10">
      <c r="B34" s="1" t="s">
        <v>24</v>
      </c>
      <c r="C34" s="9">
        <f>DATA!D8</f>
        <v>1127000</v>
      </c>
      <c r="D34" s="9">
        <f>DATA!C8</f>
        <v>2422000</v>
      </c>
      <c r="E34" s="9">
        <f>DATA!B8</f>
        <v>1640000</v>
      </c>
      <c r="F34" s="10">
        <f>F15*F35</f>
        <v>2754840.0000000005</v>
      </c>
      <c r="G34" s="10">
        <f>G15*G35</f>
        <v>3030324.0000000009</v>
      </c>
      <c r="H34" s="10">
        <f>H15*H35</f>
        <v>3333356.4000000013</v>
      </c>
      <c r="I34" s="10">
        <f>I15*I35</f>
        <v>3666692.0400000014</v>
      </c>
      <c r="J34" s="10">
        <f>J15*J35</f>
        <v>4033361.2440000023</v>
      </c>
    </row>
    <row r="35" spans="2:10">
      <c r="B35" s="3" t="s">
        <v>22</v>
      </c>
      <c r="C35" s="13">
        <f>C34/C15</f>
        <v>9.4412331406551059E-2</v>
      </c>
      <c r="D35" s="13">
        <f>D34/D15</f>
        <v>0.22885760181423037</v>
      </c>
      <c r="E35" s="13">
        <f>E34/E15</f>
        <v>0.13096949369110367</v>
      </c>
      <c r="F35" s="107">
        <v>0.2</v>
      </c>
      <c r="G35" s="107">
        <v>0.2</v>
      </c>
      <c r="H35" s="107">
        <v>0.2</v>
      </c>
      <c r="I35" s="107">
        <v>0.2</v>
      </c>
      <c r="J35" s="107">
        <v>0.2</v>
      </c>
    </row>
    <row r="36" spans="2:10" ht="15.75" customHeight="1">
      <c r="B36" s="3"/>
      <c r="F36" s="35"/>
      <c r="G36" s="35"/>
      <c r="H36" s="35"/>
      <c r="I36" s="35"/>
      <c r="J36" s="35"/>
    </row>
    <row r="37" spans="2:10">
      <c r="B37" s="1" t="s">
        <v>60</v>
      </c>
      <c r="C37" s="19">
        <f>YEARFRAC($G$8,C8)</f>
        <v>0.77777777777777779</v>
      </c>
      <c r="E37" s="38"/>
      <c r="F37" s="10">
        <f>F32*C37</f>
        <v>5972251.6622222234</v>
      </c>
      <c r="G37" s="10">
        <f>G32</f>
        <v>9397310.2080000024</v>
      </c>
      <c r="H37" s="10">
        <f>H32</f>
        <v>10337041.228800002</v>
      </c>
      <c r="I37" s="10">
        <f>I32</f>
        <v>11370745.351680005</v>
      </c>
      <c r="J37" s="10">
        <f>J32</f>
        <v>12507819.886848006</v>
      </c>
    </row>
    <row r="38" spans="2:10">
      <c r="B38" s="7" t="s">
        <v>25</v>
      </c>
      <c r="C38" s="19"/>
      <c r="E38" s="6"/>
      <c r="F38" s="11">
        <f>F37/(1+$G$5)^((F13-$G$8)/365)</f>
        <v>5423579.5232928693</v>
      </c>
      <c r="G38" s="11">
        <f>G37/(1+$G$5)^((G13-$G$8)/365)</f>
        <v>7543127.2409059834</v>
      </c>
      <c r="H38" s="11">
        <f>H37/(1+$G$5)^((H13-$G$8)/365)</f>
        <v>7331574.0836251639</v>
      </c>
      <c r="I38" s="11">
        <f>I37/(1+$G$5)^((I13-$G$8)/365)</f>
        <v>7128364.0370859355</v>
      </c>
      <c r="J38" s="11">
        <f>J37/(1+$G$5)^((J13-$G$8)/365)</f>
        <v>6930786.3857927276</v>
      </c>
    </row>
    <row r="39" spans="2:10">
      <c r="B39" s="18"/>
    </row>
    <row r="40" spans="2:10">
      <c r="B40" s="15" t="s">
        <v>26</v>
      </c>
      <c r="C40" s="15"/>
      <c r="D40" s="15"/>
      <c r="E40" s="15"/>
      <c r="F40" s="15"/>
      <c r="G40" s="15"/>
      <c r="H40" s="15"/>
      <c r="I40" s="15"/>
      <c r="J40" s="15"/>
    </row>
    <row r="41" spans="2:10">
      <c r="B41" s="17"/>
      <c r="C41" s="17"/>
      <c r="D41" s="17"/>
      <c r="E41" s="17"/>
      <c r="F41" s="17"/>
      <c r="G41" s="17"/>
      <c r="H41" s="17"/>
      <c r="I41" s="17"/>
      <c r="J41" s="17"/>
    </row>
    <row r="42" spans="2:10">
      <c r="B42" s="26" t="s">
        <v>27</v>
      </c>
      <c r="C42" s="27"/>
      <c r="D42" s="17"/>
      <c r="E42" s="17"/>
      <c r="F42" s="24" t="s">
        <v>28</v>
      </c>
      <c r="G42" s="27"/>
      <c r="H42" s="27"/>
      <c r="I42" s="27"/>
      <c r="J42" s="17"/>
    </row>
    <row r="43" spans="2:10">
      <c r="B43" s="1" t="s">
        <v>29</v>
      </c>
      <c r="C43" s="14">
        <v>0.03</v>
      </c>
      <c r="F43" s="1" t="s">
        <v>30</v>
      </c>
      <c r="I43" s="10">
        <f>J17</f>
        <v>10688407.296600007</v>
      </c>
    </row>
    <row r="44" spans="2:10">
      <c r="B44" s="1" t="s">
        <v>31</v>
      </c>
      <c r="C44" s="10">
        <f>J32*(1+C43)</f>
        <v>12883054.483453447</v>
      </c>
      <c r="D44" s="20"/>
      <c r="F44" s="1" t="s">
        <v>32</v>
      </c>
      <c r="I44" s="21">
        <v>60</v>
      </c>
    </row>
    <row r="45" spans="2:10">
      <c r="B45" s="1" t="s">
        <v>33</v>
      </c>
      <c r="C45" s="10">
        <f>(C44)/(G5-C43)</f>
        <v>127104499.30612369</v>
      </c>
      <c r="F45" s="1" t="s">
        <v>26</v>
      </c>
      <c r="I45" s="10">
        <f>I43*I44</f>
        <v>641304437.79600036</v>
      </c>
    </row>
    <row r="46" spans="2:10">
      <c r="B46" s="1" t="s">
        <v>34</v>
      </c>
      <c r="C46" s="22">
        <f>C45/(1+$G$5)^(($J$13-$G$8)/365)</f>
        <v>70430669.879583657</v>
      </c>
      <c r="F46" s="1" t="s">
        <v>34</v>
      </c>
      <c r="I46" s="10">
        <f>I45/(1+$G$5)^(($J$13-$G$8)/365)</f>
        <v>355357217.07174838</v>
      </c>
    </row>
    <row r="47" spans="2:10">
      <c r="B47" s="1" t="s">
        <v>35</v>
      </c>
      <c r="C47" s="10">
        <f>SUM(F38:J38)</f>
        <v>34357431.270702675</v>
      </c>
      <c r="F47" s="1" t="s">
        <v>35</v>
      </c>
      <c r="I47" s="10">
        <f>C47</f>
        <v>34357431.270702675</v>
      </c>
    </row>
    <row r="48" spans="2:10">
      <c r="B48" s="1" t="s">
        <v>36</v>
      </c>
      <c r="C48" s="22">
        <f>SUM(C46:C47)</f>
        <v>104788101.15028633</v>
      </c>
      <c r="F48" s="1" t="s">
        <v>36</v>
      </c>
      <c r="I48" s="10">
        <f>SUM(I46:I47)</f>
        <v>389714648.34245104</v>
      </c>
    </row>
    <row r="50" spans="2:14">
      <c r="B50" s="24" t="s">
        <v>37</v>
      </c>
      <c r="C50" s="34"/>
      <c r="F50" s="83"/>
      <c r="H50" s="83"/>
      <c r="I50" s="83"/>
    </row>
    <row r="51" spans="2:14">
      <c r="B51" s="1" t="s">
        <v>38</v>
      </c>
      <c r="C51" s="9">
        <v>5000000</v>
      </c>
      <c r="F51" s="84"/>
      <c r="G51" s="84"/>
      <c r="H51" s="84"/>
      <c r="I51" s="85"/>
    </row>
    <row r="52" spans="2:14">
      <c r="B52" s="1" t="s">
        <v>39</v>
      </c>
      <c r="C52" s="9">
        <v>4000000</v>
      </c>
      <c r="F52" s="83"/>
      <c r="H52" s="83"/>
      <c r="I52" s="85"/>
    </row>
    <row r="53" spans="2:14">
      <c r="B53" s="109" t="s">
        <v>95</v>
      </c>
      <c r="C53" s="9">
        <v>11000000</v>
      </c>
      <c r="F53" s="83"/>
      <c r="H53" s="83"/>
      <c r="I53" s="85"/>
      <c r="L53" s="83"/>
      <c r="M53" s="83"/>
      <c r="N53" s="83"/>
    </row>
    <row r="54" spans="2:14">
      <c r="B54" s="1" t="s">
        <v>42</v>
      </c>
      <c r="C54" s="10">
        <f>SUM(C51:C52) - SUM(C53:C53)</f>
        <v>-2000000</v>
      </c>
      <c r="F54" s="83"/>
      <c r="G54" s="83"/>
      <c r="I54" s="85"/>
    </row>
    <row r="55" spans="2:14">
      <c r="F55" s="83"/>
      <c r="G55" s="83"/>
      <c r="I55" s="85"/>
    </row>
    <row r="56" spans="2:14">
      <c r="B56" s="24" t="s">
        <v>43</v>
      </c>
      <c r="C56" s="23" t="s">
        <v>44</v>
      </c>
      <c r="D56" s="23" t="s">
        <v>14</v>
      </c>
      <c r="F56" s="83"/>
      <c r="G56" s="83"/>
      <c r="H56" s="83"/>
    </row>
    <row r="57" spans="2:14">
      <c r="B57" s="1" t="s">
        <v>45</v>
      </c>
      <c r="C57" s="22">
        <f>C48</f>
        <v>104788101.15028633</v>
      </c>
      <c r="D57" s="10">
        <f>I48</f>
        <v>389714648.34245104</v>
      </c>
    </row>
    <row r="58" spans="2:14">
      <c r="B58" s="1" t="s">
        <v>42</v>
      </c>
      <c r="C58" s="10">
        <f>$C$54</f>
        <v>-2000000</v>
      </c>
      <c r="D58" s="10">
        <f>$C$54</f>
        <v>-2000000</v>
      </c>
    </row>
    <row r="59" spans="2:14">
      <c r="B59" s="1" t="s">
        <v>46</v>
      </c>
      <c r="C59" s="22">
        <f>C57-C58</f>
        <v>106788101.15028633</v>
      </c>
      <c r="D59" s="22">
        <f>D57-D58</f>
        <v>391714648.34245104</v>
      </c>
    </row>
    <row r="60" spans="2:14">
      <c r="B60" s="1" t="s">
        <v>47</v>
      </c>
      <c r="C60" s="9">
        <v>2490000</v>
      </c>
      <c r="D60" s="9">
        <v>2490000</v>
      </c>
    </row>
    <row r="61" spans="2:14">
      <c r="B61" s="1" t="s">
        <v>61</v>
      </c>
      <c r="C61" s="39">
        <f>C59/C60</f>
        <v>42.886787610556759</v>
      </c>
      <c r="D61" s="39">
        <f>D59/D60</f>
        <v>157.31511981624539</v>
      </c>
    </row>
    <row r="62" spans="2:14">
      <c r="B62" s="1" t="s">
        <v>48</v>
      </c>
      <c r="C62" s="13">
        <f>C61/$G$6-1</f>
        <v>0.16350481851754628</v>
      </c>
      <c r="D62" s="13">
        <f>D61/$G$6-1</f>
        <v>3.2679088392904339</v>
      </c>
    </row>
    <row r="64" spans="2:14">
      <c r="B64" s="45" t="s">
        <v>62</v>
      </c>
      <c r="C64" s="40"/>
      <c r="D64" s="40"/>
      <c r="E64" s="40"/>
      <c r="F64" s="40"/>
      <c r="G64" s="40"/>
      <c r="H64" s="40"/>
      <c r="I64" s="40"/>
      <c r="J64" s="40"/>
    </row>
    <row r="66" spans="2:10" ht="17.399999999999999">
      <c r="B66" s="40"/>
      <c r="D66" s="53" t="s">
        <v>63</v>
      </c>
      <c r="E66" s="46"/>
      <c r="F66" s="46"/>
      <c r="G66" s="46"/>
      <c r="H66" s="46"/>
      <c r="I66" s="46"/>
    </row>
    <row r="67" spans="2:10" ht="15.6">
      <c r="B67" s="40"/>
      <c r="D67" s="47"/>
      <c r="E67" s="52" t="s">
        <v>64</v>
      </c>
      <c r="F67" s="48"/>
      <c r="G67" s="48"/>
      <c r="H67" s="48"/>
      <c r="I67" s="48"/>
    </row>
    <row r="68" spans="2:10">
      <c r="B68" s="40"/>
      <c r="D68" s="65">
        <f>C61</f>
        <v>42.886787610556759</v>
      </c>
      <c r="E68" s="66">
        <f>F68-0.005</f>
        <v>1.9999999999999997E-2</v>
      </c>
      <c r="F68" s="66">
        <f>G68-0.005</f>
        <v>2.4999999999999998E-2</v>
      </c>
      <c r="G68" s="67">
        <f>C43</f>
        <v>0.03</v>
      </c>
      <c r="H68" s="66">
        <f>G68+0.005</f>
        <v>3.4999999999999996E-2</v>
      </c>
      <c r="I68" s="68">
        <f>H68+0.005</f>
        <v>3.9999999999999994E-2</v>
      </c>
    </row>
    <row r="69" spans="2:10">
      <c r="B69" s="40"/>
      <c r="D69" s="63">
        <f>D70+0.005</f>
        <v>0.14135797358695676</v>
      </c>
      <c r="E69" s="56">
        <f t="dataTable" ref="E69:I73" dt2D="1" dtr="1" r1="C43" r2="G5" ca="1"/>
        <v>36.689814663179355</v>
      </c>
      <c r="F69" s="56">
        <v>35.696648087000817</v>
      </c>
      <c r="G69" s="56">
        <v>35.696648087000817</v>
      </c>
      <c r="H69" s="56">
        <v>36.689814663179355</v>
      </c>
      <c r="I69" s="72">
        <v>38.943708335233651</v>
      </c>
    </row>
    <row r="70" spans="2:10">
      <c r="B70" s="40"/>
      <c r="D70" s="63">
        <f>D71+0.005</f>
        <v>0.13635797358695675</v>
      </c>
      <c r="E70" s="56">
        <v>35.190588779186648</v>
      </c>
      <c r="F70" s="56">
        <v>34.288080202544826</v>
      </c>
      <c r="G70" s="56">
        <v>34.288080202544826</v>
      </c>
      <c r="H70" s="56">
        <v>35.190588779186648</v>
      </c>
      <c r="I70" s="72">
        <v>37.228295248591969</v>
      </c>
    </row>
    <row r="71" spans="2:10">
      <c r="B71" s="40"/>
      <c r="C71" s="50" t="s">
        <v>65</v>
      </c>
      <c r="D71" s="77">
        <f>G5</f>
        <v>0.13135797358695675</v>
      </c>
      <c r="E71" s="56">
        <v>35.190588779186648</v>
      </c>
      <c r="F71" s="56">
        <v>34.288080202544826</v>
      </c>
      <c r="G71" s="57">
        <v>34.288080202544826</v>
      </c>
      <c r="H71" s="56">
        <v>35.190588779186648</v>
      </c>
      <c r="I71" s="72">
        <v>37.228295248591969</v>
      </c>
    </row>
    <row r="72" spans="2:10">
      <c r="B72" s="40"/>
      <c r="D72" s="63">
        <f>D71-0.005</f>
        <v>0.12635797358695675</v>
      </c>
      <c r="E72" s="56">
        <v>36.689814663179355</v>
      </c>
      <c r="F72" s="56">
        <v>35.696648087000817</v>
      </c>
      <c r="G72" s="56">
        <v>35.696648087000817</v>
      </c>
      <c r="H72" s="56">
        <v>36.689814663179355</v>
      </c>
      <c r="I72" s="72">
        <v>38.943708335233651</v>
      </c>
    </row>
    <row r="73" spans="2:10">
      <c r="B73" s="40"/>
      <c r="D73" s="64">
        <f>D72-0.005</f>
        <v>0.12135797358695674</v>
      </c>
      <c r="E73" s="71">
        <v>40.096789109583561</v>
      </c>
      <c r="F73" s="71">
        <v>38.881622732704564</v>
      </c>
      <c r="G73" s="71">
        <v>38.881622732704564</v>
      </c>
      <c r="H73" s="71">
        <v>40.096789109583561</v>
      </c>
      <c r="I73" s="73">
        <v>42.886787610556759</v>
      </c>
    </row>
    <row r="74" spans="2:10">
      <c r="B74" s="55" t="s">
        <v>66</v>
      </c>
    </row>
    <row r="75" spans="2:10" ht="17.399999999999999">
      <c r="B75" s="40"/>
      <c r="D75" s="53" t="s">
        <v>63</v>
      </c>
      <c r="E75" s="46"/>
      <c r="F75" s="46"/>
      <c r="G75" s="46"/>
      <c r="H75" s="46"/>
      <c r="I75" s="46"/>
    </row>
    <row r="76" spans="2:10" ht="15.6">
      <c r="B76" s="40"/>
      <c r="D76" s="47"/>
      <c r="E76" s="52" t="s">
        <v>67</v>
      </c>
      <c r="F76" s="48"/>
      <c r="G76" s="48"/>
      <c r="H76" s="48"/>
      <c r="I76" s="48"/>
    </row>
    <row r="77" spans="2:10">
      <c r="B77" s="40"/>
      <c r="D77" s="51">
        <f>D61</f>
        <v>157.31511981624539</v>
      </c>
      <c r="E77" s="60">
        <f>F77-0.5</f>
        <v>59</v>
      </c>
      <c r="F77" s="60">
        <f>G77-0.5</f>
        <v>59.5</v>
      </c>
      <c r="G77" s="61">
        <f>I44</f>
        <v>60</v>
      </c>
      <c r="H77" s="60">
        <f>G77+0.5</f>
        <v>60.5</v>
      </c>
      <c r="I77" s="62">
        <f>H77+0.5</f>
        <v>61</v>
      </c>
      <c r="J77" s="25"/>
    </row>
    <row r="78" spans="2:10">
      <c r="B78" s="40"/>
      <c r="D78" s="58">
        <f>D79+0.005</f>
        <v>0.14135797358695676</v>
      </c>
      <c r="E78" s="69">
        <f t="dataTable" ref="E78:I82" dt2D="1" dtr="1" r1="I44" r2="G5" ca="1"/>
        <v>148.80988919099832</v>
      </c>
      <c r="F78" s="69">
        <v>147.66963267438987</v>
      </c>
      <c r="G78" s="69">
        <v>147.66963267438987</v>
      </c>
      <c r="H78" s="69">
        <v>148.80988919099832</v>
      </c>
      <c r="I78" s="74">
        <v>151.09040222421521</v>
      </c>
    </row>
    <row r="79" spans="2:10">
      <c r="B79" s="40"/>
      <c r="D79" s="58">
        <f>D80+0.005</f>
        <v>0.13635797358695675</v>
      </c>
      <c r="E79" s="69">
        <v>145.85979443365233</v>
      </c>
      <c r="F79" s="69">
        <v>144.74313291451978</v>
      </c>
      <c r="G79" s="69">
        <v>144.74313291451978</v>
      </c>
      <c r="H79" s="69">
        <v>145.85979443365233</v>
      </c>
      <c r="I79" s="74">
        <v>148.09311747191737</v>
      </c>
    </row>
    <row r="80" spans="2:10">
      <c r="B80" s="40"/>
      <c r="C80" s="50" t="s">
        <v>65</v>
      </c>
      <c r="D80" s="59">
        <f>G5</f>
        <v>0.13135797358695675</v>
      </c>
      <c r="E80" s="69">
        <v>145.85979443365233</v>
      </c>
      <c r="F80" s="69">
        <v>144.74313291451978</v>
      </c>
      <c r="G80" s="70">
        <v>144.74313291451978</v>
      </c>
      <c r="H80" s="69">
        <v>145.85979443365233</v>
      </c>
      <c r="I80" s="74">
        <v>148.09311747191737</v>
      </c>
    </row>
    <row r="81" spans="2:9">
      <c r="B81" s="40"/>
      <c r="D81" s="58">
        <f>D80-0.005</f>
        <v>0.12635797358695675</v>
      </c>
      <c r="E81" s="69">
        <v>148.80988919099832</v>
      </c>
      <c r="F81" s="69">
        <v>147.66963267438987</v>
      </c>
      <c r="G81" s="69">
        <v>147.66963267438987</v>
      </c>
      <c r="H81" s="69">
        <v>148.80988919099832</v>
      </c>
      <c r="I81" s="74">
        <v>151.09040222421521</v>
      </c>
    </row>
    <row r="82" spans="2:9">
      <c r="B82" s="40"/>
      <c r="D82" s="54">
        <f>D81-0.005</f>
        <v>0.12135797358695674</v>
      </c>
      <c r="E82" s="75">
        <v>154.93655745298071</v>
      </c>
      <c r="F82" s="75">
        <v>153.74727627134834</v>
      </c>
      <c r="G82" s="75">
        <v>153.74727627134834</v>
      </c>
      <c r="H82" s="75">
        <v>154.93655745298071</v>
      </c>
      <c r="I82" s="76">
        <v>157.31511981624539</v>
      </c>
    </row>
    <row r="83" spans="2:9">
      <c r="D83" s="25"/>
    </row>
    <row r="85" spans="2:9">
      <c r="D85" s="49"/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1A00-DB94-4A9E-8399-BF29E84BD1F6}">
  <dimension ref="B1:J20"/>
  <sheetViews>
    <sheetView topLeftCell="A4" zoomScale="112" workbookViewId="0">
      <selection activeCell="E16" sqref="E16"/>
    </sheetView>
  </sheetViews>
  <sheetFormatPr defaultColWidth="8.796875" defaultRowHeight="14.4"/>
  <cols>
    <col min="1" max="1" width="1.5" style="1" customWidth="1"/>
    <col min="2" max="4" width="8.796875" style="1"/>
    <col min="5" max="5" width="12.19921875" style="1" customWidth="1"/>
    <col min="6" max="6" width="12" style="1" bestFit="1" customWidth="1"/>
    <col min="7" max="10" width="8.796875" style="1"/>
    <col min="11" max="11" width="1.5" style="1" customWidth="1"/>
    <col min="12" max="16384" width="8.796875" style="1"/>
  </cols>
  <sheetData>
    <row r="1" spans="2:10">
      <c r="B1" s="15" t="s">
        <v>49</v>
      </c>
      <c r="C1" s="16"/>
      <c r="D1" s="16"/>
      <c r="E1" s="16"/>
      <c r="F1" s="16"/>
      <c r="G1" s="16"/>
      <c r="H1" s="16"/>
      <c r="I1" s="16"/>
      <c r="J1" s="16"/>
    </row>
    <row r="2" spans="2:10">
      <c r="B2" s="2" t="s">
        <v>50</v>
      </c>
    </row>
    <row r="4" spans="2:10">
      <c r="B4" s="7" t="s">
        <v>51</v>
      </c>
      <c r="C4" s="4"/>
      <c r="F4" s="7"/>
    </row>
    <row r="5" spans="2:10">
      <c r="B5" s="1" t="s">
        <v>52</v>
      </c>
      <c r="C5" s="4"/>
      <c r="F5" s="36">
        <v>3.5518000000000001E-2</v>
      </c>
      <c r="G5" s="8"/>
      <c r="I5" s="7"/>
    </row>
    <row r="6" spans="2:10">
      <c r="B6" s="1" t="s">
        <v>17</v>
      </c>
      <c r="C6" s="5"/>
      <c r="F6" s="14">
        <v>0.21</v>
      </c>
      <c r="G6" s="5"/>
    </row>
    <row r="7" spans="2:10">
      <c r="B7" s="1" t="s">
        <v>53</v>
      </c>
      <c r="C7" s="6"/>
      <c r="F7" s="37">
        <f>F5*(1-F6)</f>
        <v>2.8059220000000003E-2</v>
      </c>
      <c r="G7" s="5"/>
    </row>
    <row r="9" spans="2:10">
      <c r="B9" s="1" t="s">
        <v>54</v>
      </c>
      <c r="F9" s="36">
        <f>DATA!F6</f>
        <v>2.315E-2</v>
      </c>
    </row>
    <row r="10" spans="2:10">
      <c r="B10" s="1" t="s">
        <v>55</v>
      </c>
      <c r="F10" s="41">
        <f>DATA!F5</f>
        <v>1.22</v>
      </c>
    </row>
    <row r="11" spans="2:10">
      <c r="B11" s="1" t="s">
        <v>56</v>
      </c>
      <c r="F11" s="36">
        <v>0.11</v>
      </c>
    </row>
    <row r="12" spans="2:10">
      <c r="B12" s="1" t="s">
        <v>57</v>
      </c>
      <c r="F12" s="37">
        <f>F9+(F10*(F11-F9))</f>
        <v>0.129107</v>
      </c>
    </row>
    <row r="14" spans="2:10">
      <c r="B14" s="7" t="s">
        <v>58</v>
      </c>
      <c r="F14" s="7"/>
      <c r="G14" s="7"/>
    </row>
    <row r="15" spans="2:10">
      <c r="B15" s="1" t="s">
        <v>59</v>
      </c>
      <c r="E15" s="44">
        <f>DCF!G6*DCF!C60</f>
        <v>91781400</v>
      </c>
      <c r="F15" s="42">
        <f>E15/(E15+E16)</f>
        <v>1.0222763289500942</v>
      </c>
    </row>
    <row r="16" spans="2:10">
      <c r="B16" s="1" t="s">
        <v>37</v>
      </c>
      <c r="E16" s="44">
        <f>DCF!C54</f>
        <v>-2000000</v>
      </c>
      <c r="F16" s="42">
        <f>E16/(E16+E15)</f>
        <v>-2.2276328950094341E-2</v>
      </c>
    </row>
    <row r="17" spans="2:10">
      <c r="F17" s="7"/>
    </row>
    <row r="18" spans="2:10">
      <c r="B18" s="7" t="s">
        <v>2</v>
      </c>
      <c r="F18" s="19">
        <f>F7*F16+F12*F15</f>
        <v>0.13135797358695675</v>
      </c>
    </row>
    <row r="20" spans="2:10">
      <c r="B20" s="15"/>
      <c r="C20" s="16"/>
      <c r="D20" s="16"/>
      <c r="E20" s="16"/>
      <c r="F20" s="16"/>
      <c r="G20" s="16"/>
      <c r="H20" s="16"/>
      <c r="I20" s="16"/>
      <c r="J2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DCF</vt:lpstr>
      <vt:lpstr>WACC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Stephen Moores</cp:lastModifiedBy>
  <cp:revision/>
  <dcterms:created xsi:type="dcterms:W3CDTF">2021-05-18T20:04:47Z</dcterms:created>
  <dcterms:modified xsi:type="dcterms:W3CDTF">2022-03-22T00:53:03Z</dcterms:modified>
  <cp:category/>
  <cp:contentStatus/>
</cp:coreProperties>
</file>