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ownloads\SPRING SEMESTER 2021-2022\PYTHON\GitHub\steveproject\PANDAS PROJ\"/>
    </mc:Choice>
  </mc:AlternateContent>
  <xr:revisionPtr revIDLastSave="0" documentId="13_ncr:1_{D3FA31DC-322A-4588-B5C2-EA76B5F5B8E6}" xr6:coauthVersionLast="47" xr6:coauthVersionMax="47" xr10:uidLastSave="{00000000-0000-0000-0000-000000000000}"/>
  <bookViews>
    <workbookView xWindow="-120" yWindow="-120" windowWidth="29040" windowHeight="15840" activeTab="1" xr2:uid="{38F17426-425A-4946-BB5F-3622334B00E1}"/>
  </bookViews>
  <sheets>
    <sheet name="DATA" sheetId="6" r:id="rId1"/>
    <sheet name="DATA_COMPS" sheetId="9" r:id="rId2"/>
    <sheet name="DCF" sheetId="1" r:id="rId3"/>
    <sheet name="WACC" sheetId="8" r:id="rId4"/>
    <sheet name="COMPS" sheetId="2" r:id="rId5"/>
  </sheets>
  <definedNames>
    <definedName name="CIQWBGuid" hidden="1">"29e17706-b655-497a-b951-dd160e2824ac"</definedName>
    <definedName name="CIQWBInfo" hidden="1">"{ ""CIQVersion"":""9.48.1616.5174""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44651.1399421296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4" i="1" l="1"/>
  <c r="G5" i="1"/>
  <c r="C43" i="1"/>
  <c r="B4" i="2" a="1"/>
  <c r="B4" i="2" s="1"/>
  <c r="B22" i="2" s="1" a="1"/>
  <c r="B22" i="2" s="1"/>
  <c r="B3" i="2" a="1"/>
  <c r="B3" i="2" s="1"/>
  <c r="B18" i="2" l="1" a="1"/>
  <c r="B18" i="2" s="1"/>
  <c r="C17" i="2" a="1"/>
  <c r="C17" i="2" s="1"/>
  <c r="I21" i="2" a="1"/>
  <c r="I21" i="2" s="1"/>
  <c r="D17" i="2" a="1"/>
  <c r="D17" i="2" s="1"/>
  <c r="L17" i="2" a="1"/>
  <c r="L17" i="2" s="1"/>
  <c r="J21" i="2" a="1"/>
  <c r="J21" i="2" s="1"/>
  <c r="J17" i="2" a="1"/>
  <c r="J17" i="2" s="1"/>
  <c r="K17" i="2" a="1"/>
  <c r="K17" i="2" s="1"/>
  <c r="E17" i="2" a="1"/>
  <c r="E17" i="2" s="1"/>
  <c r="C21" i="2" a="1"/>
  <c r="C21" i="2" s="1"/>
  <c r="K21" i="2" a="1"/>
  <c r="K21" i="2" s="1"/>
  <c r="D21" i="2" a="1"/>
  <c r="D21" i="2" s="1"/>
  <c r="L21" i="2" a="1"/>
  <c r="L21" i="2" s="1"/>
  <c r="G17" i="2" a="1"/>
  <c r="G17" i="2" s="1"/>
  <c r="E21" i="2" a="1"/>
  <c r="E21" i="2" s="1"/>
  <c r="H21" i="2" a="1"/>
  <c r="H21" i="2" s="1"/>
  <c r="F17" i="2" a="1"/>
  <c r="F17" i="2" s="1"/>
  <c r="H17" i="2" a="1"/>
  <c r="H17" i="2" s="1"/>
  <c r="F21" i="2" a="1"/>
  <c r="F21" i="2" s="1"/>
  <c r="I17" i="2" a="1"/>
  <c r="I17" i="2" s="1"/>
  <c r="G21" i="2" a="1"/>
  <c r="G21" i="2" s="1"/>
  <c r="F5" i="8"/>
  <c r="F9" i="8"/>
  <c r="F10" i="8"/>
  <c r="F12" i="8" s="1"/>
  <c r="B3" i="1"/>
  <c r="C6" i="1"/>
  <c r="G6" i="1"/>
  <c r="C7" i="1"/>
  <c r="E13" i="1" s="1"/>
  <c r="G7" i="1"/>
  <c r="G8" i="1" s="1"/>
  <c r="C13" i="1"/>
  <c r="D13" i="1"/>
  <c r="C15" i="1"/>
  <c r="D15" i="1"/>
  <c r="E15" i="1"/>
  <c r="C17" i="1"/>
  <c r="C27" i="1" s="1"/>
  <c r="D17" i="1"/>
  <c r="D18" i="1" s="1"/>
  <c r="E17" i="1"/>
  <c r="E18" i="1" s="1"/>
  <c r="C18" i="1"/>
  <c r="F18" i="1" s="1"/>
  <c r="C19" i="1"/>
  <c r="D19" i="1"/>
  <c r="E19" i="1"/>
  <c r="E20" i="1" s="1"/>
  <c r="C22" i="1"/>
  <c r="D22" i="1"/>
  <c r="E22" i="1"/>
  <c r="C23" i="1"/>
  <c r="C24" i="1" s="1"/>
  <c r="D23" i="1"/>
  <c r="E23" i="1"/>
  <c r="C34" i="1"/>
  <c r="C35" i="1" s="1"/>
  <c r="D34" i="1"/>
  <c r="E28" i="1" s="1"/>
  <c r="E34" i="1"/>
  <c r="C29" i="1"/>
  <c r="D29" i="1"/>
  <c r="E29" i="1"/>
  <c r="E30" i="1"/>
  <c r="G78" i="1"/>
  <c r="C51" i="1"/>
  <c r="C52" i="1"/>
  <c r="C53" i="1"/>
  <c r="C61" i="1"/>
  <c r="D61" i="1"/>
  <c r="G69" i="1"/>
  <c r="F69" i="1" s="1"/>
  <c r="E69" i="1" s="1"/>
  <c r="E16" i="1" l="1"/>
  <c r="D20" i="1"/>
  <c r="C30" i="1"/>
  <c r="F30" i="1" s="1"/>
  <c r="C20" i="1"/>
  <c r="E12" i="1"/>
  <c r="D12" i="1" s="1"/>
  <c r="C12" i="1" s="1"/>
  <c r="F13" i="1"/>
  <c r="G13" i="1" s="1"/>
  <c r="H13" i="1" s="1"/>
  <c r="I13" i="1" s="1"/>
  <c r="J13" i="1" s="1"/>
  <c r="E27" i="1"/>
  <c r="G30" i="1"/>
  <c r="H30" i="1" s="1"/>
  <c r="I30" i="1" s="1"/>
  <c r="D27" i="1"/>
  <c r="D16" i="1"/>
  <c r="F16" i="1" s="1"/>
  <c r="E24" i="1"/>
  <c r="C54" i="1"/>
  <c r="E16" i="8" s="1"/>
  <c r="F16" i="8" s="1"/>
  <c r="D28" i="1"/>
  <c r="D24" i="1"/>
  <c r="F24" i="1" s="1"/>
  <c r="G24" i="1" s="1"/>
  <c r="E15" i="8"/>
  <c r="F15" i="8" s="1"/>
  <c r="F20" i="1"/>
  <c r="G18" i="1"/>
  <c r="H18" i="1" s="1"/>
  <c r="D59" i="1"/>
  <c r="E25" i="1"/>
  <c r="F78" i="1"/>
  <c r="E78" i="1" s="1"/>
  <c r="H78" i="1"/>
  <c r="I78" i="1" s="1"/>
  <c r="C25" i="1"/>
  <c r="E35" i="1"/>
  <c r="D35" i="1"/>
  <c r="F35" i="1" s="1"/>
  <c r="H69" i="1"/>
  <c r="I69" i="1" s="1"/>
  <c r="H20" i="1" l="1"/>
  <c r="C59" i="1"/>
  <c r="G20" i="1"/>
  <c r="I18" i="1"/>
  <c r="J18" i="1" s="1"/>
  <c r="C8" i="1"/>
  <c r="C37" i="1" s="1"/>
  <c r="F12" i="1"/>
  <c r="G12" i="1" s="1"/>
  <c r="H12" i="1" s="1"/>
  <c r="I12" i="1" s="1"/>
  <c r="J12" i="1" s="1"/>
  <c r="D25" i="1"/>
  <c r="F6" i="8"/>
  <c r="F7" i="8" s="1"/>
  <c r="F18" i="8" s="1"/>
  <c r="G35" i="1"/>
  <c r="H35" i="1" s="1"/>
  <c r="G16" i="1"/>
  <c r="F15" i="1"/>
  <c r="H24" i="1"/>
  <c r="I24" i="1" s="1"/>
  <c r="J24" i="1" s="1"/>
  <c r="J30" i="1"/>
  <c r="I20" i="1"/>
  <c r="J20" i="1" s="1"/>
  <c r="H16" i="1" l="1"/>
  <c r="I16" i="1" s="1"/>
  <c r="J16" i="1" s="1"/>
  <c r="D81" i="1"/>
  <c r="D72" i="1"/>
  <c r="F29" i="1"/>
  <c r="F17" i="1"/>
  <c r="F19" i="1"/>
  <c r="G15" i="1"/>
  <c r="F34" i="1"/>
  <c r="I35" i="1"/>
  <c r="J35" i="1" s="1"/>
  <c r="F27" i="1" l="1"/>
  <c r="F28" i="1"/>
  <c r="G34" i="1"/>
  <c r="H15" i="1"/>
  <c r="G29" i="1"/>
  <c r="G17" i="1"/>
  <c r="G19" i="1"/>
  <c r="D73" i="1"/>
  <c r="D74" i="1" s="1"/>
  <c r="D71" i="1"/>
  <c r="D70" i="1" s="1"/>
  <c r="D80" i="1"/>
  <c r="D79" i="1" s="1"/>
  <c r="D82" i="1"/>
  <c r="D83" i="1" s="1"/>
  <c r="F25" i="1"/>
  <c r="F22" i="1"/>
  <c r="F23" i="1" s="1"/>
  <c r="F32" i="1" l="1"/>
  <c r="F37" i="1" s="1"/>
  <c r="F38" i="1" s="1"/>
  <c r="I15" i="1"/>
  <c r="H34" i="1"/>
  <c r="H28" i="1" s="1"/>
  <c r="H29" i="1"/>
  <c r="H17" i="1"/>
  <c r="H19" i="1"/>
  <c r="G22" i="1"/>
  <c r="G23" i="1" s="1"/>
  <c r="G25" i="1"/>
  <c r="G27" i="1"/>
  <c r="G28" i="1"/>
  <c r="G32" i="1" l="1"/>
  <c r="G37" i="1" s="1"/>
  <c r="G38" i="1" s="1"/>
  <c r="H27" i="1"/>
  <c r="H22" i="1"/>
  <c r="H23" i="1" s="1"/>
  <c r="H25" i="1"/>
  <c r="I17" i="1"/>
  <c r="I19" i="1"/>
  <c r="I34" i="1"/>
  <c r="J15" i="1"/>
  <c r="I29" i="1"/>
  <c r="I27" i="1" l="1"/>
  <c r="H32" i="1"/>
  <c r="H37" i="1" s="1"/>
  <c r="H38" i="1" s="1"/>
  <c r="J34" i="1"/>
  <c r="J29" i="1"/>
  <c r="J17" i="1"/>
  <c r="J19" i="1"/>
  <c r="J28" i="1"/>
  <c r="I22" i="1"/>
  <c r="I23" i="1" s="1"/>
  <c r="I25" i="1"/>
  <c r="I32" i="1" s="1"/>
  <c r="I37" i="1" s="1"/>
  <c r="I38" i="1" s="1"/>
  <c r="I28" i="1"/>
  <c r="J22" i="1" l="1"/>
  <c r="J23" i="1" s="1"/>
  <c r="J25" i="1"/>
  <c r="J27" i="1"/>
  <c r="I43" i="1"/>
  <c r="I45" i="1" s="1"/>
  <c r="I46" i="1" s="1"/>
  <c r="J32" i="1" l="1"/>
  <c r="J37" i="1" l="1"/>
  <c r="J38" i="1" s="1"/>
  <c r="C47" i="1" s="1"/>
  <c r="I47" i="1" s="1"/>
  <c r="I48" i="1" s="1"/>
  <c r="D58" i="1" s="1"/>
  <c r="D60" i="1" s="1"/>
  <c r="D62" i="1" s="1"/>
  <c r="C44" i="1"/>
  <c r="C45" i="1" s="1"/>
  <c r="C46" i="1" s="1"/>
  <c r="C48" i="1" l="1"/>
  <c r="C58" i="1" s="1"/>
  <c r="C60" i="1" s="1"/>
  <c r="C62" i="1" s="1"/>
  <c r="C63" i="1" s="1"/>
  <c r="D78" i="1"/>
  <c r="D63" i="1"/>
  <c r="D6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<sst xmlns="http://schemas.openxmlformats.org/spreadsheetml/2006/main" count="157" uniqueCount="108">
  <si>
    <t>Discounted Cash Flow Valuation</t>
  </si>
  <si>
    <t>Company Name</t>
  </si>
  <si>
    <t>WACC</t>
  </si>
  <si>
    <t>Ticker</t>
  </si>
  <si>
    <t>Share Price (Close)</t>
  </si>
  <si>
    <t>Most Recent Fiscal Year End</t>
  </si>
  <si>
    <t>Share Price Date</t>
  </si>
  <si>
    <t>End of First Fiscal Year</t>
  </si>
  <si>
    <t>Valuation Date</t>
  </si>
  <si>
    <t>Unlevered Free Cash Flows</t>
  </si>
  <si>
    <t>Fiscal Year</t>
  </si>
  <si>
    <t>Fiscal Year End Date</t>
  </si>
  <si>
    <t>Revenue</t>
  </si>
  <si>
    <t>% Growth</t>
  </si>
  <si>
    <t>EBITDA</t>
  </si>
  <si>
    <t>% Margin</t>
  </si>
  <si>
    <t>EBIT</t>
  </si>
  <si>
    <t>Tax Rate</t>
  </si>
  <si>
    <t>Depreciation &amp; Amortization</t>
  </si>
  <si>
    <t>Changes in Net Working Capital</t>
  </si>
  <si>
    <t>Capital Expenditures</t>
  </si>
  <si>
    <t>% of Revenue</t>
  </si>
  <si>
    <t>Unlevered Free Cash Flows (UFCF)</t>
  </si>
  <si>
    <t>Net Working Capital</t>
  </si>
  <si>
    <t>Present Value of Unlevered Free Cash Flows</t>
  </si>
  <si>
    <t>Terminal Value</t>
  </si>
  <si>
    <t>Perpeuity Growth Method</t>
  </si>
  <si>
    <t>EBITDA Multiple Method</t>
  </si>
  <si>
    <t>Terminal Growth Rate</t>
  </si>
  <si>
    <t>Terminal Year EBITDA</t>
  </si>
  <si>
    <t>Terminal Year FCF x (1+g)</t>
  </si>
  <si>
    <t xml:space="preserve">EBITDA Multiple  </t>
  </si>
  <si>
    <t xml:space="preserve">Terminal Value </t>
  </si>
  <si>
    <t>Present Value of Terminal Value</t>
  </si>
  <si>
    <t>Present Value of Cash Flows</t>
  </si>
  <si>
    <t>Total Enterprise Value</t>
  </si>
  <si>
    <t>Debt</t>
  </si>
  <si>
    <t xml:space="preserve">Long Term Liabilities </t>
  </si>
  <si>
    <t>Short Term liabilities</t>
  </si>
  <si>
    <t>Net Debt</t>
  </si>
  <si>
    <t>Valuation</t>
  </si>
  <si>
    <t>Perpeuity</t>
  </si>
  <si>
    <t>Enterprise Value</t>
  </si>
  <si>
    <t>Equity Value</t>
  </si>
  <si>
    <t xml:space="preserve">Shares Outstanding </t>
  </si>
  <si>
    <t>Estimated Upside</t>
  </si>
  <si>
    <t>Weighted Average Cost of Capital</t>
  </si>
  <si>
    <t>$ and shares in millions, except per share data</t>
  </si>
  <si>
    <t>Cost of Capital Assumptions</t>
  </si>
  <si>
    <t>Cost of Debt</t>
  </si>
  <si>
    <t>After-Tax Cost of Debt</t>
  </si>
  <si>
    <t>Risk Free Rate</t>
  </si>
  <si>
    <t>Beta</t>
  </si>
  <si>
    <t>Market Risk Premium</t>
  </si>
  <si>
    <t>Cost of Equity</t>
  </si>
  <si>
    <t>Capital Structure</t>
  </si>
  <si>
    <t>Equity</t>
  </si>
  <si>
    <t>Unlevered Cash Flows Stub Adjusted</t>
  </si>
  <si>
    <t>Equity Value per Share (USD)</t>
  </si>
  <si>
    <t>Sensitivity Analysis</t>
  </si>
  <si>
    <t>Equity value per share</t>
  </si>
  <si>
    <t>Long term growth rate (g):</t>
  </si>
  <si>
    <t>WACC:</t>
  </si>
  <si>
    <t>Data Tables</t>
  </si>
  <si>
    <t>Exit EBITDA Multiple:</t>
  </si>
  <si>
    <t xml:space="preserve">Pretax income </t>
  </si>
  <si>
    <t>Income Tax expense</t>
  </si>
  <si>
    <t>DESC</t>
  </si>
  <si>
    <t>Ticker:</t>
  </si>
  <si>
    <t>Pretax Income</t>
  </si>
  <si>
    <t>Tax Exp</t>
  </si>
  <si>
    <t>CAPEX</t>
  </si>
  <si>
    <t>NWC</t>
  </si>
  <si>
    <t>Todays date</t>
  </si>
  <si>
    <t>Programed space (will be overwritten do not type)</t>
  </si>
  <si>
    <t>Current Price</t>
  </si>
  <si>
    <t>RF Rate</t>
  </si>
  <si>
    <t>LTL</t>
  </si>
  <si>
    <t>STL</t>
  </si>
  <si>
    <t>Shares outst</t>
  </si>
  <si>
    <t>TERM G RATE</t>
  </si>
  <si>
    <t>Exit Mult</t>
  </si>
  <si>
    <t>&lt; these default to moving averages please account for your subjective assumptions</t>
  </si>
  <si>
    <t>UNITS</t>
  </si>
  <si>
    <t>All numbers in thousands</t>
  </si>
  <si>
    <t>NAME</t>
  </si>
  <si>
    <t>Cash + Cash eq</t>
  </si>
  <si>
    <t xml:space="preserve">Cash + Cash Equivalents </t>
  </si>
  <si>
    <t>EARNINGS BEFORE INTEREST AFTER TAXES (NOPAT)</t>
  </si>
  <si>
    <t>5Y Unlevered</t>
  </si>
  <si>
    <t>Comps analysis</t>
  </si>
  <si>
    <t>Defaults to a three year average</t>
  </si>
  <si>
    <t>NVDA</t>
  </si>
  <si>
    <t>NVIDIA Corporation (NVDA)</t>
  </si>
  <si>
    <t>AVGO</t>
  </si>
  <si>
    <t>PE</t>
  </si>
  <si>
    <t>PB</t>
  </si>
  <si>
    <t>PS</t>
  </si>
  <si>
    <t>QUICK</t>
  </si>
  <si>
    <t>CURRENT</t>
  </si>
  <si>
    <t>DTOE</t>
  </si>
  <si>
    <t>ROA</t>
  </si>
  <si>
    <t>ROI</t>
  </si>
  <si>
    <t>GM</t>
  </si>
  <si>
    <t>MEDIAN</t>
  </si>
  <si>
    <t>nvda</t>
  </si>
  <si>
    <t>ROE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</si>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</sst>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7" formatCode="&quot;$&quot;#,##0.00_);\(&quot;$&quot;#,##0.00\)"/>
    <numFmt numFmtId="43" formatCode="_(* #,##0.00_);_(* \(#,##0.00\);_(* &quot;-&quot;??_);_(@_)"/>
    <numFmt numFmtId="164" formatCode="m/d/yyyy;@"/>
    <numFmt numFmtId="165" formatCode="0000\A"/>
    <numFmt numFmtId="166" formatCode="0000\P"/>
    <numFmt numFmtId="167" formatCode="#,##0_);\(#,##0\);@_)"/>
    <numFmt numFmtId="168" formatCode="_(#,##0.0%_);\(#,##0.0%\);_(&quot;–&quot;_)_%;_(@_)_%\ "/>
    <numFmt numFmtId="169" formatCode="_(#,##0.0%_);\(#,##0.0%\);_(&quot;–&quot;_)_%;_(@_)_%"/>
    <numFmt numFmtId="170" formatCode="0.0\x_);\(0.0\x\);@_)"/>
    <numFmt numFmtId="171" formatCode="_(* #,##0_);_(* \(#,##0\);_(* &quot;-&quot;??_);_(@_)"/>
    <numFmt numFmtId="172" formatCode="_(#,##0.00%_);\(#,##0.00%\);_(&quot;–&quot;_)_%;_(@_)_%"/>
    <numFmt numFmtId="173" formatCode="#,##0.00_);\(#,##0.00\);@_)"/>
  </numFmts>
  <fonts count="2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800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2C891"/>
      <name val="Calibri"/>
      <family val="2"/>
      <scheme val="minor"/>
    </font>
    <font>
      <b/>
      <sz val="11"/>
      <color rgb="FFFFD70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1"/>
      <color theme="1"/>
      <name val="Calibri (Body)"/>
    </font>
    <font>
      <b/>
      <u val="singleAccounting"/>
      <sz val="11"/>
      <color theme="1"/>
      <name val="Calibri (Body)"/>
    </font>
    <font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8"/>
      <color rgb="FF232A31"/>
      <name val="Arial"/>
      <family val="2"/>
    </font>
    <font>
      <sz val="9.8000000000000007"/>
      <color rgb="FFA9B7C6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00123A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</cellStyleXfs>
  <cellXfs count="143">
    <xf numFmtId="0" fontId="0" fillId="0" borderId="0" xfId="0"/>
    <xf numFmtId="0" fontId="8" fillId="0" borderId="0" xfId="0" applyFont="1"/>
    <xf numFmtId="0" fontId="11" fillId="0" borderId="0" xfId="0" applyFont="1"/>
    <xf numFmtId="0" fontId="8" fillId="0" borderId="0" xfId="0" applyFont="1" applyAlignment="1">
      <alignment horizontal="left" indent="1"/>
    </xf>
    <xf numFmtId="0" fontId="13" fillId="0" borderId="0" xfId="0" applyFont="1" applyAlignment="1">
      <alignment horizontal="right"/>
    </xf>
    <xf numFmtId="164" fontId="13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12" fillId="0" borderId="0" xfId="0" applyFont="1"/>
    <xf numFmtId="7" fontId="13" fillId="0" borderId="0" xfId="0" applyNumberFormat="1" applyFont="1" applyAlignment="1">
      <alignment horizontal="right"/>
    </xf>
    <xf numFmtId="167" fontId="13" fillId="0" borderId="0" xfId="0" applyNumberFormat="1" applyFont="1" applyAlignment="1">
      <alignment horizontal="right"/>
    </xf>
    <xf numFmtId="167" fontId="8" fillId="0" borderId="0" xfId="0" applyNumberFormat="1" applyFont="1"/>
    <xf numFmtId="167" fontId="12" fillId="0" borderId="0" xfId="0" applyNumberFormat="1" applyFont="1"/>
    <xf numFmtId="168" fontId="8" fillId="0" borderId="0" xfId="0" applyNumberFormat="1" applyFont="1"/>
    <xf numFmtId="169" fontId="8" fillId="0" borderId="0" xfId="0" applyNumberFormat="1" applyFont="1"/>
    <xf numFmtId="169" fontId="13" fillId="0" borderId="0" xfId="0" applyNumberFormat="1" applyFont="1" applyAlignment="1">
      <alignment horizontal="right"/>
    </xf>
    <xf numFmtId="0" fontId="9" fillId="2" borderId="0" xfId="0" applyFont="1" applyFill="1"/>
    <xf numFmtId="0" fontId="10" fillId="2" borderId="0" xfId="0" applyFont="1" applyFill="1"/>
    <xf numFmtId="0" fontId="9" fillId="0" borderId="0" xfId="0" applyFont="1" applyFill="1"/>
    <xf numFmtId="0" fontId="14" fillId="0" borderId="0" xfId="0" applyFont="1" applyFill="1"/>
    <xf numFmtId="10" fontId="8" fillId="0" borderId="0" xfId="0" applyNumberFormat="1" applyFont="1"/>
    <xf numFmtId="0" fontId="8" fillId="0" borderId="0" xfId="0" applyNumberFormat="1" applyFont="1"/>
    <xf numFmtId="170" fontId="13" fillId="0" borderId="0" xfId="0" applyNumberFormat="1" applyFont="1" applyAlignment="1">
      <alignment horizontal="right"/>
    </xf>
    <xf numFmtId="171" fontId="8" fillId="0" borderId="0" xfId="0" applyNumberFormat="1" applyFont="1"/>
    <xf numFmtId="0" fontId="8" fillId="0" borderId="1" xfId="0" applyFont="1" applyBorder="1"/>
    <xf numFmtId="0" fontId="12" fillId="0" borderId="1" xfId="0" applyFont="1" applyBorder="1"/>
    <xf numFmtId="0" fontId="8" fillId="0" borderId="0" xfId="0" applyFont="1" applyBorder="1"/>
    <xf numFmtId="0" fontId="12" fillId="0" borderId="1" xfId="0" applyFont="1" applyFill="1" applyBorder="1"/>
    <xf numFmtId="0" fontId="9" fillId="0" borderId="1" xfId="0" applyFont="1" applyFill="1" applyBorder="1"/>
    <xf numFmtId="0" fontId="11" fillId="0" borderId="3" xfId="0" applyFont="1" applyBorder="1"/>
    <xf numFmtId="165" fontId="12" fillId="0" borderId="3" xfId="0" applyNumberFormat="1" applyFont="1" applyBorder="1"/>
    <xf numFmtId="166" fontId="12" fillId="0" borderId="3" xfId="0" applyNumberFormat="1" applyFont="1" applyBorder="1"/>
    <xf numFmtId="0" fontId="11" fillId="0" borderId="2" xfId="0" applyFont="1" applyBorder="1"/>
    <xf numFmtId="164" fontId="13" fillId="0" borderId="2" xfId="0" applyNumberFormat="1" applyFont="1" applyBorder="1" applyAlignment="1">
      <alignment horizontal="right"/>
    </xf>
    <xf numFmtId="164" fontId="8" fillId="0" borderId="2" xfId="0" applyNumberFormat="1" applyFont="1" applyBorder="1"/>
    <xf numFmtId="0" fontId="16" fillId="0" borderId="1" xfId="0" applyFont="1" applyBorder="1"/>
    <xf numFmtId="167" fontId="12" fillId="0" borderId="0" xfId="0" applyNumberFormat="1" applyFont="1" applyBorder="1" applyAlignment="1">
      <alignment horizontal="center"/>
    </xf>
    <xf numFmtId="172" fontId="13" fillId="0" borderId="0" xfId="0" applyNumberFormat="1" applyFont="1" applyAlignment="1">
      <alignment horizontal="right"/>
    </xf>
    <xf numFmtId="172" fontId="8" fillId="0" borderId="0" xfId="0" applyNumberFormat="1" applyFont="1" applyAlignment="1">
      <alignment horizontal="right"/>
    </xf>
    <xf numFmtId="0" fontId="8" fillId="0" borderId="0" xfId="0" applyFont="1" applyBorder="1" applyAlignment="1">
      <alignment horizontal="right"/>
    </xf>
    <xf numFmtId="43" fontId="8" fillId="0" borderId="0" xfId="0" applyNumberFormat="1" applyFont="1"/>
    <xf numFmtId="0" fontId="8" fillId="2" borderId="0" xfId="0" applyFont="1" applyFill="1"/>
    <xf numFmtId="9" fontId="8" fillId="0" borderId="0" xfId="0" applyNumberFormat="1" applyFont="1"/>
    <xf numFmtId="0" fontId="17" fillId="0" borderId="0" xfId="0" applyFont="1"/>
    <xf numFmtId="167" fontId="15" fillId="0" borderId="0" xfId="0" applyNumberFormat="1" applyFont="1"/>
    <xf numFmtId="0" fontId="18" fillId="2" borderId="0" xfId="0" applyFont="1" applyFill="1"/>
    <xf numFmtId="0" fontId="19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0" fillId="0" borderId="0" xfId="0" applyAlignment="1">
      <alignment horizontal="centerContinuous"/>
    </xf>
    <xf numFmtId="0" fontId="8" fillId="0" borderId="0" xfId="0" applyFont="1" applyFill="1"/>
    <xf numFmtId="0" fontId="8" fillId="0" borderId="0" xfId="0" applyFont="1" applyAlignment="1">
      <alignment horizontal="right"/>
    </xf>
    <xf numFmtId="43" fontId="8" fillId="0" borderId="4" xfId="0" applyNumberFormat="1" applyFont="1" applyBorder="1"/>
    <xf numFmtId="0" fontId="20" fillId="0" borderId="0" xfId="0" applyFont="1" applyAlignment="1">
      <alignment horizontal="centerContinuous"/>
    </xf>
    <xf numFmtId="0" fontId="21" fillId="0" borderId="0" xfId="0" applyFont="1" applyAlignment="1">
      <alignment horizontal="centerContinuous"/>
    </xf>
    <xf numFmtId="169" fontId="8" fillId="0" borderId="5" xfId="0" applyNumberFormat="1" applyFont="1" applyBorder="1"/>
    <xf numFmtId="0" fontId="18" fillId="2" borderId="0" xfId="0" applyFont="1" applyFill="1" applyAlignment="1">
      <alignment horizontal="center"/>
    </xf>
    <xf numFmtId="43" fontId="8" fillId="0" borderId="0" xfId="0" applyNumberFormat="1" applyFont="1" applyBorder="1"/>
    <xf numFmtId="43" fontId="12" fillId="0" borderId="0" xfId="0" applyNumberFormat="1" applyFont="1" applyBorder="1"/>
    <xf numFmtId="169" fontId="8" fillId="0" borderId="7" xfId="0" applyNumberFormat="1" applyFont="1" applyBorder="1"/>
    <xf numFmtId="169" fontId="13" fillId="0" borderId="7" xfId="0" applyNumberFormat="1" applyFont="1" applyBorder="1" applyAlignment="1">
      <alignment horizontal="right"/>
    </xf>
    <xf numFmtId="170" fontId="8" fillId="0" borderId="8" xfId="0" applyNumberFormat="1" applyFont="1" applyBorder="1" applyAlignment="1">
      <alignment horizontal="right"/>
    </xf>
    <xf numFmtId="170" fontId="13" fillId="0" borderId="8" xfId="0" applyNumberFormat="1" applyFont="1" applyBorder="1" applyAlignment="1">
      <alignment horizontal="right"/>
    </xf>
    <xf numFmtId="170" fontId="8" fillId="0" borderId="6" xfId="0" applyNumberFormat="1" applyFont="1" applyBorder="1" applyAlignment="1">
      <alignment horizontal="right"/>
    </xf>
    <xf numFmtId="169" fontId="8" fillId="0" borderId="7" xfId="0" applyNumberFormat="1" applyFont="1" applyFill="1" applyBorder="1"/>
    <xf numFmtId="169" fontId="8" fillId="0" borderId="5" xfId="0" applyNumberFormat="1" applyFont="1" applyFill="1" applyBorder="1"/>
    <xf numFmtId="43" fontId="8" fillId="0" borderId="4" xfId="0" applyNumberFormat="1" applyFont="1" applyFill="1" applyBorder="1"/>
    <xf numFmtId="169" fontId="8" fillId="0" borderId="8" xfId="0" applyNumberFormat="1" applyFont="1" applyFill="1" applyBorder="1"/>
    <xf numFmtId="169" fontId="13" fillId="0" borderId="8" xfId="0" applyNumberFormat="1" applyFont="1" applyBorder="1" applyAlignment="1">
      <alignment horizontal="right"/>
    </xf>
    <xf numFmtId="169" fontId="8" fillId="0" borderId="6" xfId="0" applyNumberFormat="1" applyFont="1" applyFill="1" applyBorder="1"/>
    <xf numFmtId="2" fontId="8" fillId="0" borderId="0" xfId="0" applyNumberFormat="1" applyFont="1" applyBorder="1"/>
    <xf numFmtId="2" fontId="12" fillId="0" borderId="0" xfId="0" applyNumberFormat="1" applyFont="1" applyBorder="1"/>
    <xf numFmtId="43" fontId="8" fillId="0" borderId="1" xfId="0" applyNumberFormat="1" applyFont="1" applyBorder="1"/>
    <xf numFmtId="43" fontId="8" fillId="0" borderId="9" xfId="0" applyNumberFormat="1" applyFont="1" applyBorder="1"/>
    <xf numFmtId="43" fontId="8" fillId="0" borderId="10" xfId="0" applyNumberFormat="1" applyFont="1" applyBorder="1"/>
    <xf numFmtId="2" fontId="8" fillId="0" borderId="9" xfId="0" applyNumberFormat="1" applyFont="1" applyBorder="1"/>
    <xf numFmtId="2" fontId="8" fillId="0" borderId="1" xfId="0" applyNumberFormat="1" applyFont="1" applyBorder="1"/>
    <xf numFmtId="2" fontId="8" fillId="0" borderId="10" xfId="0" applyNumberFormat="1" applyFont="1" applyBorder="1"/>
    <xf numFmtId="169" fontId="13" fillId="0" borderId="7" xfId="0" applyNumberFormat="1" applyFont="1" applyFill="1" applyBorder="1" applyAlignment="1">
      <alignment horizontal="right"/>
    </xf>
    <xf numFmtId="3" fontId="0" fillId="0" borderId="0" xfId="0" applyNumberFormat="1"/>
    <xf numFmtId="0" fontId="7" fillId="0" borderId="0" xfId="0" applyFont="1" applyFill="1"/>
    <xf numFmtId="167" fontId="12" fillId="0" borderId="0" xfId="0" applyNumberFormat="1" applyFont="1" applyFill="1"/>
    <xf numFmtId="0" fontId="6" fillId="0" borderId="0" xfId="0" applyFont="1"/>
    <xf numFmtId="0" fontId="5" fillId="0" borderId="0" xfId="0" applyFont="1"/>
    <xf numFmtId="0" fontId="23" fillId="0" borderId="0" xfId="0" applyFont="1"/>
    <xf numFmtId="9" fontId="8" fillId="0" borderId="0" xfId="2" applyFont="1"/>
    <xf numFmtId="0" fontId="0" fillId="0" borderId="0" xfId="0" applyBorder="1"/>
    <xf numFmtId="171" fontId="24" fillId="0" borderId="0" xfId="1" applyNumberFormat="1" applyFont="1" applyFill="1" applyAlignment="1">
      <alignment horizontal="right"/>
    </xf>
    <xf numFmtId="10" fontId="24" fillId="0" borderId="0" xfId="2" applyNumberFormat="1" applyFont="1" applyFill="1" applyAlignment="1">
      <alignment horizontal="right"/>
    </xf>
    <xf numFmtId="14" fontId="8" fillId="0" borderId="0" xfId="0" applyNumberFormat="1" applyFont="1"/>
    <xf numFmtId="0" fontId="0" fillId="0" borderId="11" xfId="0" applyBorder="1"/>
    <xf numFmtId="14" fontId="0" fillId="0" borderId="12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3" fontId="0" fillId="0" borderId="0" xfId="0" applyNumberFormat="1" applyBorder="1"/>
    <xf numFmtId="14" fontId="0" fillId="0" borderId="15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4" fontId="13" fillId="0" borderId="0" xfId="0" applyNumberFormat="1" applyFont="1" applyAlignment="1">
      <alignment horizontal="right"/>
    </xf>
    <xf numFmtId="0" fontId="4" fillId="0" borderId="0" xfId="0" applyFont="1" applyBorder="1"/>
    <xf numFmtId="0" fontId="11" fillId="0" borderId="0" xfId="0" applyFont="1" applyAlignment="1">
      <alignment horizontal="right"/>
    </xf>
    <xf numFmtId="169" fontId="23" fillId="3" borderId="0" xfId="0" applyNumberFormat="1" applyFont="1" applyFill="1"/>
    <xf numFmtId="0" fontId="4" fillId="0" borderId="0" xfId="0" applyFont="1"/>
    <xf numFmtId="3" fontId="25" fillId="0" borderId="0" xfId="0" applyNumberFormat="1" applyFont="1"/>
    <xf numFmtId="3" fontId="0" fillId="0" borderId="15" xfId="0" applyNumberFormat="1" applyBorder="1"/>
    <xf numFmtId="0" fontId="3" fillId="0" borderId="0" xfId="0" applyFont="1" applyFill="1"/>
    <xf numFmtId="169" fontId="13" fillId="3" borderId="0" xfId="0" applyNumberFormat="1" applyFont="1" applyFill="1" applyAlignment="1">
      <alignment horizontal="right"/>
    </xf>
    <xf numFmtId="173" fontId="13" fillId="3" borderId="0" xfId="0" applyNumberFormat="1" applyFont="1" applyFill="1" applyAlignment="1">
      <alignment horizontal="right"/>
    </xf>
    <xf numFmtId="164" fontId="13" fillId="3" borderId="0" xfId="0" applyNumberFormat="1" applyFont="1" applyFill="1" applyAlignment="1">
      <alignment horizontal="left"/>
    </xf>
    <xf numFmtId="164" fontId="13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Fill="1"/>
    <xf numFmtId="0" fontId="12" fillId="0" borderId="0" xfId="0" applyFont="1" applyFill="1"/>
    <xf numFmtId="0" fontId="2" fillId="0" borderId="0" xfId="0" applyFont="1" applyFill="1"/>
    <xf numFmtId="14" fontId="8" fillId="0" borderId="0" xfId="0" applyNumberFormat="1" applyFont="1" applyFill="1"/>
    <xf numFmtId="0" fontId="9" fillId="2" borderId="17" xfId="0" applyFont="1" applyFill="1" applyBorder="1"/>
    <xf numFmtId="0" fontId="10" fillId="2" borderId="17" xfId="0" applyFont="1" applyFill="1" applyBorder="1"/>
    <xf numFmtId="0" fontId="24" fillId="2" borderId="17" xfId="0" applyFont="1" applyFill="1" applyBorder="1"/>
    <xf numFmtId="14" fontId="24" fillId="0" borderId="0" xfId="0" applyNumberFormat="1" applyFont="1" applyFill="1"/>
    <xf numFmtId="0" fontId="24" fillId="0" borderId="0" xfId="0" applyFont="1" applyFill="1"/>
    <xf numFmtId="10" fontId="0" fillId="0" borderId="0" xfId="0" applyNumberFormat="1"/>
    <xf numFmtId="10" fontId="0" fillId="0" borderId="0" xfId="0" applyNumberFormat="1" applyBorder="1"/>
    <xf numFmtId="10" fontId="0" fillId="0" borderId="15" xfId="0" applyNumberFormat="1" applyBorder="1"/>
    <xf numFmtId="0" fontId="0" fillId="0" borderId="22" xfId="0" applyBorder="1"/>
    <xf numFmtId="0" fontId="2" fillId="0" borderId="0" xfId="0" applyNumberFormat="1" applyFont="1" applyFill="1"/>
    <xf numFmtId="0" fontId="1" fillId="0" borderId="0" xfId="0" applyFont="1" applyFill="1"/>
    <xf numFmtId="0" fontId="26" fillId="0" borderId="0" xfId="0" applyFont="1" applyAlignment="1">
      <alignment vertical="center"/>
    </xf>
    <xf numFmtId="10" fontId="0" fillId="0" borderId="12" xfId="0" applyNumberFormat="1" applyBorder="1"/>
    <xf numFmtId="10" fontId="0" fillId="0" borderId="13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4" xfId="0" applyNumberFormat="1" applyBorder="1"/>
    <xf numFmtId="0" fontId="0" fillId="0" borderId="0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18" xfId="0" applyNumberFormat="1" applyBorder="1"/>
    <xf numFmtId="0" fontId="2" fillId="0" borderId="20" xfId="0" applyNumberFormat="1" applyFont="1" applyFill="1" applyBorder="1"/>
    <xf numFmtId="0" fontId="2" fillId="0" borderId="20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D700"/>
      <color rgb="FF00123A"/>
      <color rgb="FF92C8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240818</xdr:colOff>
      <xdr:row>0</xdr:row>
      <xdr:rowOff>161676</xdr:rowOff>
    </xdr:from>
    <xdr:to>
      <xdr:col>9</xdr:col>
      <xdr:colOff>479307</xdr:colOff>
      <xdr:row>6</xdr:row>
      <xdr:rowOff>173347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FA55EB-F605-4046-9560-785A7633B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0406" y="161676"/>
          <a:ext cx="1149746" cy="10805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E626-EE9B-4164-BEB3-9EE6EF61F1A8}">
  <sheetPr>
    <tabColor rgb="FF92D050"/>
  </sheetPr>
  <dimension ref="A1:L29"/>
  <sheetViews>
    <sheetView zoomScale="85" zoomScaleNormal="85" workbookViewId="0">
      <selection activeCell="L29" sqref="L29"/>
    </sheetView>
  </sheetViews>
  <sheetFormatPr defaultRowHeight="15.6"/>
  <cols>
    <col min="1" max="1" width="13.59765625" bestFit="1" customWidth="1"/>
    <col min="2" max="4" width="11.19921875" bestFit="1" customWidth="1"/>
    <col min="5" max="5" width="13.59765625" bestFit="1" customWidth="1"/>
    <col min="6" max="6" width="33.19921875" bestFit="1" customWidth="1"/>
    <col min="7" max="7" width="9.8984375" bestFit="1" customWidth="1"/>
  </cols>
  <sheetData>
    <row r="1" spans="1:12" ht="16.2" thickBot="1">
      <c r="A1" s="88"/>
      <c r="B1" s="89">
        <v>44592</v>
      </c>
      <c r="C1" s="89">
        <v>44227</v>
      </c>
      <c r="D1" s="89">
        <v>43861</v>
      </c>
      <c r="E1" s="90"/>
      <c r="F1" s="91" t="s">
        <v>67</v>
      </c>
      <c r="H1" s="99" t="s">
        <v>74</v>
      </c>
      <c r="I1" s="100"/>
      <c r="J1" s="100"/>
      <c r="K1" s="100"/>
      <c r="L1" s="101"/>
    </row>
    <row r="2" spans="1:12">
      <c r="A2" s="92" t="s">
        <v>12</v>
      </c>
      <c r="B2" s="93">
        <v>26910000</v>
      </c>
      <c r="C2" s="93">
        <v>16680000</v>
      </c>
      <c r="D2" s="93">
        <v>10920000</v>
      </c>
      <c r="E2" s="84" t="s">
        <v>68</v>
      </c>
      <c r="F2" s="94" t="s">
        <v>92</v>
      </c>
      <c r="G2" s="77"/>
    </row>
    <row r="3" spans="1:12">
      <c r="A3" s="92" t="s">
        <v>14</v>
      </c>
      <c r="B3" s="84">
        <v>11850000</v>
      </c>
      <c r="C3" s="84">
        <v>5710000</v>
      </c>
      <c r="D3" s="84">
        <v>3270000</v>
      </c>
      <c r="E3" s="84" t="s">
        <v>73</v>
      </c>
      <c r="F3" s="94">
        <v>44722</v>
      </c>
    </row>
    <row r="4" spans="1:12">
      <c r="A4" s="92" t="s">
        <v>16</v>
      </c>
      <c r="B4" s="93">
        <v>10680000</v>
      </c>
      <c r="C4" s="93">
        <v>4610000</v>
      </c>
      <c r="D4" s="93">
        <v>2889000</v>
      </c>
      <c r="E4" s="84" t="s">
        <v>75</v>
      </c>
      <c r="F4" s="95">
        <v>170.85</v>
      </c>
    </row>
    <row r="5" spans="1:12">
      <c r="A5" s="92" t="s">
        <v>69</v>
      </c>
      <c r="B5" s="93">
        <v>9940000</v>
      </c>
      <c r="C5" s="93">
        <v>4410000</v>
      </c>
      <c r="D5" s="93">
        <v>2970000</v>
      </c>
      <c r="E5" s="84" t="s">
        <v>52</v>
      </c>
      <c r="F5" s="95">
        <v>1.59</v>
      </c>
    </row>
    <row r="6" spans="1:12">
      <c r="A6" s="92" t="s">
        <v>70</v>
      </c>
      <c r="B6" s="93">
        <v>189000</v>
      </c>
      <c r="C6" s="93">
        <v>77000</v>
      </c>
      <c r="D6" s="93">
        <v>174000</v>
      </c>
      <c r="E6" s="84" t="s">
        <v>76</v>
      </c>
      <c r="F6" s="95">
        <v>3.0440000000000002E-2</v>
      </c>
    </row>
    <row r="7" spans="1:12">
      <c r="A7" s="92" t="s">
        <v>71</v>
      </c>
      <c r="B7" s="93">
        <v>-976000</v>
      </c>
      <c r="C7" s="93">
        <v>-1130000</v>
      </c>
      <c r="D7" s="93">
        <v>-489000</v>
      </c>
      <c r="E7" s="84" t="s">
        <v>49</v>
      </c>
      <c r="F7" s="95">
        <v>2.0188195038494439E-2</v>
      </c>
    </row>
    <row r="8" spans="1:12">
      <c r="A8" s="92" t="s">
        <v>72</v>
      </c>
      <c r="B8" s="93">
        <v>24490000</v>
      </c>
      <c r="C8" s="93">
        <v>12129999.999999998</v>
      </c>
      <c r="D8" s="93">
        <v>11910000</v>
      </c>
      <c r="E8" s="84" t="s">
        <v>77</v>
      </c>
      <c r="F8" s="95">
        <v>13240000</v>
      </c>
      <c r="G8" s="107"/>
    </row>
    <row r="9" spans="1:12">
      <c r="A9" s="92" t="s">
        <v>78</v>
      </c>
      <c r="B9" s="84"/>
      <c r="C9" s="84"/>
      <c r="D9" s="84"/>
      <c r="E9" s="84" t="s">
        <v>78</v>
      </c>
      <c r="F9" s="95">
        <v>4340000</v>
      </c>
      <c r="G9" s="107"/>
    </row>
    <row r="10" spans="1:12">
      <c r="A10" s="92" t="s">
        <v>86</v>
      </c>
      <c r="B10" s="84"/>
      <c r="C10" s="84"/>
      <c r="D10" s="84"/>
      <c r="E10" s="84" t="s">
        <v>86</v>
      </c>
      <c r="F10" s="95">
        <v>21210000</v>
      </c>
      <c r="G10" s="107"/>
      <c r="H10" s="84"/>
      <c r="I10" s="84"/>
    </row>
    <row r="11" spans="1:12">
      <c r="A11" s="92" t="s">
        <v>79</v>
      </c>
      <c r="B11" s="84"/>
      <c r="C11" s="84"/>
      <c r="D11" s="84"/>
      <c r="E11" s="84" t="s">
        <v>79</v>
      </c>
      <c r="F11" s="108">
        <v>2493093.3567456836</v>
      </c>
    </row>
    <row r="12" spans="1:12">
      <c r="A12" s="92" t="s">
        <v>80</v>
      </c>
      <c r="B12" s="84"/>
      <c r="C12" s="84"/>
      <c r="D12" s="84"/>
      <c r="E12" s="84" t="s">
        <v>80</v>
      </c>
      <c r="F12" s="95">
        <v>0.03</v>
      </c>
    </row>
    <row r="13" spans="1:12">
      <c r="A13" s="92" t="s">
        <v>81</v>
      </c>
      <c r="B13" s="84"/>
      <c r="C13" s="84"/>
      <c r="D13" s="84"/>
      <c r="E13" s="84" t="s">
        <v>81</v>
      </c>
      <c r="F13" s="95">
        <v>20</v>
      </c>
    </row>
    <row r="14" spans="1:12">
      <c r="A14" s="92" t="s">
        <v>83</v>
      </c>
      <c r="B14" s="84"/>
      <c r="C14" s="84"/>
      <c r="D14" s="84"/>
      <c r="E14" s="84" t="s">
        <v>83</v>
      </c>
      <c r="F14" s="95" t="s">
        <v>84</v>
      </c>
    </row>
    <row r="15" spans="1:12" ht="16.2" thickBot="1">
      <c r="A15" s="96" t="s">
        <v>85</v>
      </c>
      <c r="B15" s="97"/>
      <c r="C15" s="97"/>
      <c r="D15" s="97"/>
      <c r="E15" s="97" t="s">
        <v>85</v>
      </c>
      <c r="F15" s="98" t="s">
        <v>93</v>
      </c>
    </row>
    <row r="16" spans="1:12">
      <c r="A16" s="1"/>
    </row>
    <row r="17" spans="1:2">
      <c r="A17" s="1"/>
    </row>
    <row r="18" spans="1:2">
      <c r="A18" s="1"/>
    </row>
    <row r="19" spans="1:2">
      <c r="A19" s="103"/>
      <c r="B19" s="84"/>
    </row>
    <row r="20" spans="1:2">
      <c r="A20" s="84"/>
      <c r="B20" s="84"/>
    </row>
    <row r="21" spans="1:2">
      <c r="A21" s="84"/>
      <c r="B21" s="84"/>
    </row>
    <row r="22" spans="1:2">
      <c r="A22" s="84"/>
      <c r="B22" s="84"/>
    </row>
    <row r="23" spans="1:2">
      <c r="A23" s="84"/>
      <c r="B23" s="84"/>
    </row>
    <row r="24" spans="1:2">
      <c r="A24" s="25"/>
      <c r="B24" s="84"/>
    </row>
    <row r="25" spans="1:2">
      <c r="A25" s="25"/>
      <c r="B25" s="84"/>
    </row>
    <row r="26" spans="1:2">
      <c r="A26" s="25"/>
      <c r="B26" s="84"/>
    </row>
    <row r="27" spans="1:2">
      <c r="A27" s="25"/>
      <c r="B27" s="84"/>
    </row>
    <row r="28" spans="1:2">
      <c r="A28" s="84"/>
      <c r="B28" s="84"/>
    </row>
    <row r="29" spans="1:2">
      <c r="A29" s="84"/>
      <c r="B29" s="8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EAD7-3AAD-41D7-9955-EC24B5711381}">
  <sheetPr>
    <tabColor rgb="FF92D050"/>
  </sheetPr>
  <dimension ref="A1:N27"/>
  <sheetViews>
    <sheetView tabSelected="1" workbookViewId="0">
      <selection activeCell="L13" sqref="L13"/>
    </sheetView>
  </sheetViews>
  <sheetFormatPr defaultRowHeight="15.6"/>
  <cols>
    <col min="14" max="14" width="43.796875" bestFit="1" customWidth="1"/>
  </cols>
  <sheetData>
    <row r="1" spans="1:14" ht="16.2" thickBot="1">
      <c r="B1" t="s">
        <v>3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106</v>
      </c>
      <c r="K1" t="s">
        <v>102</v>
      </c>
      <c r="L1" t="s">
        <v>103</v>
      </c>
    </row>
    <row r="2" spans="1:14" ht="16.2" thickBot="1">
      <c r="A2" s="133"/>
      <c r="B2" s="134" t="s">
        <v>105</v>
      </c>
      <c r="C2" s="134">
        <v>45.54</v>
      </c>
      <c r="D2" s="134">
        <v>16.170000000000002</v>
      </c>
      <c r="E2" s="134">
        <v>15.03</v>
      </c>
      <c r="F2" s="134">
        <v>4.7</v>
      </c>
      <c r="G2" s="134">
        <v>5.3</v>
      </c>
      <c r="H2" s="134">
        <v>0</v>
      </c>
      <c r="I2" s="131">
        <v>0.224</v>
      </c>
      <c r="J2" s="131">
        <v>0.38700000000000001</v>
      </c>
      <c r="K2" s="131">
        <v>0.26200000000000001</v>
      </c>
      <c r="L2" s="132">
        <v>0.65600000000000003</v>
      </c>
      <c r="M2" s="124"/>
      <c r="N2" s="127" t="s">
        <v>74</v>
      </c>
    </row>
    <row r="3" spans="1:14">
      <c r="A3" s="135">
        <v>1</v>
      </c>
      <c r="B3" s="136"/>
      <c r="C3" s="136"/>
      <c r="D3" s="136"/>
      <c r="E3" s="136"/>
      <c r="F3" s="136"/>
      <c r="G3" s="136"/>
      <c r="H3" s="136"/>
      <c r="I3" s="125"/>
      <c r="J3" s="125"/>
      <c r="K3" s="125"/>
      <c r="L3" s="126"/>
    </row>
    <row r="4" spans="1:14">
      <c r="A4" s="135">
        <v>2</v>
      </c>
      <c r="B4" s="136" t="s">
        <v>94</v>
      </c>
      <c r="C4" s="136">
        <v>26.82</v>
      </c>
      <c r="D4" s="136">
        <v>9.7100000000000009</v>
      </c>
      <c r="E4" s="136">
        <v>7.46</v>
      </c>
      <c r="F4" s="136">
        <v>2.2000000000000002</v>
      </c>
      <c r="G4" s="136">
        <v>2.4</v>
      </c>
      <c r="H4" s="136">
        <v>1.72</v>
      </c>
      <c r="I4" s="125">
        <v>8.5999999999999993E-2</v>
      </c>
      <c r="J4" s="125">
        <v>0.26800000000000002</v>
      </c>
      <c r="K4" s="125">
        <v>0.128</v>
      </c>
      <c r="L4" s="126">
        <v>0.64400000000000002</v>
      </c>
    </row>
    <row r="5" spans="1:14">
      <c r="A5" s="135"/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7"/>
    </row>
    <row r="6" spans="1:14">
      <c r="A6" s="135"/>
      <c r="B6" s="136"/>
      <c r="C6" s="136"/>
      <c r="D6" s="136"/>
      <c r="E6" s="136"/>
      <c r="F6" s="136"/>
      <c r="G6" s="136"/>
      <c r="H6" s="136"/>
      <c r="I6" s="136"/>
      <c r="J6" s="136"/>
      <c r="K6" s="136"/>
      <c r="L6" s="137"/>
    </row>
    <row r="7" spans="1:14">
      <c r="A7" s="135"/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7"/>
    </row>
    <row r="8" spans="1:14">
      <c r="A8" s="135"/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7"/>
    </row>
    <row r="9" spans="1:14">
      <c r="A9" s="135"/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7"/>
    </row>
    <row r="10" spans="1:14">
      <c r="A10" s="135"/>
      <c r="B10" s="136"/>
      <c r="C10" s="136"/>
      <c r="D10" s="136"/>
      <c r="E10" s="136"/>
      <c r="F10" s="136"/>
      <c r="G10" s="136"/>
      <c r="H10" s="136"/>
      <c r="I10" s="136"/>
      <c r="J10" s="136"/>
      <c r="K10" s="136"/>
      <c r="L10" s="137"/>
    </row>
    <row r="11" spans="1:14">
      <c r="A11" s="135"/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7"/>
    </row>
    <row r="12" spans="1:14" ht="16.2" thickBot="1">
      <c r="A12" s="138"/>
      <c r="B12" s="139"/>
      <c r="C12" s="139"/>
      <c r="D12" s="139"/>
      <c r="E12" s="139"/>
      <c r="F12" s="139"/>
      <c r="G12" s="139"/>
      <c r="H12" s="139"/>
      <c r="I12" s="139"/>
      <c r="J12" s="139"/>
      <c r="K12" s="139"/>
      <c r="L12" s="140"/>
    </row>
    <row r="19" spans="7:7">
      <c r="G19" s="130"/>
    </row>
    <row r="20" spans="7:7">
      <c r="G20" s="130"/>
    </row>
    <row r="21" spans="7:7">
      <c r="G21" s="130"/>
    </row>
    <row r="22" spans="7:7">
      <c r="G22" s="130"/>
    </row>
    <row r="23" spans="7:7">
      <c r="G23" s="130"/>
    </row>
    <row r="24" spans="7:7">
      <c r="G24" s="130"/>
    </row>
    <row r="25" spans="7:7">
      <c r="G25" s="130"/>
    </row>
    <row r="26" spans="7:7">
      <c r="G26" s="130"/>
    </row>
    <row r="27" spans="7:7">
      <c r="G27" s="1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51AB-D597-9D44-826B-59063E0D92DF}">
  <dimension ref="B2:N86"/>
  <sheetViews>
    <sheetView zoomScale="97" zoomScaleNormal="100" workbookViewId="0">
      <selection activeCell="I22" sqref="I22"/>
    </sheetView>
  </sheetViews>
  <sheetFormatPr defaultColWidth="10.69921875" defaultRowHeight="14.4"/>
  <cols>
    <col min="1" max="1" width="1.5" style="1" customWidth="1"/>
    <col min="2" max="2" width="54.5" style="1" customWidth="1"/>
    <col min="3" max="3" width="11.69921875" style="1" bestFit="1" customWidth="1"/>
    <col min="4" max="4" width="12.5" style="1" bestFit="1" customWidth="1"/>
    <col min="5" max="5" width="11.69921875" style="1" bestFit="1" customWidth="1"/>
    <col min="6" max="6" width="13.19921875" style="1" customWidth="1"/>
    <col min="7" max="8" width="12.5" style="1" bestFit="1" customWidth="1"/>
    <col min="9" max="9" width="12" style="1" bestFit="1" customWidth="1"/>
    <col min="10" max="10" width="10.69921875" style="1" customWidth="1"/>
    <col min="11" max="11" width="1.5" style="1" customWidth="1"/>
    <col min="12" max="16384" width="10.69921875" style="1"/>
  </cols>
  <sheetData>
    <row r="2" spans="2:12">
      <c r="B2" s="15" t="s">
        <v>0</v>
      </c>
      <c r="C2" s="16"/>
      <c r="D2" s="16"/>
      <c r="E2" s="16"/>
      <c r="F2" s="16"/>
      <c r="G2" s="16"/>
      <c r="H2" s="16"/>
      <c r="I2" s="16"/>
      <c r="J2" s="16"/>
    </row>
    <row r="3" spans="2:12">
      <c r="B3" s="104" t="str">
        <f>DATA!F14</f>
        <v>All numbers in thousands</v>
      </c>
      <c r="C3" s="48"/>
    </row>
    <row r="4" spans="2:12">
      <c r="G4" s="42"/>
    </row>
    <row r="5" spans="2:12">
      <c r="B5" s="1" t="s">
        <v>1</v>
      </c>
      <c r="C5" s="102"/>
      <c r="E5" s="1" t="s">
        <v>2</v>
      </c>
      <c r="G5" s="36">
        <f>WACC!F18</f>
        <v>0.15812134931285324</v>
      </c>
      <c r="H5" s="19"/>
    </row>
    <row r="6" spans="2:12">
      <c r="B6" s="1" t="s">
        <v>3</v>
      </c>
      <c r="C6" s="102" t="str">
        <f>DATA!F2</f>
        <v>NVDA</v>
      </c>
      <c r="E6" s="1" t="s">
        <v>4</v>
      </c>
      <c r="G6" s="8">
        <f>DATA!F4</f>
        <v>170.85</v>
      </c>
      <c r="I6" s="7"/>
    </row>
    <row r="7" spans="2:12">
      <c r="B7" s="1" t="s">
        <v>5</v>
      </c>
      <c r="C7" s="5">
        <f>DATA!B1</f>
        <v>44592</v>
      </c>
      <c r="E7" s="1" t="s">
        <v>6</v>
      </c>
      <c r="G7" s="5">
        <f>DATA!F3</f>
        <v>44722</v>
      </c>
    </row>
    <row r="8" spans="2:12">
      <c r="B8" s="1" t="s">
        <v>7</v>
      </c>
      <c r="C8" s="6">
        <f>F13</f>
        <v>44957</v>
      </c>
      <c r="E8" s="1" t="s">
        <v>8</v>
      </c>
      <c r="F8" s="5"/>
      <c r="G8" s="5">
        <f>G7</f>
        <v>44722</v>
      </c>
    </row>
    <row r="10" spans="2:12">
      <c r="B10" s="15" t="s">
        <v>9</v>
      </c>
      <c r="C10" s="16"/>
      <c r="D10" s="16"/>
      <c r="E10" s="16"/>
      <c r="F10" s="16"/>
      <c r="G10" s="16"/>
      <c r="H10" s="16"/>
      <c r="I10" s="16"/>
      <c r="J10" s="16"/>
    </row>
    <row r="11" spans="2:12">
      <c r="F11" s="6"/>
      <c r="G11" s="6"/>
      <c r="H11" s="6"/>
      <c r="I11" s="6"/>
      <c r="J11" s="6"/>
    </row>
    <row r="12" spans="2:12">
      <c r="B12" s="28" t="s">
        <v>10</v>
      </c>
      <c r="C12" s="29">
        <f>D12-1</f>
        <v>2020</v>
      </c>
      <c r="D12" s="29">
        <f>E12-1</f>
        <v>2021</v>
      </c>
      <c r="E12" s="29">
        <f>YEAR(E13)</f>
        <v>2022</v>
      </c>
      <c r="F12" s="30">
        <f>E12+1</f>
        <v>2023</v>
      </c>
      <c r="G12" s="30">
        <f t="shared" ref="G12:I12" si="0">F12+1</f>
        <v>2024</v>
      </c>
      <c r="H12" s="30">
        <f t="shared" si="0"/>
        <v>2025</v>
      </c>
      <c r="I12" s="30">
        <f t="shared" si="0"/>
        <v>2026</v>
      </c>
      <c r="J12" s="30">
        <f>I12+1</f>
        <v>2027</v>
      </c>
    </row>
    <row r="13" spans="2:12">
      <c r="B13" s="31" t="s">
        <v>11</v>
      </c>
      <c r="C13" s="32">
        <f>DATA!D1</f>
        <v>43861</v>
      </c>
      <c r="D13" s="32">
        <f>DATA!C1</f>
        <v>44227</v>
      </c>
      <c r="E13" s="33">
        <f>C7</f>
        <v>44592</v>
      </c>
      <c r="F13" s="33">
        <f>EOMONTH(E13,12)</f>
        <v>44957</v>
      </c>
      <c r="G13" s="33">
        <f>EOMONTH(F13,12)</f>
        <v>45322</v>
      </c>
      <c r="H13" s="33">
        <f t="shared" ref="H13:J13" si="1">EOMONTH(G13,12)</f>
        <v>45688</v>
      </c>
      <c r="I13" s="33">
        <f t="shared" si="1"/>
        <v>46053</v>
      </c>
      <c r="J13" s="33">
        <f t="shared" si="1"/>
        <v>46418</v>
      </c>
      <c r="L13" s="87"/>
    </row>
    <row r="14" spans="2:12">
      <c r="F14" s="80"/>
    </row>
    <row r="15" spans="2:12">
      <c r="B15" s="1" t="s">
        <v>12</v>
      </c>
      <c r="C15" s="9">
        <f>DATA!D2</f>
        <v>10920000</v>
      </c>
      <c r="D15" s="9">
        <f>DATA!C2</f>
        <v>16680000</v>
      </c>
      <c r="E15" s="9">
        <f>DATA!B2</f>
        <v>26910000</v>
      </c>
      <c r="F15" s="10">
        <f>E15*(1+F16)</f>
        <v>42259220.195272349</v>
      </c>
      <c r="G15" s="10">
        <f t="shared" ref="G15:J15" si="2">F15*(1+G16)</f>
        <v>66363496.525920272</v>
      </c>
      <c r="H15" s="10">
        <f t="shared" si="2"/>
        <v>105166038.99749525</v>
      </c>
      <c r="I15" s="10">
        <f t="shared" si="2"/>
        <v>165653301.44186279</v>
      </c>
      <c r="J15" s="10">
        <f t="shared" si="2"/>
        <v>261193714.39083168</v>
      </c>
      <c r="K15" s="10"/>
    </row>
    <row r="16" spans="2:12">
      <c r="B16" s="3" t="s">
        <v>13</v>
      </c>
      <c r="C16" s="12"/>
      <c r="D16" s="12">
        <f>(D15-C15)/C15</f>
        <v>0.52747252747252749</v>
      </c>
      <c r="E16" s="12">
        <f>(E15-D15)/D15</f>
        <v>0.61330935251798557</v>
      </c>
      <c r="F16" s="105">
        <f>AVERAGE(C16:E16)</f>
        <v>0.57039093999525647</v>
      </c>
      <c r="G16" s="105">
        <f t="shared" ref="G16" si="3">AVERAGE(D16:F16)</f>
        <v>0.57039093999525647</v>
      </c>
      <c r="H16" s="105">
        <f t="shared" ref="H16" si="4">AVERAGE(E16:G16)</f>
        <v>0.58469707750283284</v>
      </c>
      <c r="I16" s="105">
        <f t="shared" ref="I16" si="5">AVERAGE(F16:H16)</f>
        <v>0.57515965249778189</v>
      </c>
      <c r="J16" s="105">
        <f t="shared" ref="J16" si="6">AVERAGE(G16:I16)</f>
        <v>0.57674922333195699</v>
      </c>
    </row>
    <row r="17" spans="2:12">
      <c r="B17" s="1" t="s">
        <v>14</v>
      </c>
      <c r="C17" s="9">
        <f>DATA!D3</f>
        <v>3270000</v>
      </c>
      <c r="D17" s="9">
        <f>DATA!C3</f>
        <v>5710000</v>
      </c>
      <c r="E17" s="9">
        <f>DATA!B3</f>
        <v>11850000</v>
      </c>
      <c r="F17" s="10">
        <f>F15*F18</f>
        <v>15243371.678705961</v>
      </c>
      <c r="G17" s="10">
        <f t="shared" ref="G17:J17" si="7">G15*G18</f>
        <v>25293208.539578013</v>
      </c>
      <c r="H17" s="10">
        <f t="shared" si="7"/>
        <v>41442403.506696202</v>
      </c>
      <c r="I17" s="10">
        <f t="shared" si="7"/>
        <v>62722353.017539367</v>
      </c>
      <c r="J17" s="10">
        <f t="shared" si="7"/>
        <v>100458067.33067024</v>
      </c>
    </row>
    <row r="18" spans="2:12">
      <c r="B18" s="3" t="s">
        <v>15</v>
      </c>
      <c r="C18" s="13">
        <f>C17/C15</f>
        <v>0.29945054945054944</v>
      </c>
      <c r="D18" s="13">
        <f t="shared" ref="D18:E18" si="8">D17/D15</f>
        <v>0.342326139088729</v>
      </c>
      <c r="E18" s="13">
        <f t="shared" si="8"/>
        <v>0.44035674470457081</v>
      </c>
      <c r="F18" s="105">
        <f>AVERAGE(C18:E18)</f>
        <v>0.36071114441461644</v>
      </c>
      <c r="G18" s="105">
        <f t="shared" ref="G18:J18" si="9">AVERAGE(D18:F18)</f>
        <v>0.3811313427359721</v>
      </c>
      <c r="H18" s="105">
        <f t="shared" si="9"/>
        <v>0.39406641061838643</v>
      </c>
      <c r="I18" s="105">
        <f t="shared" si="9"/>
        <v>0.37863629925632497</v>
      </c>
      <c r="J18" s="105">
        <f t="shared" si="9"/>
        <v>0.38461135087022785</v>
      </c>
      <c r="L18" s="7" t="s">
        <v>82</v>
      </c>
    </row>
    <row r="19" spans="2:12">
      <c r="B19" s="1" t="s">
        <v>16</v>
      </c>
      <c r="C19" s="9">
        <f>DATA!D4</f>
        <v>2889000</v>
      </c>
      <c r="D19" s="9">
        <f>DATA!C4</f>
        <v>4610000</v>
      </c>
      <c r="E19" s="9">
        <f>DATA!B4</f>
        <v>10680000</v>
      </c>
      <c r="F19" s="10">
        <f>F15*F20</f>
        <v>13210483.256725259</v>
      </c>
      <c r="G19" s="10">
        <f t="shared" ref="G19:J19" si="10">G15*G20</f>
        <v>21808445.688538782</v>
      </c>
      <c r="H19" s="10">
        <f t="shared" si="10"/>
        <v>36391148.914132521</v>
      </c>
      <c r="I19" s="10">
        <f t="shared" si="10"/>
        <v>54514415.597270139</v>
      </c>
      <c r="J19" s="10">
        <f t="shared" si="10"/>
        <v>87390514.393376231</v>
      </c>
    </row>
    <row r="20" spans="2:12">
      <c r="B20" s="3" t="s">
        <v>15</v>
      </c>
      <c r="C20" s="13">
        <f>C19/C15</f>
        <v>0.26456043956043956</v>
      </c>
      <c r="D20" s="13">
        <f>D19/D15</f>
        <v>0.27637889688249401</v>
      </c>
      <c r="E20" s="13">
        <f>E19/E15</f>
        <v>0.39687848383500557</v>
      </c>
      <c r="F20" s="105">
        <f>AVERAGE(C20:E20)</f>
        <v>0.31260594009264636</v>
      </c>
      <c r="G20" s="105">
        <f t="shared" ref="G20" si="11">AVERAGE(D20:F20)</f>
        <v>0.32862110693671531</v>
      </c>
      <c r="H20" s="105">
        <f t="shared" ref="H20" si="12">AVERAGE(E20:G20)</f>
        <v>0.34603517695478908</v>
      </c>
      <c r="I20" s="105">
        <f t="shared" ref="I20" si="13">AVERAGE(F20:H20)</f>
        <v>0.32908740799471697</v>
      </c>
      <c r="J20" s="105">
        <f t="shared" ref="J20" si="14">AVERAGE(G20:I20)</f>
        <v>0.33458123062874051</v>
      </c>
    </row>
    <row r="22" spans="2:12">
      <c r="B22" s="78" t="s">
        <v>65</v>
      </c>
      <c r="C22" s="9">
        <f>DATA!D5</f>
        <v>2970000</v>
      </c>
      <c r="D22" s="9">
        <f>DATA!C5</f>
        <v>4410000</v>
      </c>
      <c r="E22" s="9">
        <f>DATA!B5</f>
        <v>9940000</v>
      </c>
      <c r="F22" s="85">
        <f>F19</f>
        <v>13210483.256725259</v>
      </c>
      <c r="G22" s="85">
        <f t="shared" ref="G22:J22" si="15">G19</f>
        <v>21808445.688538782</v>
      </c>
      <c r="H22" s="85">
        <f t="shared" si="15"/>
        <v>36391148.914132521</v>
      </c>
      <c r="I22" s="85">
        <f t="shared" si="15"/>
        <v>54514415.597270139</v>
      </c>
      <c r="J22" s="85">
        <f t="shared" si="15"/>
        <v>87390514.393376231</v>
      </c>
    </row>
    <row r="23" spans="2:12">
      <c r="B23" s="78" t="s">
        <v>66</v>
      </c>
      <c r="C23" s="9">
        <f>DATA!D6</f>
        <v>174000</v>
      </c>
      <c r="D23" s="9">
        <f>DATA!C6</f>
        <v>77000</v>
      </c>
      <c r="E23" s="9">
        <f>DATA!B6</f>
        <v>189000</v>
      </c>
      <c r="F23" s="85">
        <f>F22*F24</f>
        <v>418597.32680607709</v>
      </c>
      <c r="G23" s="85">
        <f t="shared" ref="G23:J23" si="16">G22*G24</f>
        <v>495496.28582161077</v>
      </c>
      <c r="H23" s="85">
        <f t="shared" si="16"/>
        <v>890627.55547900137</v>
      </c>
      <c r="I23" s="85">
        <f t="shared" si="16"/>
        <v>1433381.6869706162</v>
      </c>
      <c r="J23" s="85">
        <f t="shared" si="16"/>
        <v>2140710.8397297384</v>
      </c>
    </row>
    <row r="24" spans="2:12">
      <c r="B24" s="48" t="s">
        <v>17</v>
      </c>
      <c r="C24" s="86">
        <f>C23/C22</f>
        <v>5.8585858585858588E-2</v>
      </c>
      <c r="D24" s="86">
        <f t="shared" ref="D24:E24" si="17">D23/D22</f>
        <v>1.7460317460317461E-2</v>
      </c>
      <c r="E24" s="86">
        <f t="shared" si="17"/>
        <v>1.9014084507042252E-2</v>
      </c>
      <c r="F24" s="105">
        <f>AVERAGE(C24:E24)</f>
        <v>3.168675351773944E-2</v>
      </c>
      <c r="G24" s="105">
        <f t="shared" ref="G24" si="18">AVERAGE(D24:F24)</f>
        <v>2.2720385161699719E-2</v>
      </c>
      <c r="H24" s="105">
        <f t="shared" ref="H24" si="19">AVERAGE(E24:G24)</f>
        <v>2.4473741062160468E-2</v>
      </c>
      <c r="I24" s="105">
        <f t="shared" ref="I24" si="20">AVERAGE(F24:H24)</f>
        <v>2.6293626580533209E-2</v>
      </c>
      <c r="J24" s="105">
        <f t="shared" ref="J24" si="21">AVERAGE(G24:I24)</f>
        <v>2.4495917601464464E-2</v>
      </c>
    </row>
    <row r="25" spans="2:12">
      <c r="B25" s="109" t="s">
        <v>88</v>
      </c>
      <c r="C25" s="79">
        <f>C19*(1-C24)</f>
        <v>2719745.4545454546</v>
      </c>
      <c r="D25" s="79">
        <f t="shared" ref="D25:J25" si="22">D19*(1-D24)</f>
        <v>4529507.9365079366</v>
      </c>
      <c r="E25" s="79">
        <f t="shared" si="22"/>
        <v>10476929.577464789</v>
      </c>
      <c r="F25" s="79">
        <f t="shared" si="22"/>
        <v>12791885.929919183</v>
      </c>
      <c r="G25" s="79">
        <f t="shared" si="22"/>
        <v>21312949.402717173</v>
      </c>
      <c r="H25" s="79">
        <f t="shared" si="22"/>
        <v>35500521.358653516</v>
      </c>
      <c r="I25" s="79">
        <f t="shared" si="22"/>
        <v>53081033.910299517</v>
      </c>
      <c r="J25" s="79">
        <f t="shared" si="22"/>
        <v>85249803.55364649</v>
      </c>
    </row>
    <row r="27" spans="2:12">
      <c r="B27" s="1" t="s">
        <v>18</v>
      </c>
      <c r="C27" s="10">
        <f>C17-C19</f>
        <v>381000</v>
      </c>
      <c r="D27" s="10">
        <f>D17-D19</f>
        <v>1100000</v>
      </c>
      <c r="E27" s="10">
        <f t="shared" ref="E27:J27" si="23">E17-E19</f>
        <v>1170000</v>
      </c>
      <c r="F27" s="10">
        <f t="shared" si="23"/>
        <v>2032888.4219807014</v>
      </c>
      <c r="G27" s="10">
        <f t="shared" si="23"/>
        <v>3484762.8510392308</v>
      </c>
      <c r="H27" s="10">
        <f t="shared" si="23"/>
        <v>5051254.5925636813</v>
      </c>
      <c r="I27" s="10">
        <f t="shared" si="23"/>
        <v>8207937.4202692285</v>
      </c>
      <c r="J27" s="10">
        <f t="shared" si="23"/>
        <v>13067552.937294006</v>
      </c>
    </row>
    <row r="28" spans="2:12">
      <c r="B28" s="1" t="s">
        <v>19</v>
      </c>
      <c r="C28" s="10"/>
      <c r="D28" s="10">
        <f t="shared" ref="D28:J28" si="24">C34-D34</f>
        <v>-219999.99999999814</v>
      </c>
      <c r="E28" s="10">
        <f>D34-E34</f>
        <v>-12360000.000000002</v>
      </c>
      <c r="F28" s="10">
        <f t="shared" si="24"/>
        <v>-13936987.491154082</v>
      </c>
      <c r="G28" s="10">
        <f t="shared" si="24"/>
        <v>-17906880.730468936</v>
      </c>
      <c r="H28" s="10">
        <f t="shared" si="24"/>
        <v>-37202733.473966703</v>
      </c>
      <c r="I28" s="10">
        <f t="shared" si="24"/>
        <v>-52658106.20688352</v>
      </c>
      <c r="J28" s="10">
        <f t="shared" si="24"/>
        <v>-81985935.433862031</v>
      </c>
    </row>
    <row r="29" spans="2:12">
      <c r="B29" s="1" t="s">
        <v>20</v>
      </c>
      <c r="C29" s="9">
        <f>DATA!D7*-1</f>
        <v>489000</v>
      </c>
      <c r="D29" s="9">
        <f>DATA!C7*-1</f>
        <v>1130000</v>
      </c>
      <c r="E29" s="9">
        <f>DATA!B7*-1</f>
        <v>976000</v>
      </c>
      <c r="F29" s="10">
        <f>-(F15*F30)</f>
        <v>1000828.841189215</v>
      </c>
      <c r="G29" s="10">
        <f t="shared" ref="G29:J29" si="25">-(G15*G30)</f>
        <v>1104999.4063144722</v>
      </c>
      <c r="H29" s="10">
        <f t="shared" si="25"/>
        <v>2685339.236430197</v>
      </c>
      <c r="I29" s="10">
        <f t="shared" si="25"/>
        <v>3637088.3451435799</v>
      </c>
      <c r="J29" s="10">
        <f t="shared" si="25"/>
        <v>5584410.3685861994</v>
      </c>
    </row>
    <row r="30" spans="2:12">
      <c r="B30" s="3" t="s">
        <v>21</v>
      </c>
      <c r="C30" s="13">
        <f>-(C29/C15)</f>
        <v>-4.4780219780219781E-2</v>
      </c>
      <c r="D30" s="13">
        <v>0.01</v>
      </c>
      <c r="E30" s="13">
        <f t="shared" ref="E30" si="26">-(E29/E15)</f>
        <v>-3.6269044964697142E-2</v>
      </c>
      <c r="F30" s="105">
        <f>AVERAGE(C30:E30)</f>
        <v>-2.3683088248305641E-2</v>
      </c>
      <c r="G30" s="105">
        <f t="shared" ref="G30" si="27">AVERAGE(D30:F30)</f>
        <v>-1.6650711071000926E-2</v>
      </c>
      <c r="H30" s="105">
        <f t="shared" ref="H30" si="28">AVERAGE(E30:G30)</f>
        <v>-2.5534281428001238E-2</v>
      </c>
      <c r="I30" s="105">
        <f t="shared" ref="I30" si="29">AVERAGE(F30:H30)</f>
        <v>-2.1956026915769269E-2</v>
      </c>
      <c r="J30" s="105">
        <f t="shared" ref="J30" si="30">AVERAGE(G30:I30)</f>
        <v>-2.138033980492381E-2</v>
      </c>
    </row>
    <row r="32" spans="2:12">
      <c r="B32" s="7" t="s">
        <v>22</v>
      </c>
      <c r="F32" s="11">
        <f>F25+F27+F28+F29</f>
        <v>1888615.7019350175</v>
      </c>
      <c r="G32" s="11">
        <f t="shared" ref="G32:J32" si="31">G25+G27+G28+G29</f>
        <v>7995830.9296019394</v>
      </c>
      <c r="H32" s="11">
        <f t="shared" si="31"/>
        <v>6034381.7136806911</v>
      </c>
      <c r="I32" s="11">
        <f t="shared" si="31"/>
        <v>12267953.468828805</v>
      </c>
      <c r="J32" s="11">
        <f t="shared" si="31"/>
        <v>21915831.425664663</v>
      </c>
    </row>
    <row r="33" spans="2:10">
      <c r="B33" s="7"/>
      <c r="F33" s="11"/>
      <c r="G33" s="11"/>
      <c r="H33" s="11"/>
      <c r="I33" s="11"/>
      <c r="J33" s="11"/>
    </row>
    <row r="34" spans="2:10">
      <c r="B34" s="1" t="s">
        <v>23</v>
      </c>
      <c r="C34" s="9">
        <f>DATA!D8</f>
        <v>11910000</v>
      </c>
      <c r="D34" s="9">
        <f>DATA!C8</f>
        <v>12129999.999999998</v>
      </c>
      <c r="E34" s="9">
        <f>DATA!B8</f>
        <v>24490000</v>
      </c>
      <c r="F34" s="10">
        <f>F15*F35</f>
        <v>38426987.491154082</v>
      </c>
      <c r="G34" s="10">
        <f>G15*G35</f>
        <v>56333868.221623018</v>
      </c>
      <c r="H34" s="10">
        <f>H15*H35</f>
        <v>93536601.695589721</v>
      </c>
      <c r="I34" s="10">
        <f>I15*I35</f>
        <v>146194707.90247324</v>
      </c>
      <c r="J34" s="10">
        <f>J15*J35</f>
        <v>228180643.33633527</v>
      </c>
    </row>
    <row r="35" spans="2:10">
      <c r="B35" s="3" t="s">
        <v>21</v>
      </c>
      <c r="C35" s="13">
        <f>C34/C15</f>
        <v>1.0906593406593406</v>
      </c>
      <c r="D35" s="13">
        <f>D34/D15</f>
        <v>0.72721822541966419</v>
      </c>
      <c r="E35" s="13">
        <f>E34/E15</f>
        <v>0.91007060572277965</v>
      </c>
      <c r="F35" s="105">
        <f>AVERAGE(C35:E35)</f>
        <v>0.9093160572672615</v>
      </c>
      <c r="G35" s="105">
        <f t="shared" ref="G35" si="32">AVERAGE(D35:F35)</f>
        <v>0.84886829613656845</v>
      </c>
      <c r="H35" s="105">
        <f t="shared" ref="H35" si="33">AVERAGE(E35:G35)</f>
        <v>0.88941831970886998</v>
      </c>
      <c r="I35" s="105">
        <f t="shared" ref="I35" si="34">AVERAGE(F35:H35)</f>
        <v>0.8825342243708999</v>
      </c>
      <c r="J35" s="105">
        <f t="shared" ref="J35" si="35">AVERAGE(G35:I35)</f>
        <v>0.87360694673877948</v>
      </c>
    </row>
    <row r="36" spans="2:10" ht="15.75" customHeight="1">
      <c r="B36" s="3"/>
      <c r="F36" s="35"/>
      <c r="G36" s="35"/>
      <c r="H36" s="35"/>
      <c r="I36" s="35"/>
      <c r="J36" s="35"/>
    </row>
    <row r="37" spans="2:10">
      <c r="B37" s="1" t="s">
        <v>57</v>
      </c>
      <c r="C37" s="19">
        <f>YEARFRAC($G$8,C8)</f>
        <v>0.64166666666666672</v>
      </c>
      <c r="E37" s="38"/>
      <c r="F37" s="10">
        <f>F32*C37</f>
        <v>1211861.7420749697</v>
      </c>
      <c r="G37" s="10">
        <f>G32</f>
        <v>7995830.9296019394</v>
      </c>
      <c r="H37" s="10">
        <f>H32</f>
        <v>6034381.7136806911</v>
      </c>
      <c r="I37" s="10">
        <f>I32</f>
        <v>12267953.468828805</v>
      </c>
      <c r="J37" s="10">
        <f>J32</f>
        <v>21915831.425664663</v>
      </c>
    </row>
    <row r="38" spans="2:10">
      <c r="B38" s="7" t="s">
        <v>24</v>
      </c>
      <c r="C38" s="19"/>
      <c r="E38" s="6"/>
      <c r="F38" s="11">
        <f>F37/(1+$G$5)^((F13-$G$8)/365)</f>
        <v>1102569.4014631917</v>
      </c>
      <c r="G38" s="11">
        <f>G37/(1+$G$5)^((G13-$G$8)/365)</f>
        <v>6281485.9882073179</v>
      </c>
      <c r="H38" s="11">
        <f>H37/(1+$G$5)^((H13-$G$8)/365)</f>
        <v>4091691.0598588502</v>
      </c>
      <c r="I38" s="11">
        <f>I37/(1+$G$5)^((I13-$G$8)/365)</f>
        <v>7182706.3068783861</v>
      </c>
      <c r="J38" s="11">
        <f>J37/(1+$G$5)^((J13-$G$8)/365)</f>
        <v>11079492.617716359</v>
      </c>
    </row>
    <row r="39" spans="2:10">
      <c r="B39" s="18"/>
    </row>
    <row r="40" spans="2:10">
      <c r="B40" s="15" t="s">
        <v>25</v>
      </c>
      <c r="C40" s="15"/>
      <c r="D40" s="15"/>
      <c r="E40" s="15"/>
      <c r="F40" s="15"/>
      <c r="G40" s="15"/>
      <c r="H40" s="15"/>
      <c r="I40" s="15"/>
      <c r="J40" s="15"/>
    </row>
    <row r="41" spans="2:10">
      <c r="B41" s="17"/>
      <c r="C41" s="17"/>
      <c r="D41" s="17"/>
      <c r="E41" s="17"/>
      <c r="F41" s="17"/>
      <c r="G41" s="17"/>
      <c r="H41" s="17"/>
      <c r="I41" s="17"/>
      <c r="J41" s="17"/>
    </row>
    <row r="42" spans="2:10">
      <c r="B42" s="26" t="s">
        <v>26</v>
      </c>
      <c r="C42" s="27"/>
      <c r="D42" s="17"/>
      <c r="E42" s="17"/>
      <c r="F42" s="24" t="s">
        <v>27</v>
      </c>
      <c r="G42" s="27"/>
      <c r="H42" s="27"/>
      <c r="I42" s="27"/>
      <c r="J42" s="17"/>
    </row>
    <row r="43" spans="2:10">
      <c r="B43" s="1" t="s">
        <v>28</v>
      </c>
      <c r="C43" s="14">
        <f>DATA!F12</f>
        <v>0.03</v>
      </c>
      <c r="F43" s="1" t="s">
        <v>29</v>
      </c>
      <c r="I43" s="10">
        <f>J17</f>
        <v>100458067.33067024</v>
      </c>
    </row>
    <row r="44" spans="2:10">
      <c r="B44" s="1" t="s">
        <v>30</v>
      </c>
      <c r="C44" s="10">
        <f>J32*(1+C43)</f>
        <v>22573306.368434604</v>
      </c>
      <c r="D44" s="20"/>
      <c r="F44" s="1" t="s">
        <v>31</v>
      </c>
      <c r="I44" s="21">
        <f>DATA!F13</f>
        <v>20</v>
      </c>
    </row>
    <row r="45" spans="2:10">
      <c r="B45" s="1" t="s">
        <v>32</v>
      </c>
      <c r="C45" s="10">
        <f>(C44)/(G5-C43)</f>
        <v>176186923.4869979</v>
      </c>
      <c r="F45" s="1" t="s">
        <v>25</v>
      </c>
      <c r="I45" s="10">
        <f>I43*I44</f>
        <v>2009161346.6134048</v>
      </c>
    </row>
    <row r="46" spans="2:10">
      <c r="B46" s="1" t="s">
        <v>33</v>
      </c>
      <c r="C46" s="22">
        <f>C45/(1+$G$5)^(($J$13-$G$8)/365)</f>
        <v>89070849.296019718</v>
      </c>
      <c r="F46" s="1" t="s">
        <v>33</v>
      </c>
      <c r="I46" s="10">
        <f>I45/(1+$G$5)^(($J$13-$G$8)/365)</f>
        <v>1015726388.6204199</v>
      </c>
    </row>
    <row r="47" spans="2:10">
      <c r="B47" s="1" t="s">
        <v>34</v>
      </c>
      <c r="C47" s="10">
        <f>SUM(F38:J38)</f>
        <v>29737945.374124102</v>
      </c>
      <c r="F47" s="1" t="s">
        <v>34</v>
      </c>
      <c r="I47" s="10">
        <f>C47</f>
        <v>29737945.374124102</v>
      </c>
    </row>
    <row r="48" spans="2:10">
      <c r="B48" s="1" t="s">
        <v>35</v>
      </c>
      <c r="C48" s="22">
        <f>SUM(C46:C47)</f>
        <v>118808794.67014381</v>
      </c>
      <c r="F48" s="1" t="s">
        <v>35</v>
      </c>
      <c r="I48" s="10">
        <f>SUM(I46:I47)</f>
        <v>1045464333.9945439</v>
      </c>
    </row>
    <row r="50" spans="2:14">
      <c r="B50" s="24" t="s">
        <v>36</v>
      </c>
      <c r="C50" s="34"/>
      <c r="F50" s="81"/>
      <c r="H50" s="81"/>
      <c r="I50" s="81"/>
    </row>
    <row r="51" spans="2:14">
      <c r="B51" s="1" t="s">
        <v>37</v>
      </c>
      <c r="C51" s="9">
        <f>DATA!F8</f>
        <v>13240000</v>
      </c>
      <c r="F51" s="82"/>
      <c r="G51" s="82"/>
      <c r="H51" s="82"/>
      <c r="I51" s="83"/>
    </row>
    <row r="52" spans="2:14">
      <c r="B52" s="1" t="s">
        <v>38</v>
      </c>
      <c r="C52" s="9">
        <f>DATA!F9</f>
        <v>4340000</v>
      </c>
      <c r="F52" s="81"/>
      <c r="H52" s="81"/>
      <c r="I52" s="83"/>
    </row>
    <row r="53" spans="2:14">
      <c r="B53" s="106" t="s">
        <v>87</v>
      </c>
      <c r="C53" s="9">
        <f>DATA!F10</f>
        <v>21210000</v>
      </c>
      <c r="F53" s="81"/>
      <c r="H53" s="81"/>
      <c r="I53" s="83"/>
      <c r="L53" s="81"/>
      <c r="M53" s="81"/>
      <c r="N53" s="81"/>
    </row>
    <row r="54" spans="2:14">
      <c r="B54" s="1" t="s">
        <v>39</v>
      </c>
      <c r="C54" s="10">
        <f>SUM(C51:C52) - SUM(C53:C53)</f>
        <v>-3630000</v>
      </c>
      <c r="F54" s="81"/>
      <c r="G54" s="81"/>
      <c r="I54" s="83"/>
    </row>
    <row r="55" spans="2:14">
      <c r="C55" s="10"/>
      <c r="F55" s="81"/>
      <c r="G55" s="81"/>
      <c r="I55" s="83"/>
    </row>
    <row r="56" spans="2:14">
      <c r="F56" s="81"/>
      <c r="G56" s="81"/>
      <c r="I56" s="83"/>
    </row>
    <row r="57" spans="2:14">
      <c r="B57" s="24" t="s">
        <v>40</v>
      </c>
      <c r="C57" s="23" t="s">
        <v>41</v>
      </c>
      <c r="D57" s="23" t="s">
        <v>14</v>
      </c>
      <c r="F57" s="81"/>
      <c r="G57" s="81"/>
      <c r="H57" s="81"/>
    </row>
    <row r="58" spans="2:14">
      <c r="B58" s="1" t="s">
        <v>42</v>
      </c>
      <c r="C58" s="22">
        <f>C48</f>
        <v>118808794.67014381</v>
      </c>
      <c r="D58" s="10">
        <f>I48</f>
        <v>1045464333.9945439</v>
      </c>
    </row>
    <row r="59" spans="2:14">
      <c r="B59" s="1" t="s">
        <v>39</v>
      </c>
      <c r="C59" s="10">
        <f>$C$54</f>
        <v>-3630000</v>
      </c>
      <c r="D59" s="10">
        <f>$C$54</f>
        <v>-3630000</v>
      </c>
    </row>
    <row r="60" spans="2:14">
      <c r="B60" s="1" t="s">
        <v>43</v>
      </c>
      <c r="C60" s="22">
        <f>C58-C59</f>
        <v>122438794.67014381</v>
      </c>
      <c r="D60" s="22">
        <f>D58-D59</f>
        <v>1049094333.9945439</v>
      </c>
    </row>
    <row r="61" spans="2:14">
      <c r="B61" s="1" t="s">
        <v>44</v>
      </c>
      <c r="C61" s="9">
        <f>DATA!F11</f>
        <v>2493093.3567456836</v>
      </c>
      <c r="D61" s="9">
        <f>C61</f>
        <v>2493093.3567456836</v>
      </c>
    </row>
    <row r="62" spans="2:14">
      <c r="B62" s="1" t="s">
        <v>58</v>
      </c>
      <c r="C62" s="39">
        <f>C60/C61</f>
        <v>49.111195270267451</v>
      </c>
      <c r="D62" s="39">
        <f>D60/D61</f>
        <v>420.80026051008417</v>
      </c>
    </row>
    <row r="63" spans="2:14">
      <c r="B63" s="1" t="s">
        <v>45</v>
      </c>
      <c r="C63" s="13">
        <f>C62/$G$6-1</f>
        <v>-0.71254787667388086</v>
      </c>
      <c r="D63" s="13">
        <f>D62/$G$6-1</f>
        <v>1.4629807463276805</v>
      </c>
    </row>
    <row r="65" spans="2:10">
      <c r="B65" s="44" t="s">
        <v>59</v>
      </c>
      <c r="C65" s="40"/>
      <c r="D65" s="40"/>
      <c r="E65" s="40"/>
      <c r="F65" s="40"/>
      <c r="G65" s="40"/>
      <c r="H65" s="40"/>
      <c r="I65" s="40"/>
      <c r="J65" s="40"/>
    </row>
    <row r="67" spans="2:10" ht="17.399999999999999">
      <c r="B67" s="40"/>
      <c r="D67" s="52" t="s">
        <v>60</v>
      </c>
      <c r="E67" s="45"/>
      <c r="F67" s="45"/>
      <c r="G67" s="45"/>
      <c r="H67" s="45"/>
      <c r="I67" s="45"/>
    </row>
    <row r="68" spans="2:10" ht="15.6">
      <c r="B68" s="40"/>
      <c r="D68" s="46"/>
      <c r="E68" s="51" t="s">
        <v>61</v>
      </c>
      <c r="F68" s="47"/>
      <c r="G68" s="47"/>
      <c r="H68" s="47"/>
      <c r="I68" s="47"/>
    </row>
    <row r="69" spans="2:10">
      <c r="B69" s="40"/>
      <c r="D69" s="64">
        <f>C62</f>
        <v>49.111195270267451</v>
      </c>
      <c r="E69" s="65">
        <f>F69-0.005</f>
        <v>1.9999999999999997E-2</v>
      </c>
      <c r="F69" s="65">
        <f>G69-0.005</f>
        <v>2.4999999999999998E-2</v>
      </c>
      <c r="G69" s="66">
        <f>C43</f>
        <v>0.03</v>
      </c>
      <c r="H69" s="65">
        <f>G69+0.005</f>
        <v>3.4999999999999996E-2</v>
      </c>
      <c r="I69" s="67">
        <f>H69+0.005</f>
        <v>3.9999999999999994E-2</v>
      </c>
    </row>
    <row r="70" spans="2:10">
      <c r="B70" s="40"/>
      <c r="D70" s="62">
        <f>D71+0.005</f>
        <v>0.16812134931285325</v>
      </c>
      <c r="E70" s="55">
        <f t="dataTable" ref="E70:I74" dt2D="1" dtr="1" r1="C43" r2="G5" ca="1"/>
        <v>42.450983199760572</v>
      </c>
      <c r="F70" s="55">
        <v>41.351379807620731</v>
      </c>
      <c r="G70" s="55">
        <v>41.351379807620731</v>
      </c>
      <c r="H70" s="55">
        <v>42.450983199760572</v>
      </c>
      <c r="I70" s="71">
        <v>44.889024182578765</v>
      </c>
    </row>
    <row r="71" spans="2:10">
      <c r="B71" s="40"/>
      <c r="D71" s="62">
        <f>D72+0.005</f>
        <v>0.16312134931285324</v>
      </c>
      <c r="E71" s="55">
        <v>40.768169264597589</v>
      </c>
      <c r="F71" s="55">
        <v>39.754026946457245</v>
      </c>
      <c r="G71" s="55">
        <v>39.754026946457245</v>
      </c>
      <c r="H71" s="55">
        <v>40.768169264597589</v>
      </c>
      <c r="I71" s="71">
        <v>43.009030638662566</v>
      </c>
    </row>
    <row r="72" spans="2:10">
      <c r="B72" s="40"/>
      <c r="C72" s="49" t="s">
        <v>62</v>
      </c>
      <c r="D72" s="76">
        <f>G5</f>
        <v>0.15812134931285324</v>
      </c>
      <c r="E72" s="55">
        <v>40.768169264597589</v>
      </c>
      <c r="F72" s="55">
        <v>39.754026946457245</v>
      </c>
      <c r="G72" s="56">
        <v>39.754026946457245</v>
      </c>
      <c r="H72" s="55">
        <v>40.768169264597589</v>
      </c>
      <c r="I72" s="71">
        <v>43.009030638662566</v>
      </c>
    </row>
    <row r="73" spans="2:10">
      <c r="B73" s="40"/>
      <c r="D73" s="62">
        <f>D72-0.005</f>
        <v>0.15312134931285323</v>
      </c>
      <c r="E73" s="55">
        <v>42.450983199760572</v>
      </c>
      <c r="F73" s="55">
        <v>41.351379807620731</v>
      </c>
      <c r="G73" s="55">
        <v>41.351379807620731</v>
      </c>
      <c r="H73" s="55">
        <v>42.450983199760572</v>
      </c>
      <c r="I73" s="71">
        <v>44.889024182578765</v>
      </c>
    </row>
    <row r="74" spans="2:10">
      <c r="B74" s="40"/>
      <c r="D74" s="63">
        <f>D73-0.005</f>
        <v>0.14812134931285323</v>
      </c>
      <c r="E74" s="70">
        <v>46.202802325099697</v>
      </c>
      <c r="F74" s="70">
        <v>44.901014610492773</v>
      </c>
      <c r="G74" s="70">
        <v>44.901014610492773</v>
      </c>
      <c r="H74" s="70">
        <v>46.202802325099697</v>
      </c>
      <c r="I74" s="72">
        <v>49.111195270267451</v>
      </c>
    </row>
    <row r="75" spans="2:10">
      <c r="B75" s="54" t="s">
        <v>63</v>
      </c>
    </row>
    <row r="76" spans="2:10" ht="17.399999999999999">
      <c r="B76" s="40"/>
      <c r="D76" s="52" t="s">
        <v>60</v>
      </c>
      <c r="E76" s="45"/>
      <c r="F76" s="45"/>
      <c r="G76" s="45"/>
      <c r="H76" s="45"/>
      <c r="I76" s="45"/>
    </row>
    <row r="77" spans="2:10" ht="15.6">
      <c r="B77" s="40"/>
      <c r="D77" s="46"/>
      <c r="E77" s="51" t="s">
        <v>64</v>
      </c>
      <c r="F77" s="47"/>
      <c r="G77" s="47"/>
      <c r="H77" s="47"/>
      <c r="I77" s="47"/>
    </row>
    <row r="78" spans="2:10">
      <c r="B78" s="40"/>
      <c r="D78" s="50">
        <f>D62</f>
        <v>420.80026051008417</v>
      </c>
      <c r="E78" s="59">
        <f>F78-0.5</f>
        <v>19</v>
      </c>
      <c r="F78" s="59">
        <f>G78-0.5</f>
        <v>19.5</v>
      </c>
      <c r="G78" s="60">
        <f>I44</f>
        <v>20</v>
      </c>
      <c r="H78" s="59">
        <f>G78+0.5</f>
        <v>20.5</v>
      </c>
      <c r="I78" s="61">
        <f>H78+0.5</f>
        <v>21</v>
      </c>
      <c r="J78" s="25"/>
    </row>
    <row r="79" spans="2:10">
      <c r="B79" s="40"/>
      <c r="D79" s="57">
        <f>D80+0.005</f>
        <v>0.16812134931285325</v>
      </c>
      <c r="E79" s="68">
        <f t="dataTable" ref="E79:I83" dt2D="1" dtr="1" r1="I44" r2="G5" ca="1"/>
        <v>384.9343101904883</v>
      </c>
      <c r="F79" s="68">
        <v>375.14778802595629</v>
      </c>
      <c r="G79" s="68">
        <v>375.14778802595629</v>
      </c>
      <c r="H79" s="68">
        <v>384.9343101904883</v>
      </c>
      <c r="I79" s="73">
        <v>404.50735451955245</v>
      </c>
    </row>
    <row r="80" spans="2:10">
      <c r="B80" s="40"/>
      <c r="D80" s="57">
        <f>D81+0.005</f>
        <v>0.16312134931285324</v>
      </c>
      <c r="E80" s="68">
        <v>377.46265788278896</v>
      </c>
      <c r="F80" s="68">
        <v>367.86845068057016</v>
      </c>
      <c r="G80" s="68">
        <v>367.86845068057016</v>
      </c>
      <c r="H80" s="68">
        <v>377.46265788278896</v>
      </c>
      <c r="I80" s="73">
        <v>396.65107228722673</v>
      </c>
    </row>
    <row r="81" spans="2:9">
      <c r="B81" s="40"/>
      <c r="C81" s="49" t="s">
        <v>62</v>
      </c>
      <c r="D81" s="58">
        <f>G5</f>
        <v>0.15812134931285324</v>
      </c>
      <c r="E81" s="68">
        <v>377.46265788278896</v>
      </c>
      <c r="F81" s="68">
        <v>367.86845068057016</v>
      </c>
      <c r="G81" s="69">
        <v>367.86845068057016</v>
      </c>
      <c r="H81" s="68">
        <v>377.46265788278896</v>
      </c>
      <c r="I81" s="73">
        <v>396.65107228722673</v>
      </c>
    </row>
    <row r="82" spans="2:9">
      <c r="B82" s="40"/>
      <c r="D82" s="57">
        <f>D81-0.005</f>
        <v>0.15312134931285323</v>
      </c>
      <c r="E82" s="68">
        <v>384.9343101904883</v>
      </c>
      <c r="F82" s="68">
        <v>375.14778802595629</v>
      </c>
      <c r="G82" s="68">
        <v>375.14778802595629</v>
      </c>
      <c r="H82" s="68">
        <v>384.9343101904883</v>
      </c>
      <c r="I82" s="73">
        <v>404.50735451955245</v>
      </c>
    </row>
    <row r="83" spans="2:9">
      <c r="B83" s="40"/>
      <c r="D83" s="53">
        <f>D82-0.005</f>
        <v>0.14812134931285323</v>
      </c>
      <c r="E83" s="74">
        <v>400.42945518359846</v>
      </c>
      <c r="F83" s="74">
        <v>390.24405252035569</v>
      </c>
      <c r="G83" s="74">
        <v>390.24405252035569</v>
      </c>
      <c r="H83" s="74">
        <v>400.42945518359846</v>
      </c>
      <c r="I83" s="75">
        <v>420.80026051008417</v>
      </c>
    </row>
    <row r="84" spans="2:9">
      <c r="D84" s="25"/>
    </row>
    <row r="86" spans="2:9">
      <c r="D86" s="48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2223-6F8A-4D59-8813-A0926ACFE9AB}">
  <dimension ref="B1:J20"/>
  <sheetViews>
    <sheetView workbookViewId="0">
      <selection activeCell="G30" sqref="G30"/>
    </sheetView>
  </sheetViews>
  <sheetFormatPr defaultColWidth="8.69921875" defaultRowHeight="14.4"/>
  <cols>
    <col min="1" max="1" width="1.5" style="1" customWidth="1"/>
    <col min="2" max="4" width="8.69921875" style="1"/>
    <col min="5" max="5" width="12.19921875" style="1" customWidth="1"/>
    <col min="6" max="6" width="12" style="1" bestFit="1" customWidth="1"/>
    <col min="7" max="7" width="31.59765625" style="1" bestFit="1" customWidth="1"/>
    <col min="8" max="10" width="8.69921875" style="1"/>
    <col min="11" max="11" width="1.5" style="1" customWidth="1"/>
    <col min="12" max="16384" width="8.69921875" style="1"/>
  </cols>
  <sheetData>
    <row r="1" spans="2:10">
      <c r="B1" s="15" t="s">
        <v>46</v>
      </c>
      <c r="C1" s="16"/>
      <c r="D1" s="16"/>
      <c r="E1" s="16"/>
      <c r="F1" s="16"/>
      <c r="G1" s="16"/>
      <c r="H1" s="16"/>
      <c r="I1" s="16"/>
      <c r="J1" s="16"/>
    </row>
    <row r="2" spans="2:10">
      <c r="B2" s="2" t="s">
        <v>47</v>
      </c>
    </row>
    <row r="4" spans="2:10">
      <c r="B4" s="7" t="s">
        <v>48</v>
      </c>
      <c r="C4" s="4"/>
      <c r="F4" s="7"/>
    </row>
    <row r="5" spans="2:10">
      <c r="B5" s="1" t="s">
        <v>49</v>
      </c>
      <c r="C5" s="4"/>
      <c r="F5" s="36">
        <f>DATA!F7</f>
        <v>2.0188195038494439E-2</v>
      </c>
      <c r="G5" s="8"/>
      <c r="I5" s="7"/>
    </row>
    <row r="6" spans="2:10">
      <c r="B6" s="1" t="s">
        <v>17</v>
      </c>
      <c r="C6" s="5"/>
      <c r="F6" s="110">
        <f>AVERAGE(DCF!C24:E24)</f>
        <v>3.168675351773944E-2</v>
      </c>
      <c r="G6" s="112" t="s">
        <v>91</v>
      </c>
    </row>
    <row r="7" spans="2:10">
      <c r="B7" s="1" t="s">
        <v>50</v>
      </c>
      <c r="C7" s="6"/>
      <c r="F7" s="37">
        <f>F5*(1-F6)</f>
        <v>1.9548496678341618E-2</v>
      </c>
      <c r="G7" s="113"/>
    </row>
    <row r="8" spans="2:10">
      <c r="G8" s="114"/>
    </row>
    <row r="9" spans="2:10">
      <c r="B9" s="1" t="s">
        <v>51</v>
      </c>
      <c r="F9" s="36">
        <f>DATA!F6</f>
        <v>3.0440000000000002E-2</v>
      </c>
      <c r="G9" s="114"/>
    </row>
    <row r="10" spans="2:10">
      <c r="B10" s="1" t="s">
        <v>52</v>
      </c>
      <c r="F10" s="111">
        <f>DATA!F5</f>
        <v>1.59</v>
      </c>
      <c r="G10" s="112" t="s">
        <v>89</v>
      </c>
    </row>
    <row r="11" spans="2:10">
      <c r="B11" s="1" t="s">
        <v>53</v>
      </c>
      <c r="F11" s="36">
        <v>0.11</v>
      </c>
    </row>
    <row r="12" spans="2:10">
      <c r="B12" s="1" t="s">
        <v>54</v>
      </c>
      <c r="F12" s="37">
        <f>F9+(F10*(F11-F9))</f>
        <v>0.15694039999999998</v>
      </c>
    </row>
    <row r="14" spans="2:10">
      <c r="B14" s="7" t="s">
        <v>55</v>
      </c>
      <c r="F14" s="7"/>
      <c r="G14" s="7"/>
    </row>
    <row r="15" spans="2:10">
      <c r="B15" s="1" t="s">
        <v>56</v>
      </c>
      <c r="E15" s="43">
        <f>DCF!G6*DCF!C61</f>
        <v>425945000</v>
      </c>
      <c r="F15" s="41">
        <f>E15/(E15+E16)</f>
        <v>1.0085954796774919</v>
      </c>
    </row>
    <row r="16" spans="2:10">
      <c r="B16" s="1" t="s">
        <v>36</v>
      </c>
      <c r="E16" s="43">
        <f>DCF!C54</f>
        <v>-3630000</v>
      </c>
      <c r="F16" s="41">
        <f>E16/(E16+E15)</f>
        <v>-8.5954796774919198E-3</v>
      </c>
    </row>
    <row r="17" spans="2:10">
      <c r="F17" s="7"/>
    </row>
    <row r="18" spans="2:10">
      <c r="B18" s="7" t="s">
        <v>2</v>
      </c>
      <c r="F18" s="19">
        <f>F7*F16+F12*F15</f>
        <v>0.15812134931285324</v>
      </c>
    </row>
    <row r="20" spans="2:10">
      <c r="B20" s="15"/>
      <c r="C20" s="16"/>
      <c r="D20" s="16"/>
      <c r="E20" s="16"/>
      <c r="F20" s="16"/>
      <c r="G20" s="16"/>
      <c r="H20" s="16"/>
      <c r="I20" s="16"/>
      <c r="J20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1A00-DB94-4A9E-8399-BF29E84BD1F6}">
  <dimension ref="A1:L22"/>
  <sheetViews>
    <sheetView zoomScale="112" workbookViewId="0">
      <selection activeCell="C24" sqref="C24"/>
    </sheetView>
  </sheetViews>
  <sheetFormatPr defaultColWidth="8.69921875" defaultRowHeight="14.4"/>
  <cols>
    <col min="1" max="1" width="2.59765625" style="48" bestFit="1" customWidth="1"/>
    <col min="2" max="2" width="12.69921875" style="48" bestFit="1" customWidth="1"/>
    <col min="3" max="3" width="31" style="123" bestFit="1" customWidth="1"/>
    <col min="4" max="4" width="8.796875" style="48" bestFit="1" customWidth="1"/>
    <col min="5" max="5" width="12.19921875" style="48" customWidth="1"/>
    <col min="6" max="6" width="12.09765625" style="48" bestFit="1" customWidth="1"/>
    <col min="7" max="7" width="31.69921875" style="48" bestFit="1" customWidth="1"/>
    <col min="8" max="10" width="8.796875" style="48" bestFit="1" customWidth="1"/>
    <col min="11" max="11" width="4.69921875" style="48" bestFit="1" customWidth="1"/>
    <col min="12" max="16384" width="8.69921875" style="48"/>
  </cols>
  <sheetData>
    <row r="1" spans="1:12" s="1" customFormat="1" ht="15" thickBot="1">
      <c r="B1" s="119" t="s">
        <v>90</v>
      </c>
      <c r="C1" s="121"/>
      <c r="D1" s="120"/>
      <c r="E1" s="120"/>
      <c r="F1" s="120"/>
      <c r="G1" s="120"/>
      <c r="H1" s="120"/>
      <c r="I1" s="120"/>
      <c r="J1" s="120"/>
      <c r="K1" s="120"/>
      <c r="L1" s="120"/>
    </row>
    <row r="2" spans="1:12">
      <c r="B2" s="115"/>
      <c r="C2" s="122"/>
      <c r="D2" s="118"/>
    </row>
    <row r="3" spans="1:12" ht="15" thickBot="1">
      <c r="B3" s="119" t="str" cm="1">
        <f t="array" ref="B3:L3">DATA_COMPS!B1:L1</f>
        <v>Ticker</v>
      </c>
      <c r="C3" s="119" t="str">
        <v>PE</v>
      </c>
      <c r="D3" s="119" t="str">
        <v>PB</v>
      </c>
      <c r="E3" s="119" t="str">
        <v>PS</v>
      </c>
      <c r="F3" s="119" t="str">
        <v>QUICK</v>
      </c>
      <c r="G3" s="119" t="str">
        <v>CURRENT</v>
      </c>
      <c r="H3" s="119" t="str">
        <v>DTOE</v>
      </c>
      <c r="I3" s="119" t="str">
        <v>ROA</v>
      </c>
      <c r="J3" s="119" t="str">
        <v>ROE</v>
      </c>
      <c r="K3" s="119" t="str">
        <v>ROI</v>
      </c>
      <c r="L3" s="119" t="str">
        <v>GM</v>
      </c>
    </row>
    <row r="4" spans="1:12" s="117" customFormat="1" ht="15" thickBot="1">
      <c r="B4" s="141" t="str" cm="1">
        <f t="array" ref="B4:L14">DATA_COMPS!B2:L12</f>
        <v>nvda</v>
      </c>
      <c r="C4" s="141">
        <v>45.54</v>
      </c>
      <c r="D4" s="141">
        <v>16.170000000000002</v>
      </c>
      <c r="E4" s="141">
        <v>15.03</v>
      </c>
      <c r="F4" s="141">
        <v>4.7</v>
      </c>
      <c r="G4" s="141">
        <v>5.3</v>
      </c>
      <c r="H4" s="141">
        <v>0</v>
      </c>
      <c r="I4" s="141">
        <v>0.224</v>
      </c>
      <c r="J4" s="141">
        <v>0.38700000000000001</v>
      </c>
      <c r="K4" s="141">
        <v>0.26200000000000001</v>
      </c>
      <c r="L4" s="142">
        <v>0.65600000000000003</v>
      </c>
    </row>
    <row r="5" spans="1:12">
      <c r="A5" s="117"/>
      <c r="B5" s="128">
        <v>0</v>
      </c>
      <c r="C5" s="128">
        <v>0</v>
      </c>
      <c r="D5" s="128">
        <v>0</v>
      </c>
      <c r="E5" s="128">
        <v>0</v>
      </c>
      <c r="F5" s="128">
        <v>0</v>
      </c>
      <c r="G5" s="128">
        <v>0</v>
      </c>
      <c r="H5" s="128">
        <v>0</v>
      </c>
      <c r="I5" s="128">
        <v>0</v>
      </c>
      <c r="J5" s="128">
        <v>0</v>
      </c>
      <c r="K5" s="128">
        <v>0</v>
      </c>
      <c r="L5" s="48">
        <v>0</v>
      </c>
    </row>
    <row r="6" spans="1:12">
      <c r="B6" s="128" t="str">
        <v>AVGO</v>
      </c>
      <c r="C6" s="128">
        <v>26.82</v>
      </c>
      <c r="D6" s="128">
        <v>9.7100000000000009</v>
      </c>
      <c r="E6" s="128">
        <v>7.46</v>
      </c>
      <c r="F6" s="128">
        <v>2.2000000000000002</v>
      </c>
      <c r="G6" s="128">
        <v>2.4</v>
      </c>
      <c r="H6" s="128">
        <v>1.72</v>
      </c>
      <c r="I6" s="128">
        <v>8.5999999999999993E-2</v>
      </c>
      <c r="J6" s="128">
        <v>0.26800000000000002</v>
      </c>
      <c r="K6" s="128">
        <v>0.128</v>
      </c>
      <c r="L6" s="48">
        <v>0.64400000000000002</v>
      </c>
    </row>
    <row r="7" spans="1:12">
      <c r="A7" s="117"/>
      <c r="B7" s="128">
        <v>0</v>
      </c>
      <c r="C7" s="128">
        <v>0</v>
      </c>
      <c r="D7" s="128">
        <v>0</v>
      </c>
      <c r="E7" s="128">
        <v>0</v>
      </c>
      <c r="F7" s="128">
        <v>0</v>
      </c>
      <c r="G7" s="128">
        <v>0</v>
      </c>
      <c r="H7" s="128">
        <v>0</v>
      </c>
      <c r="I7" s="128">
        <v>0</v>
      </c>
      <c r="J7" s="128">
        <v>0</v>
      </c>
      <c r="K7" s="128">
        <v>0</v>
      </c>
      <c r="L7" s="48">
        <v>0</v>
      </c>
    </row>
    <row r="8" spans="1:12">
      <c r="B8" s="128">
        <v>0</v>
      </c>
      <c r="C8" s="128">
        <v>0</v>
      </c>
      <c r="D8" s="128">
        <v>0</v>
      </c>
      <c r="E8" s="128">
        <v>0</v>
      </c>
      <c r="F8" s="128">
        <v>0</v>
      </c>
      <c r="G8" s="128">
        <v>0</v>
      </c>
      <c r="H8" s="128">
        <v>0</v>
      </c>
      <c r="I8" s="128">
        <v>0</v>
      </c>
      <c r="J8" s="128">
        <v>0</v>
      </c>
      <c r="K8" s="128">
        <v>0</v>
      </c>
      <c r="L8" s="48">
        <v>0</v>
      </c>
    </row>
    <row r="9" spans="1:12">
      <c r="A9" s="117"/>
      <c r="B9" s="128">
        <v>0</v>
      </c>
      <c r="C9" s="128">
        <v>0</v>
      </c>
      <c r="D9" s="128">
        <v>0</v>
      </c>
      <c r="E9" s="128">
        <v>0</v>
      </c>
      <c r="F9" s="128">
        <v>0</v>
      </c>
      <c r="G9" s="128">
        <v>0</v>
      </c>
      <c r="H9" s="128">
        <v>0</v>
      </c>
      <c r="I9" s="128">
        <v>0</v>
      </c>
      <c r="J9" s="128">
        <v>0</v>
      </c>
      <c r="K9" s="128">
        <v>0</v>
      </c>
      <c r="L9" s="48">
        <v>0</v>
      </c>
    </row>
    <row r="10" spans="1:12">
      <c r="B10" s="128">
        <v>0</v>
      </c>
      <c r="C10" s="128">
        <v>0</v>
      </c>
      <c r="D10" s="128">
        <v>0</v>
      </c>
      <c r="E10" s="128">
        <v>0</v>
      </c>
      <c r="F10" s="128">
        <v>0</v>
      </c>
      <c r="G10" s="128">
        <v>0</v>
      </c>
      <c r="H10" s="128">
        <v>0</v>
      </c>
      <c r="I10" s="128">
        <v>0</v>
      </c>
      <c r="J10" s="128">
        <v>0</v>
      </c>
      <c r="K10" s="128">
        <v>0</v>
      </c>
      <c r="L10" s="48">
        <v>0</v>
      </c>
    </row>
    <row r="11" spans="1:12">
      <c r="A11" s="117"/>
      <c r="B11" s="128">
        <v>0</v>
      </c>
      <c r="C11" s="128">
        <v>0</v>
      </c>
      <c r="D11" s="128">
        <v>0</v>
      </c>
      <c r="E11" s="128">
        <v>0</v>
      </c>
      <c r="F11" s="128">
        <v>0</v>
      </c>
      <c r="G11" s="128">
        <v>0</v>
      </c>
      <c r="H11" s="128">
        <v>0</v>
      </c>
      <c r="I11" s="128">
        <v>0</v>
      </c>
      <c r="J11" s="128">
        <v>0</v>
      </c>
      <c r="K11" s="128">
        <v>0</v>
      </c>
      <c r="L11" s="48">
        <v>0</v>
      </c>
    </row>
    <row r="12" spans="1:12">
      <c r="B12" s="128">
        <v>0</v>
      </c>
      <c r="C12" s="128">
        <v>0</v>
      </c>
      <c r="D12" s="128">
        <v>0</v>
      </c>
      <c r="E12" s="128">
        <v>0</v>
      </c>
      <c r="F12" s="128">
        <v>0</v>
      </c>
      <c r="G12" s="128">
        <v>0</v>
      </c>
      <c r="H12" s="128">
        <v>0</v>
      </c>
      <c r="I12" s="128">
        <v>0</v>
      </c>
      <c r="J12" s="128">
        <v>0</v>
      </c>
      <c r="K12" s="128">
        <v>0</v>
      </c>
      <c r="L12" s="48">
        <v>0</v>
      </c>
    </row>
    <row r="13" spans="1:12">
      <c r="B13" s="128">
        <v>0</v>
      </c>
      <c r="C13" s="128">
        <v>0</v>
      </c>
      <c r="D13" s="128">
        <v>0</v>
      </c>
      <c r="E13" s="128">
        <v>0</v>
      </c>
      <c r="F13" s="128">
        <v>0</v>
      </c>
      <c r="G13" s="128">
        <v>0</v>
      </c>
      <c r="H13" s="128">
        <v>0</v>
      </c>
      <c r="I13" s="128">
        <v>0</v>
      </c>
      <c r="J13" s="128">
        <v>0</v>
      </c>
      <c r="K13" s="128">
        <v>0</v>
      </c>
      <c r="L13" s="48">
        <v>0</v>
      </c>
    </row>
    <row r="14" spans="1:12">
      <c r="B14" s="128">
        <v>0</v>
      </c>
      <c r="C14" s="128">
        <v>0</v>
      </c>
      <c r="D14" s="128">
        <v>0</v>
      </c>
      <c r="E14" s="128">
        <v>0</v>
      </c>
      <c r="F14" s="128">
        <v>0</v>
      </c>
      <c r="G14" s="128">
        <v>0</v>
      </c>
      <c r="H14" s="128">
        <v>0</v>
      </c>
      <c r="I14" s="128">
        <v>0</v>
      </c>
      <c r="J14" s="128">
        <v>0</v>
      </c>
      <c r="K14" s="128">
        <v>0</v>
      </c>
      <c r="L14" s="48">
        <v>0</v>
      </c>
    </row>
    <row r="15" spans="1:12">
      <c r="B15" s="128"/>
      <c r="C15" s="128"/>
      <c r="D15" s="128"/>
      <c r="E15" s="128"/>
      <c r="F15" s="128"/>
      <c r="G15" s="128"/>
      <c r="H15" s="128"/>
      <c r="I15" s="128"/>
      <c r="J15" s="128"/>
      <c r="K15" s="128"/>
    </row>
    <row r="16" spans="1:12" ht="15" thickBot="1">
      <c r="B16" s="119" t="s">
        <v>104</v>
      </c>
      <c r="C16" s="119" t="s">
        <v>95</v>
      </c>
      <c r="D16" s="119" t="s">
        <v>96</v>
      </c>
      <c r="E16" s="119" t="s">
        <v>97</v>
      </c>
      <c r="F16" s="119" t="s">
        <v>98</v>
      </c>
      <c r="G16" s="119" t="s">
        <v>99</v>
      </c>
      <c r="H16" s="119" t="s">
        <v>100</v>
      </c>
      <c r="I16" s="119" t="s">
        <v>101</v>
      </c>
      <c r="J16" s="119" t="s">
        <v>106</v>
      </c>
      <c r="K16" s="119" t="s">
        <v>102</v>
      </c>
      <c r="L16" s="119" t="s">
        <v>103</v>
      </c>
    </row>
    <row r="17" spans="2:12">
      <c r="B17" s="129" t="s">
        <v>104</v>
      </c>
      <c r="C17" s="123" cm="1">
        <f t="array" ref="C17">MEDIAN(IF(C4:C14&lt;&gt;0,C4:C14))</f>
        <v>36.18</v>
      </c>
      <c r="D17" s="123" cm="1">
        <f t="array" ref="D17">MEDIAN(IF(D4:D14&lt;&gt;0,D4:D14))</f>
        <v>12.940000000000001</v>
      </c>
      <c r="E17" s="123" cm="1">
        <f t="array" ref="E17">MEDIAN(IF(E4:E14&lt;&gt;0,E4:E14))</f>
        <v>11.244999999999999</v>
      </c>
      <c r="F17" s="123" cm="1">
        <f t="array" ref="F17">MEDIAN(IF(F4:F14&lt;&gt;0,F4:F14))</f>
        <v>3.45</v>
      </c>
      <c r="G17" s="123" cm="1">
        <f t="array" ref="G17">MEDIAN(IF(G4:G14&lt;&gt;0,G4:G14))</f>
        <v>3.8499999999999996</v>
      </c>
      <c r="H17" s="123" cm="1">
        <f t="array" ref="H17">MEDIAN(IF(H4:H14&lt;&gt;0,H4:H14))</f>
        <v>1.72</v>
      </c>
      <c r="I17" s="123" cm="1">
        <f t="array" ref="I17">MEDIAN(IF(I4:I14&lt;&gt;0,I4:I14))</f>
        <v>0.155</v>
      </c>
      <c r="J17" s="123" cm="1">
        <f t="array" ref="J17">MEDIAN(IF(J4:J14&lt;&gt;0,J4:J14))</f>
        <v>0.32750000000000001</v>
      </c>
      <c r="K17" s="123" cm="1">
        <f t="array" ref="K17">MEDIAN(IF(K4:K14&lt;&gt;0,K4:K14))</f>
        <v>0.19500000000000001</v>
      </c>
      <c r="L17" s="123" cm="1">
        <f t="array" ref="L17">MEDIAN(IF(L4:L14&lt;&gt;0,L4:L14))</f>
        <v>0.65</v>
      </c>
    </row>
    <row r="18" spans="2:12">
      <c r="B18" s="48" t="str" cm="1">
        <f t="array" ref="B18:L18">B4:L4</f>
        <v>nvda</v>
      </c>
      <c r="C18" s="123">
        <v>45.54</v>
      </c>
      <c r="D18" s="123">
        <v>16.170000000000002</v>
      </c>
      <c r="E18" s="123">
        <v>15.03</v>
      </c>
      <c r="F18" s="123">
        <v>4.7</v>
      </c>
      <c r="G18" s="123">
        <v>5.3</v>
      </c>
      <c r="H18" s="123">
        <v>0</v>
      </c>
      <c r="I18" s="123">
        <v>0.224</v>
      </c>
      <c r="J18" s="123">
        <v>0.38700000000000001</v>
      </c>
      <c r="K18" s="123">
        <v>0.26200000000000001</v>
      </c>
      <c r="L18" s="123">
        <v>0.65600000000000003</v>
      </c>
    </row>
    <row r="19" spans="2:12">
      <c r="F19" s="116"/>
    </row>
    <row r="20" spans="2:12" ht="15" thickBot="1">
      <c r="B20" s="119" t="s">
        <v>107</v>
      </c>
      <c r="C20" s="119" t="s">
        <v>95</v>
      </c>
      <c r="D20" s="119" t="s">
        <v>96</v>
      </c>
      <c r="E20" s="119" t="s">
        <v>97</v>
      </c>
      <c r="F20" s="119" t="s">
        <v>98</v>
      </c>
      <c r="G20" s="119" t="s">
        <v>99</v>
      </c>
      <c r="H20" s="119" t="s">
        <v>100</v>
      </c>
      <c r="I20" s="119" t="s">
        <v>101</v>
      </c>
      <c r="J20" s="119" t="s">
        <v>106</v>
      </c>
      <c r="K20" s="119" t="s">
        <v>102</v>
      </c>
      <c r="L20" s="119" t="s">
        <v>103</v>
      </c>
    </row>
    <row r="21" spans="2:12">
      <c r="B21" s="129" t="s">
        <v>107</v>
      </c>
      <c r="C21" s="123" cm="1">
        <f t="array" ref="C21">AVERAGE(IF(C4:C14&lt;&gt;0,C4:C14))</f>
        <v>36.18</v>
      </c>
      <c r="D21" s="123" cm="1">
        <f t="array" ref="D21">AVERAGE(IF(D4:D14&lt;&gt;0,D4:D14))</f>
        <v>12.940000000000001</v>
      </c>
      <c r="E21" s="123" cm="1">
        <f t="array" ref="E21">AVERAGE(IF(E4:E14&lt;&gt;0,E4:E14))</f>
        <v>11.244999999999999</v>
      </c>
      <c r="F21" s="123" cm="1">
        <f t="array" ref="F21">AVERAGE(IF(F4:F14&lt;&gt;0,F4:F14))</f>
        <v>3.45</v>
      </c>
      <c r="G21" s="123" cm="1">
        <f t="array" ref="G21">AVERAGE(IF(G4:G14&lt;&gt;0,G4:G14))</f>
        <v>3.8499999999999996</v>
      </c>
      <c r="H21" s="123" cm="1">
        <f t="array" ref="H21">AVERAGE(IF(H4:H14&lt;&gt;0,H4:H14))</f>
        <v>1.72</v>
      </c>
      <c r="I21" s="123" cm="1">
        <f t="array" ref="I21">AVERAGE(IF(I4:I14&lt;&gt;0,I4:I14))</f>
        <v>0.155</v>
      </c>
      <c r="J21" s="123" cm="1">
        <f t="array" ref="J21">AVERAGE(IF(J4:J14&lt;&gt;0,J4:J14))</f>
        <v>0.32750000000000001</v>
      </c>
      <c r="K21" s="123" cm="1">
        <f t="array" ref="K21">AVERAGE(IF(K4:K14&lt;&gt;0,K4:K14))</f>
        <v>0.19500000000000001</v>
      </c>
      <c r="L21" s="123" cm="1">
        <f t="array" ref="L21">AVERAGE(IF(L4:L14&lt;&gt;0,L4:L14))</f>
        <v>0.65</v>
      </c>
    </row>
    <row r="22" spans="2:12" ht="15.6">
      <c r="B22" t="str" cm="1">
        <f t="array" ref="B22:L22">B4:L4</f>
        <v>nvda</v>
      </c>
      <c r="C22">
        <v>45.54</v>
      </c>
      <c r="D22">
        <v>16.170000000000002</v>
      </c>
      <c r="E22">
        <v>15.03</v>
      </c>
      <c r="F22">
        <v>4.7</v>
      </c>
      <c r="G22">
        <v>5.3</v>
      </c>
      <c r="H22">
        <v>0</v>
      </c>
      <c r="I22">
        <v>0.224</v>
      </c>
      <c r="J22">
        <v>0.38700000000000001</v>
      </c>
      <c r="K22">
        <v>0.26200000000000001</v>
      </c>
      <c r="L22">
        <v>0.65600000000000003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DATA_COMPS</vt:lpstr>
      <vt:lpstr>DCF</vt:lpstr>
      <vt:lpstr>WACC</vt:lpstr>
      <vt:lpstr>COMPS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Stephen Moores</cp:lastModifiedBy>
  <cp:revision/>
  <dcterms:created xsi:type="dcterms:W3CDTF">2021-05-18T20:04:47Z</dcterms:created>
  <dcterms:modified xsi:type="dcterms:W3CDTF">2022-06-11T22:27:36Z</dcterms:modified>
  <cp:category/>
  <cp:contentStatus/>
</cp:coreProperties>
</file>