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49E5EE5D-E768-4405-832F-53F1CA45C096}" xr6:coauthVersionLast="47" xr6:coauthVersionMax="47" xr10:uidLastSave="{00000000-0000-0000-0000-000000000000}"/>
  <bookViews>
    <workbookView xWindow="-120" yWindow="-120" windowWidth="29040" windowHeight="15840" tabRatio="868" firstSheet="116" activeTab="116" xr2:uid="{00000000-000D-0000-FFFF-FFFF00000000}"/>
  </bookViews>
  <sheets>
    <sheet name="2017년 9월" sheetId="1" r:id="rId1"/>
    <sheet name="STEPJUMP_지출현황_인생계획" sheetId="2" state="hidden" r:id="rId2"/>
    <sheet name="2017년 10월" sheetId="3" state="hidden" r:id="rId3"/>
    <sheet name="45_2017년 11월" sheetId="4" state="hidden" r:id="rId4"/>
    <sheet name="45_2017년 12월" sheetId="5" state="hidden" r:id="rId5"/>
    <sheet name="샘플 (정규직)" sheetId="6" r:id="rId6"/>
    <sheet name="샘플 (프리)" sheetId="7" state="hidden" r:id="rId7"/>
    <sheet name="2016년 1월" sheetId="8" state="hidden" r:id="rId8"/>
    <sheet name="2016년 2월" sheetId="9" state="hidden" r:id="rId9"/>
    <sheet name="2016년 3월" sheetId="10" state="hidden" r:id="rId10"/>
    <sheet name="2016년 4월" sheetId="11" state="hidden" r:id="rId11"/>
    <sheet name="2016년 5월" sheetId="12" state="hidden" r:id="rId12"/>
    <sheet name="2016년 6월" sheetId="13" state="hidden" r:id="rId13"/>
    <sheet name="2016년 7월" sheetId="14" state="hidden" r:id="rId14"/>
    <sheet name="2016년 8월" sheetId="15" state="hidden" r:id="rId15"/>
    <sheet name="2016년 9월" sheetId="16" state="hidden" r:id="rId16"/>
    <sheet name="2016년 10월" sheetId="17" state="hidden" r:id="rId17"/>
    <sheet name="2016년 11월" sheetId="18" state="hidden" r:id="rId18"/>
    <sheet name="2016년 12월" sheetId="19" state="hidden" r:id="rId19"/>
    <sheet name="2017년 1월" sheetId="20" state="hidden" r:id="rId20"/>
    <sheet name="2017년 2월" sheetId="21" state="hidden" r:id="rId21"/>
    <sheet name="2017년 3월" sheetId="22" state="hidden" r:id="rId22"/>
    <sheet name="2017년 4월" sheetId="23" state="hidden" r:id="rId23"/>
    <sheet name="2017년 5월" sheetId="24" state="hidden" r:id="rId24"/>
    <sheet name="2017년 6월" sheetId="25" state="hidden" r:id="rId25"/>
    <sheet name="2017년 7월 " sheetId="26" state="hidden" r:id="rId26"/>
    <sheet name="2017년 8월" sheetId="27" state="hidden" r:id="rId27"/>
    <sheet name="샘플 (NULL)" sheetId="28" r:id="rId28"/>
    <sheet name="프리예시" sheetId="29" r:id="rId29"/>
    <sheet name="46_2018년 1월" sheetId="30" r:id="rId30"/>
    <sheet name="46_2018년 2월" sheetId="31" r:id="rId31"/>
    <sheet name="46_2018년 4월" sheetId="32" r:id="rId32"/>
    <sheet name="46_2018년 5월" sheetId="33" r:id="rId33"/>
    <sheet name="46_2018년 6월" sheetId="34" r:id="rId34"/>
    <sheet name="46_2018년 7월" sheetId="35" r:id="rId35"/>
    <sheet name="46_2018년 8월" sheetId="36" r:id="rId36"/>
    <sheet name="46_2018년 9월" sheetId="37" r:id="rId37"/>
    <sheet name="46_2018년 10월" sheetId="38" r:id="rId38"/>
    <sheet name="46_2018년 11월" sheetId="39" r:id="rId39"/>
    <sheet name="46_2018년 12월" sheetId="40" r:id="rId40"/>
    <sheet name="47_2019년 1월" sheetId="41" r:id="rId41"/>
    <sheet name="47_2019년 2월" sheetId="42" r:id="rId42"/>
    <sheet name="47_2019년 3월" sheetId="43" r:id="rId43"/>
    <sheet name="47_2019년 4월" sheetId="44" r:id="rId44"/>
    <sheet name="47_2019년 5월" sheetId="45" r:id="rId45"/>
    <sheet name="47_2019년 6월" sheetId="157" r:id="rId46"/>
    <sheet name="47_2019년 7월" sheetId="158" r:id="rId47"/>
    <sheet name="47_2019년 8월" sheetId="159" r:id="rId48"/>
    <sheet name="47_2019년 9월" sheetId="160" r:id="rId49"/>
    <sheet name="47_2019년 10월" sheetId="172" r:id="rId50"/>
    <sheet name="47_2019년 11월" sheetId="171" r:id="rId51"/>
    <sheet name="47_2019년 12월" sheetId="170" r:id="rId52"/>
    <sheet name="48_2020년 1월" sheetId="165" r:id="rId53"/>
    <sheet name="48_2020년 2월" sheetId="166" r:id="rId54"/>
    <sheet name="48_2020년 3월" sheetId="55" r:id="rId55"/>
    <sheet name="48_2020년 4월" sheetId="56" r:id="rId56"/>
    <sheet name="48_2020년 5월" sheetId="57" r:id="rId57"/>
    <sheet name="48_2020년 6월" sheetId="175" r:id="rId58"/>
    <sheet name="48_2020년 7월" sheetId="176" r:id="rId59"/>
    <sheet name="48_2020년 8월" sheetId="177" r:id="rId60"/>
    <sheet name="48_2020년 9월" sheetId="178" r:id="rId61"/>
    <sheet name="48_2020년 10월" sheetId="179" r:id="rId62"/>
    <sheet name="48_2020년 11월" sheetId="180" r:id="rId63"/>
    <sheet name="48_2020년 12월" sheetId="181" r:id="rId64"/>
    <sheet name="49_2021년 1월" sheetId="65" r:id="rId65"/>
    <sheet name="49_2021년 2월" sheetId="66" r:id="rId66"/>
    <sheet name="49_2021년 3월" sheetId="67" r:id="rId67"/>
    <sheet name="49_2021년 4월" sheetId="68" r:id="rId68"/>
    <sheet name="49_2021년 5월" sheetId="156" r:id="rId69"/>
    <sheet name="49_2021년 6월" sheetId="70" r:id="rId70"/>
    <sheet name="49_2021년 7월" sheetId="71" r:id="rId71"/>
    <sheet name="정규직 340만" sheetId="189" r:id="rId72"/>
    <sheet name="정규직 340만 (51)" sheetId="190" r:id="rId73"/>
    <sheet name="49_2021년 8월" sheetId="72" r:id="rId74"/>
    <sheet name="49_2021년 9월" sheetId="73" r:id="rId75"/>
    <sheet name="49_2021년 10월" sheetId="74" r:id="rId76"/>
    <sheet name="49_2021년 11월" sheetId="75" r:id="rId77"/>
    <sheet name="49_2021년 12월" sheetId="76" r:id="rId78"/>
    <sheet name="50_2022년 1월" sheetId="203" r:id="rId79"/>
    <sheet name="50_2022년 2월" sheetId="192" r:id="rId80"/>
    <sheet name="50_2022년 3월" sheetId="193" r:id="rId81"/>
    <sheet name="50_2022년 4월" sheetId="194" r:id="rId82"/>
    <sheet name="50_2022년 5월" sheetId="195" r:id="rId83"/>
    <sheet name="50_2022년 6월" sheetId="196" r:id="rId84"/>
    <sheet name="50_2022년 7월" sheetId="197" r:id="rId85"/>
    <sheet name="50_2022년 8월" sheetId="198" r:id="rId86"/>
    <sheet name="50_2022년 9월" sheetId="199" r:id="rId87"/>
    <sheet name="50_2022년 10월" sheetId="200" r:id="rId88"/>
    <sheet name="50_2022년 11월" sheetId="201" r:id="rId89"/>
    <sheet name="50_2022년 12월" sheetId="202" r:id="rId90"/>
    <sheet name="51_2023년 1월 " sheetId="205" r:id="rId91"/>
    <sheet name="51_2023년 2월" sheetId="204" r:id="rId92"/>
    <sheet name="51_2023년 3월" sheetId="206" r:id="rId93"/>
    <sheet name="51_2023년 4월" sheetId="215" r:id="rId94"/>
    <sheet name="51_2023년 5월" sheetId="207" r:id="rId95"/>
    <sheet name="51_2023년 6월" sheetId="217" r:id="rId96"/>
    <sheet name="51_2023년 7월 " sheetId="223" r:id="rId97"/>
    <sheet name="51_2023년 8월" sheetId="257" r:id="rId98"/>
    <sheet name="51_58_2023년 정규직2" sheetId="238" r:id="rId99"/>
    <sheet name="51_61_2023년 정규직3" sheetId="274" r:id="rId100"/>
    <sheet name="51_2023년 9월" sheetId="263" r:id="rId101"/>
    <sheet name="51_2023년 10월" sheetId="265" r:id="rId102"/>
    <sheet name="52_2024년 1월 (PLUS)" sheetId="287" r:id="rId103"/>
    <sheet name="51_2023년 11월" sheetId="266" r:id="rId104"/>
    <sheet name="51_2023년 12월" sheetId="267" r:id="rId105"/>
    <sheet name="52_2024년 1월" sheetId="270" r:id="rId106"/>
    <sheet name="52_2024년 2월" sheetId="272" r:id="rId107"/>
    <sheet name="52_2024년 정규직" sheetId="273" r:id="rId108"/>
    <sheet name="52_2024년 숨만쉬기" sheetId="307" r:id="rId109"/>
    <sheet name="52_2024년 프리랜서" sheetId="308" r:id="rId110"/>
    <sheet name="52_2024년 3월" sheetId="276" r:id="rId111"/>
    <sheet name="52_2024년 4월 (2)" sheetId="325" r:id="rId112"/>
    <sheet name="52_2024년 4월" sheetId="277" r:id="rId113"/>
    <sheet name="은퇴_정규직52" sheetId="326" r:id="rId114"/>
    <sheet name="은퇴전_정규직" sheetId="327" r:id="rId115"/>
    <sheet name="52_2024년 5월" sheetId="321" r:id="rId116"/>
    <sheet name="52_2024년 6월" sheetId="323" r:id="rId117"/>
    <sheet name="52_2024년 7월" sheetId="280" r:id="rId118"/>
    <sheet name="52_2024년 8월" sheetId="281" r:id="rId119"/>
    <sheet name="52_2024년 9월" sheetId="282" r:id="rId120"/>
    <sheet name="52_2024년 10월" sheetId="283" r:id="rId121"/>
    <sheet name="52_2024년 11월" sheetId="284" r:id="rId122"/>
    <sheet name="52_2024년 12월" sheetId="285" r:id="rId123"/>
    <sheet name="53_2025년 1월" sheetId="286" r:id="rId124"/>
    <sheet name="53_2025년 2월 " sheetId="275" r:id="rId125"/>
    <sheet name="53_2025년 3월" sheetId="309" r:id="rId126"/>
    <sheet name="53_2025년 4월" sheetId="310" r:id="rId127"/>
    <sheet name="53_2025년 5월" sheetId="311" r:id="rId128"/>
    <sheet name="53_2025년 6월" sheetId="312" r:id="rId129"/>
    <sheet name="53_2025년 7월" sheetId="313" r:id="rId130"/>
    <sheet name="53_2025년 8월" sheetId="314" r:id="rId131"/>
    <sheet name="53_2025년 9월" sheetId="315" r:id="rId132"/>
    <sheet name="53_2025년 10월" sheetId="316" r:id="rId133"/>
    <sheet name="53_2025년 11월" sheetId="317" r:id="rId134"/>
    <sheet name="53_2025년 12월" sheetId="318" r:id="rId135"/>
    <sheet name="54_2026년 1월" sheetId="319" r:id="rId136"/>
    <sheet name="54_2026년 2월" sheetId="320" r:id="rId137"/>
  </sheets>
  <definedNames>
    <definedName name="__xlnm._FilterDatabase" localSheetId="32">'46_2018년 5월'!$K$57:$N$62</definedName>
    <definedName name="__xlnm._FilterDatabase_1">'46_2018년 5월'!$K$57:$N$62</definedName>
    <definedName name="_xlnm._FilterDatabase" localSheetId="32" hidden="1">'46_2018년 5월'!$K$57:$N$62</definedName>
  </definedNames>
  <calcPr calcId="181029" iterateDelta="1E-4"/>
</workbook>
</file>

<file path=xl/calcChain.xml><?xml version="1.0" encoding="utf-8"?>
<calcChain xmlns="http://schemas.openxmlformats.org/spreadsheetml/2006/main">
  <c r="H61" i="327" l="1"/>
  <c r="H62" i="327" s="1"/>
  <c r="M59" i="327"/>
  <c r="G27" i="327" s="1"/>
  <c r="L59" i="327"/>
  <c r="M57" i="327"/>
  <c r="M56" i="327"/>
  <c r="M55" i="327"/>
  <c r="D52" i="327"/>
  <c r="G42" i="327" s="1"/>
  <c r="D50" i="327"/>
  <c r="K44" i="327"/>
  <c r="K43" i="327"/>
  <c r="B34" i="327"/>
  <c r="G32" i="327"/>
  <c r="D25" i="327"/>
  <c r="G40" i="327" s="1"/>
  <c r="G45" i="327" s="1"/>
  <c r="F10" i="327"/>
  <c r="F6" i="327"/>
  <c r="H10" i="327" s="1"/>
  <c r="G31" i="280"/>
  <c r="K44" i="323"/>
  <c r="D50" i="282"/>
  <c r="K44" i="281"/>
  <c r="K44" i="282"/>
  <c r="D50" i="323"/>
  <c r="D52" i="323"/>
  <c r="G42" i="323" s="1"/>
  <c r="K44" i="321"/>
  <c r="D50" i="326"/>
  <c r="D50" i="281"/>
  <c r="D50" i="280"/>
  <c r="H61" i="326"/>
  <c r="H62" i="326"/>
  <c r="M55" i="326"/>
  <c r="M56" i="326"/>
  <c r="M57" i="326"/>
  <c r="M59" i="326"/>
  <c r="G27" i="326"/>
  <c r="L59" i="326"/>
  <c r="D52" i="326"/>
  <c r="G42" i="326"/>
  <c r="K44" i="326"/>
  <c r="K43" i="326"/>
  <c r="B34" i="326"/>
  <c r="G32" i="326"/>
  <c r="D25" i="326"/>
  <c r="G40" i="326" s="1"/>
  <c r="G45" i="326" s="1"/>
  <c r="G46" i="326" s="1"/>
  <c r="F10" i="326"/>
  <c r="F6" i="326"/>
  <c r="H10" i="326" s="1"/>
  <c r="K43" i="281"/>
  <c r="G32" i="282"/>
  <c r="G32" i="321"/>
  <c r="D25" i="321"/>
  <c r="G40" i="321" s="1"/>
  <c r="G31" i="277"/>
  <c r="D25" i="323"/>
  <c r="G40" i="323" s="1"/>
  <c r="G32" i="323"/>
  <c r="D50" i="321"/>
  <c r="H61" i="325"/>
  <c r="H62" i="325"/>
  <c r="M55" i="325"/>
  <c r="M56" i="325"/>
  <c r="M57" i="325"/>
  <c r="M59" i="325"/>
  <c r="L59" i="325"/>
  <c r="D50" i="325"/>
  <c r="D52" i="325"/>
  <c r="G42" i="325"/>
  <c r="K44" i="325"/>
  <c r="K43" i="325"/>
  <c r="B34" i="325"/>
  <c r="G31" i="325"/>
  <c r="G32" i="325"/>
  <c r="G27" i="325"/>
  <c r="D25" i="325"/>
  <c r="G40" i="325"/>
  <c r="G45" i="325"/>
  <c r="F10" i="325"/>
  <c r="F6" i="325"/>
  <c r="H10" i="325"/>
  <c r="H61" i="323"/>
  <c r="H62" i="323"/>
  <c r="M55" i="323"/>
  <c r="M56" i="323"/>
  <c r="M57" i="323"/>
  <c r="M59" i="323"/>
  <c r="L59" i="323"/>
  <c r="K43" i="323"/>
  <c r="B34" i="323"/>
  <c r="G27" i="323"/>
  <c r="F6" i="323"/>
  <c r="H10" i="323" s="1"/>
  <c r="F10" i="323"/>
  <c r="H61" i="321"/>
  <c r="H62" i="321"/>
  <c r="M55" i="321"/>
  <c r="M56" i="321"/>
  <c r="M57" i="321"/>
  <c r="M59" i="321"/>
  <c r="L59" i="321"/>
  <c r="D52" i="321"/>
  <c r="G42" i="321" s="1"/>
  <c r="K43" i="321"/>
  <c r="B34" i="321"/>
  <c r="G27" i="321"/>
  <c r="F6" i="321"/>
  <c r="H10" i="321" s="1"/>
  <c r="F10" i="321"/>
  <c r="K44" i="277"/>
  <c r="F30" i="276"/>
  <c r="H61" i="320"/>
  <c r="H62" i="320"/>
  <c r="L59" i="320"/>
  <c r="M57" i="320"/>
  <c r="M56" i="320"/>
  <c r="M55" i="320"/>
  <c r="M59" i="320"/>
  <c r="G27" i="320"/>
  <c r="D50" i="320"/>
  <c r="D52" i="320"/>
  <c r="K44" i="320"/>
  <c r="K43" i="320"/>
  <c r="G42" i="320"/>
  <c r="D25" i="320"/>
  <c r="G40" i="320" s="1"/>
  <c r="G45" i="320" s="1"/>
  <c r="G32" i="320"/>
  <c r="B34" i="320"/>
  <c r="F10" i="320"/>
  <c r="F6" i="320"/>
  <c r="H10" i="320"/>
  <c r="H61" i="319"/>
  <c r="H62" i="319"/>
  <c r="L59" i="319"/>
  <c r="M57" i="319"/>
  <c r="M56" i="319"/>
  <c r="M55" i="319"/>
  <c r="M59" i="319"/>
  <c r="G27" i="319"/>
  <c r="D50" i="319"/>
  <c r="D52" i="319"/>
  <c r="G42" i="319"/>
  <c r="K44" i="319"/>
  <c r="K43" i="319"/>
  <c r="D25" i="319"/>
  <c r="G40" i="319" s="1"/>
  <c r="G45" i="319" s="1"/>
  <c r="G32" i="319"/>
  <c r="B34" i="319"/>
  <c r="F6" i="319"/>
  <c r="F10" i="319"/>
  <c r="H10" i="319"/>
  <c r="H61" i="318"/>
  <c r="H62" i="318"/>
  <c r="L59" i="318"/>
  <c r="M57" i="318"/>
  <c r="M56" i="318"/>
  <c r="M55" i="318"/>
  <c r="M59" i="318"/>
  <c r="G27" i="318"/>
  <c r="D50" i="318"/>
  <c r="D52" i="318"/>
  <c r="G42" i="318"/>
  <c r="K44" i="318"/>
  <c r="K43" i="318"/>
  <c r="D25" i="318"/>
  <c r="G40" i="318" s="1"/>
  <c r="G45" i="318" s="1"/>
  <c r="G32" i="318"/>
  <c r="B34" i="318"/>
  <c r="F6" i="318"/>
  <c r="F10" i="318"/>
  <c r="H10" i="318"/>
  <c r="H61" i="317"/>
  <c r="H62" i="317"/>
  <c r="L59" i="317"/>
  <c r="M57" i="317"/>
  <c r="M56" i="317"/>
  <c r="M55" i="317"/>
  <c r="M59" i="317"/>
  <c r="G27" i="317"/>
  <c r="D50" i="317"/>
  <c r="D52" i="317"/>
  <c r="G42" i="317"/>
  <c r="K44" i="317"/>
  <c r="K43" i="317"/>
  <c r="D25" i="317"/>
  <c r="G40" i="317" s="1"/>
  <c r="G45" i="317" s="1"/>
  <c r="G32" i="317"/>
  <c r="B34" i="317"/>
  <c r="F6" i="317"/>
  <c r="H10" i="317" s="1"/>
  <c r="F10" i="317"/>
  <c r="H61" i="316"/>
  <c r="H62" i="316"/>
  <c r="L59" i="316"/>
  <c r="M57" i="316"/>
  <c r="M56" i="316"/>
  <c r="M55" i="316"/>
  <c r="M59" i="316"/>
  <c r="G27" i="316"/>
  <c r="D50" i="316"/>
  <c r="D52" i="316"/>
  <c r="G42" i="316"/>
  <c r="K44" i="316"/>
  <c r="K43" i="316"/>
  <c r="D25" i="316"/>
  <c r="G40" i="316" s="1"/>
  <c r="G45" i="316" s="1"/>
  <c r="G46" i="316" s="1"/>
  <c r="G32" i="316"/>
  <c r="B34" i="316"/>
  <c r="F6" i="316"/>
  <c r="F10" i="316"/>
  <c r="H10" i="316"/>
  <c r="H61" i="315"/>
  <c r="H62" i="315"/>
  <c r="L59" i="315"/>
  <c r="M57" i="315"/>
  <c r="M56" i="315"/>
  <c r="M55" i="315"/>
  <c r="M59" i="315"/>
  <c r="G27" i="315"/>
  <c r="D50" i="315"/>
  <c r="D52" i="315"/>
  <c r="G42" i="315"/>
  <c r="K44" i="315"/>
  <c r="K43" i="315"/>
  <c r="D25" i="315"/>
  <c r="G40" i="315" s="1"/>
  <c r="G45" i="315" s="1"/>
  <c r="G32" i="315"/>
  <c r="B34" i="315"/>
  <c r="F10" i="315"/>
  <c r="F6" i="315"/>
  <c r="H10" i="315" s="1"/>
  <c r="H61" i="314"/>
  <c r="H62" i="314"/>
  <c r="L59" i="314"/>
  <c r="M57" i="314"/>
  <c r="M56" i="314"/>
  <c r="M55" i="314"/>
  <c r="M59" i="314"/>
  <c r="G27" i="314"/>
  <c r="D50" i="314"/>
  <c r="D52" i="314"/>
  <c r="G42" i="314"/>
  <c r="K44" i="314"/>
  <c r="K43" i="314"/>
  <c r="D25" i="314"/>
  <c r="G40" i="314" s="1"/>
  <c r="G45" i="314" s="1"/>
  <c r="G46" i="314" s="1"/>
  <c r="G32" i="314"/>
  <c r="B34" i="314"/>
  <c r="F10" i="314"/>
  <c r="F6" i="314"/>
  <c r="H10" i="314"/>
  <c r="H61" i="313"/>
  <c r="H62" i="313"/>
  <c r="L59" i="313"/>
  <c r="M57" i="313"/>
  <c r="M56" i="313"/>
  <c r="M55" i="313"/>
  <c r="M59" i="313"/>
  <c r="G27" i="313"/>
  <c r="D50" i="313"/>
  <c r="D52" i="313"/>
  <c r="G42" i="313"/>
  <c r="K44" i="313"/>
  <c r="K43" i="313"/>
  <c r="D25" i="313"/>
  <c r="G40" i="313" s="1"/>
  <c r="G45" i="313" s="1"/>
  <c r="G32" i="313"/>
  <c r="B34" i="313"/>
  <c r="F10" i="313"/>
  <c r="F6" i="313"/>
  <c r="H10" i="313" s="1"/>
  <c r="H61" i="312"/>
  <c r="H62" i="312"/>
  <c r="L59" i="312"/>
  <c r="M57" i="312"/>
  <c r="M56" i="312"/>
  <c r="M55" i="312"/>
  <c r="M59" i="312"/>
  <c r="G27" i="312"/>
  <c r="D50" i="312"/>
  <c r="D52" i="312"/>
  <c r="K44" i="312"/>
  <c r="K43" i="312"/>
  <c r="G42" i="312"/>
  <c r="D25" i="312"/>
  <c r="G40" i="312" s="1"/>
  <c r="G45" i="312" s="1"/>
  <c r="G46" i="312" s="1"/>
  <c r="G32" i="312"/>
  <c r="B34" i="312"/>
  <c r="F6" i="312"/>
  <c r="F10" i="312"/>
  <c r="H10" i="312"/>
  <c r="H61" i="311"/>
  <c r="H62" i="311"/>
  <c r="L59" i="311"/>
  <c r="M57" i="311"/>
  <c r="M56" i="311"/>
  <c r="M55" i="311"/>
  <c r="M59" i="311"/>
  <c r="G27" i="311"/>
  <c r="D50" i="311"/>
  <c r="D52" i="311"/>
  <c r="K44" i="311"/>
  <c r="K43" i="311"/>
  <c r="G42" i="311"/>
  <c r="D25" i="311"/>
  <c r="G40" i="311" s="1"/>
  <c r="G45" i="311" s="1"/>
  <c r="G32" i="311"/>
  <c r="B34" i="311"/>
  <c r="F6" i="311"/>
  <c r="F10" i="311"/>
  <c r="H10" i="311"/>
  <c r="H61" i="310"/>
  <c r="H62" i="310"/>
  <c r="L59" i="310"/>
  <c r="M57" i="310"/>
  <c r="M56" i="310"/>
  <c r="M55" i="310"/>
  <c r="M59" i="310"/>
  <c r="G27" i="310"/>
  <c r="D50" i="310"/>
  <c r="D52" i="310"/>
  <c r="G42" i="310"/>
  <c r="K44" i="310"/>
  <c r="K43" i="310"/>
  <c r="D25" i="310"/>
  <c r="G40" i="310" s="1"/>
  <c r="G45" i="310" s="1"/>
  <c r="G32" i="310"/>
  <c r="B34" i="310"/>
  <c r="F6" i="310"/>
  <c r="F10" i="310"/>
  <c r="H10" i="310"/>
  <c r="H61" i="309"/>
  <c r="H62" i="309"/>
  <c r="L59" i="309"/>
  <c r="M57" i="309"/>
  <c r="M56" i="309"/>
  <c r="M55" i="309"/>
  <c r="M59" i="309"/>
  <c r="G27" i="309"/>
  <c r="D50" i="309"/>
  <c r="D52" i="309"/>
  <c r="G42" i="309"/>
  <c r="K44" i="309"/>
  <c r="K43" i="309"/>
  <c r="D25" i="309"/>
  <c r="G40" i="309"/>
  <c r="G45" i="309"/>
  <c r="G32" i="309"/>
  <c r="B34" i="309"/>
  <c r="F6" i="309"/>
  <c r="F10" i="309"/>
  <c r="H10" i="309"/>
  <c r="K44" i="275"/>
  <c r="K43" i="275"/>
  <c r="K44" i="286"/>
  <c r="K43" i="286"/>
  <c r="K44" i="285"/>
  <c r="K43" i="285"/>
  <c r="K44" i="284"/>
  <c r="K43" i="284"/>
  <c r="K44" i="283"/>
  <c r="K43" i="283"/>
  <c r="K43" i="282"/>
  <c r="K44" i="276"/>
  <c r="D50" i="283"/>
  <c r="D50" i="285"/>
  <c r="D52" i="285" s="1"/>
  <c r="G42" i="285" s="1"/>
  <c r="D50" i="286"/>
  <c r="D50" i="275"/>
  <c r="D50" i="284"/>
  <c r="D50" i="277"/>
  <c r="H61" i="308"/>
  <c r="H62" i="308"/>
  <c r="M56" i="308"/>
  <c r="M57" i="308"/>
  <c r="M59" i="308"/>
  <c r="G27" i="308"/>
  <c r="L59" i="308"/>
  <c r="D50" i="308"/>
  <c r="D52" i="308"/>
  <c r="G42" i="308"/>
  <c r="K44" i="308"/>
  <c r="K43" i="308"/>
  <c r="B34" i="308"/>
  <c r="G32" i="308"/>
  <c r="D25" i="308"/>
  <c r="G40" i="308"/>
  <c r="G45" i="308"/>
  <c r="F10" i="308"/>
  <c r="A7" i="308"/>
  <c r="F6" i="308"/>
  <c r="H10" i="308"/>
  <c r="I37" i="276"/>
  <c r="D50" i="273"/>
  <c r="D50" i="307"/>
  <c r="H61" i="307"/>
  <c r="H62" i="307"/>
  <c r="M56" i="307"/>
  <c r="M57" i="307"/>
  <c r="M59" i="307"/>
  <c r="G27" i="307"/>
  <c r="L59" i="307"/>
  <c r="D52" i="307"/>
  <c r="K44" i="307"/>
  <c r="K43" i="307"/>
  <c r="G42" i="307"/>
  <c r="B34" i="307"/>
  <c r="G32" i="307"/>
  <c r="D25" i="307"/>
  <c r="G40" i="307"/>
  <c r="G45" i="307"/>
  <c r="F6" i="307"/>
  <c r="F10" i="307"/>
  <c r="H10" i="307"/>
  <c r="A7" i="307"/>
  <c r="D50" i="276"/>
  <c r="D52" i="273"/>
  <c r="G42" i="273"/>
  <c r="K44" i="272"/>
  <c r="K43" i="277"/>
  <c r="K43" i="276"/>
  <c r="K43" i="272"/>
  <c r="K44" i="270"/>
  <c r="D50" i="272"/>
  <c r="D52" i="286"/>
  <c r="G42" i="286"/>
  <c r="D52" i="275"/>
  <c r="G42" i="275"/>
  <c r="F35" i="270"/>
  <c r="F6" i="270"/>
  <c r="F6" i="275"/>
  <c r="F6" i="286"/>
  <c r="F6" i="285"/>
  <c r="H10" i="285" s="1"/>
  <c r="F6" i="284"/>
  <c r="H10" i="284" s="1"/>
  <c r="F6" i="283"/>
  <c r="F6" i="282"/>
  <c r="F6" i="281"/>
  <c r="F10" i="281"/>
  <c r="H10" i="281"/>
  <c r="F6" i="280"/>
  <c r="F6" i="277"/>
  <c r="F6" i="276"/>
  <c r="F6" i="272"/>
  <c r="F10" i="272"/>
  <c r="H10" i="272"/>
  <c r="D52" i="276"/>
  <c r="G42" i="276"/>
  <c r="D50" i="270"/>
  <c r="I32" i="267"/>
  <c r="G35" i="267"/>
  <c r="D52" i="282"/>
  <c r="G42" i="282" s="1"/>
  <c r="D52" i="280"/>
  <c r="G42" i="280" s="1"/>
  <c r="D25" i="280"/>
  <c r="G40" i="280" s="1"/>
  <c r="D52" i="277"/>
  <c r="G42" i="277"/>
  <c r="D25" i="277"/>
  <c r="G40" i="277"/>
  <c r="G45" i="277"/>
  <c r="G32" i="277"/>
  <c r="G46" i="277"/>
  <c r="P63" i="267"/>
  <c r="G32" i="272"/>
  <c r="V57" i="267"/>
  <c r="V54" i="267"/>
  <c r="V53" i="267"/>
  <c r="T51" i="267"/>
  <c r="K43" i="270"/>
  <c r="G32" i="270"/>
  <c r="D52" i="270"/>
  <c r="G42" i="270"/>
  <c r="D25" i="270"/>
  <c r="G40" i="270"/>
  <c r="D53" i="267"/>
  <c r="D28" i="267"/>
  <c r="G43" i="267"/>
  <c r="D53" i="287"/>
  <c r="D52" i="287"/>
  <c r="H64" i="287"/>
  <c r="H65" i="287"/>
  <c r="M58" i="287"/>
  <c r="M59" i="287"/>
  <c r="M60" i="287"/>
  <c r="M62" i="287"/>
  <c r="G30" i="287"/>
  <c r="L62" i="287"/>
  <c r="G35" i="287"/>
  <c r="D28" i="287"/>
  <c r="G43" i="287"/>
  <c r="K47" i="287"/>
  <c r="K46" i="287"/>
  <c r="B37" i="287"/>
  <c r="F33" i="287"/>
  <c r="F9" i="287"/>
  <c r="F13" i="287"/>
  <c r="H13" i="287"/>
  <c r="G34" i="265"/>
  <c r="D52" i="265"/>
  <c r="H61" i="286"/>
  <c r="H62" i="286"/>
  <c r="M55" i="286"/>
  <c r="M56" i="286"/>
  <c r="M57" i="286"/>
  <c r="L59" i="286"/>
  <c r="D25" i="286"/>
  <c r="G40" i="286"/>
  <c r="G45" i="286"/>
  <c r="G32" i="286"/>
  <c r="B34" i="286"/>
  <c r="F10" i="286"/>
  <c r="H61" i="285"/>
  <c r="H62" i="285"/>
  <c r="M55" i="285"/>
  <c r="M59" i="285" s="1"/>
  <c r="G27" i="285" s="1"/>
  <c r="M56" i="285"/>
  <c r="M57" i="285"/>
  <c r="L59" i="285"/>
  <c r="G32" i="285"/>
  <c r="D25" i="285"/>
  <c r="G40" i="285"/>
  <c r="B34" i="285"/>
  <c r="F10" i="285"/>
  <c r="H61" i="284"/>
  <c r="H62" i="284"/>
  <c r="M55" i="284"/>
  <c r="M56" i="284"/>
  <c r="M57" i="284"/>
  <c r="L59" i="284"/>
  <c r="G32" i="284"/>
  <c r="D25" i="284"/>
  <c r="G40" i="284" s="1"/>
  <c r="G45" i="284" s="1"/>
  <c r="G46" i="284" s="1"/>
  <c r="D52" i="284"/>
  <c r="G42" i="284"/>
  <c r="B34" i="284"/>
  <c r="F10" i="284"/>
  <c r="H61" i="283"/>
  <c r="H62" i="283"/>
  <c r="M55" i="283"/>
  <c r="M56" i="283"/>
  <c r="M57" i="283"/>
  <c r="L59" i="283"/>
  <c r="G32" i="283"/>
  <c r="D25" i="283"/>
  <c r="G40" i="283"/>
  <c r="G45" i="283" s="1"/>
  <c r="G46" i="283" s="1"/>
  <c r="D52" i="283"/>
  <c r="G42" i="283"/>
  <c r="B34" i="283"/>
  <c r="F10" i="283"/>
  <c r="H10" i="283"/>
  <c r="H61" i="282"/>
  <c r="H62" i="282"/>
  <c r="M55" i="282"/>
  <c r="M56" i="282"/>
  <c r="M57" i="282"/>
  <c r="L59" i="282"/>
  <c r="D25" i="282"/>
  <c r="G40" i="282" s="1"/>
  <c r="B34" i="282"/>
  <c r="F10" i="282"/>
  <c r="H61" i="281"/>
  <c r="H62" i="281"/>
  <c r="M55" i="281"/>
  <c r="M56" i="281"/>
  <c r="M57" i="281"/>
  <c r="L59" i="281"/>
  <c r="G32" i="281"/>
  <c r="D25" i="281"/>
  <c r="G40" i="281"/>
  <c r="B34" i="281"/>
  <c r="H61" i="280"/>
  <c r="H62" i="280"/>
  <c r="M55" i="280"/>
  <c r="M56" i="280"/>
  <c r="M57" i="280"/>
  <c r="L59" i="280"/>
  <c r="G32" i="280"/>
  <c r="B34" i="280"/>
  <c r="F10" i="280"/>
  <c r="H10" i="280"/>
  <c r="H61" i="277"/>
  <c r="H62" i="277"/>
  <c r="M55" i="277"/>
  <c r="M56" i="277"/>
  <c r="M57" i="277"/>
  <c r="L59" i="277"/>
  <c r="B34" i="277"/>
  <c r="F10" i="277"/>
  <c r="H61" i="276"/>
  <c r="H62" i="276"/>
  <c r="M55" i="276"/>
  <c r="M56" i="276"/>
  <c r="M57" i="276"/>
  <c r="L59" i="276"/>
  <c r="G32" i="276"/>
  <c r="D25" i="276"/>
  <c r="G40" i="276"/>
  <c r="B34" i="276"/>
  <c r="F10" i="276"/>
  <c r="D52" i="263"/>
  <c r="H61" i="275"/>
  <c r="H62" i="275"/>
  <c r="M55" i="275"/>
  <c r="M56" i="275"/>
  <c r="M57" i="275"/>
  <c r="L59" i="275"/>
  <c r="D25" i="275"/>
  <c r="G40" i="275" s="1"/>
  <c r="G45" i="275" s="1"/>
  <c r="G32" i="275"/>
  <c r="B34" i="275"/>
  <c r="F10" i="275"/>
  <c r="H10" i="275"/>
  <c r="D53" i="274"/>
  <c r="D55" i="274"/>
  <c r="G45" i="274"/>
  <c r="D28" i="274"/>
  <c r="G43" i="274"/>
  <c r="G48" i="274"/>
  <c r="G35" i="274"/>
  <c r="G49" i="274"/>
  <c r="H64" i="274"/>
  <c r="H65" i="274"/>
  <c r="L62" i="274"/>
  <c r="M60" i="274"/>
  <c r="M59" i="274"/>
  <c r="M62" i="274"/>
  <c r="G30" i="274"/>
  <c r="K47" i="274"/>
  <c r="K46" i="274"/>
  <c r="B37" i="274"/>
  <c r="F13" i="274"/>
  <c r="A10" i="274"/>
  <c r="F9" i="274"/>
  <c r="H13" i="274"/>
  <c r="H61" i="273"/>
  <c r="H62" i="273"/>
  <c r="L59" i="273"/>
  <c r="M57" i="273"/>
  <c r="M56" i="273"/>
  <c r="K44" i="273"/>
  <c r="K43" i="273"/>
  <c r="B34" i="273"/>
  <c r="G32" i="273"/>
  <c r="D25" i="273"/>
  <c r="G40" i="273"/>
  <c r="F10" i="273"/>
  <c r="A7" i="273"/>
  <c r="F6" i="273"/>
  <c r="H10" i="273"/>
  <c r="D53" i="265"/>
  <c r="D55" i="265"/>
  <c r="G45" i="265"/>
  <c r="D28" i="265"/>
  <c r="G43" i="265"/>
  <c r="G48" i="265"/>
  <c r="G35" i="265"/>
  <c r="G49" i="265"/>
  <c r="H61" i="272"/>
  <c r="H62" i="272"/>
  <c r="L59" i="272"/>
  <c r="M57" i="272"/>
  <c r="M56" i="272"/>
  <c r="M55" i="272"/>
  <c r="D25" i="272"/>
  <c r="G40" i="272"/>
  <c r="B34" i="272"/>
  <c r="H61" i="270"/>
  <c r="H62" i="270"/>
  <c r="L59" i="270"/>
  <c r="M57" i="270"/>
  <c r="M56" i="270"/>
  <c r="M55" i="270"/>
  <c r="B34" i="270"/>
  <c r="F10" i="270"/>
  <c r="K46" i="267"/>
  <c r="K46" i="266"/>
  <c r="K46" i="265"/>
  <c r="H64" i="267"/>
  <c r="H65" i="267"/>
  <c r="L62" i="267"/>
  <c r="M60" i="267"/>
  <c r="M58" i="267"/>
  <c r="M59" i="267"/>
  <c r="B37" i="267"/>
  <c r="F13" i="267"/>
  <c r="F9" i="267"/>
  <c r="H64" i="266"/>
  <c r="H65" i="266"/>
  <c r="L62" i="266"/>
  <c r="M60" i="266"/>
  <c r="M59" i="266"/>
  <c r="M58" i="266"/>
  <c r="M62" i="266"/>
  <c r="G30" i="266"/>
  <c r="D53" i="266"/>
  <c r="D55" i="266"/>
  <c r="G45" i="266"/>
  <c r="D28" i="266"/>
  <c r="G43" i="266"/>
  <c r="G35" i="266"/>
  <c r="K47" i="266"/>
  <c r="B37" i="266"/>
  <c r="F33" i="266"/>
  <c r="F9" i="266"/>
  <c r="F13" i="266"/>
  <c r="H64" i="265"/>
  <c r="H65" i="265"/>
  <c r="L62" i="265"/>
  <c r="M60" i="265"/>
  <c r="M59" i="265"/>
  <c r="M58" i="265"/>
  <c r="M62" i="265"/>
  <c r="G30" i="265"/>
  <c r="K47" i="265"/>
  <c r="B37" i="265"/>
  <c r="F33" i="265"/>
  <c r="F13" i="265"/>
  <c r="F9" i="265"/>
  <c r="H13" i="265"/>
  <c r="K46" i="263"/>
  <c r="H64" i="263"/>
  <c r="H65" i="263"/>
  <c r="L62" i="263"/>
  <c r="M60" i="263"/>
  <c r="M59" i="263"/>
  <c r="M58" i="263"/>
  <c r="M62" i="263"/>
  <c r="G30" i="263"/>
  <c r="D53" i="263"/>
  <c r="D55" i="263"/>
  <c r="G45" i="263"/>
  <c r="D28" i="263"/>
  <c r="G43" i="263"/>
  <c r="G48" i="263"/>
  <c r="G35" i="263"/>
  <c r="G49" i="263"/>
  <c r="K47" i="263"/>
  <c r="B37" i="263"/>
  <c r="F33" i="263"/>
  <c r="F13" i="263"/>
  <c r="F9" i="263"/>
  <c r="F33" i="257"/>
  <c r="K46" i="257"/>
  <c r="H64" i="257"/>
  <c r="H65" i="257"/>
  <c r="L62" i="257"/>
  <c r="M60" i="257"/>
  <c r="M59" i="257"/>
  <c r="M58" i="257"/>
  <c r="M62" i="257"/>
  <c r="G30" i="257"/>
  <c r="D53" i="257"/>
  <c r="D55" i="257"/>
  <c r="G45" i="257"/>
  <c r="D28" i="257"/>
  <c r="G43" i="257"/>
  <c r="G35" i="257"/>
  <c r="K47" i="257"/>
  <c r="B37" i="257"/>
  <c r="F13" i="257"/>
  <c r="F9" i="257"/>
  <c r="H64" i="238"/>
  <c r="H65" i="238"/>
  <c r="M59" i="238"/>
  <c r="M60" i="238"/>
  <c r="M62" i="238"/>
  <c r="G30" i="238"/>
  <c r="L62" i="238"/>
  <c r="D53" i="238"/>
  <c r="D55" i="238"/>
  <c r="G45" i="238"/>
  <c r="K47" i="238"/>
  <c r="K46" i="238"/>
  <c r="D28" i="238"/>
  <c r="G43" i="238"/>
  <c r="G48" i="238"/>
  <c r="G35" i="238"/>
  <c r="G49" i="238"/>
  <c r="B37" i="238"/>
  <c r="F9" i="238"/>
  <c r="F13" i="238"/>
  <c r="A10" i="238"/>
  <c r="H64" i="223"/>
  <c r="H65" i="223"/>
  <c r="M58" i="223"/>
  <c r="M59" i="223"/>
  <c r="M60" i="223"/>
  <c r="M62" i="223"/>
  <c r="G30" i="223"/>
  <c r="L62" i="223"/>
  <c r="D53" i="223"/>
  <c r="D55" i="223"/>
  <c r="G45" i="223"/>
  <c r="D28" i="223"/>
  <c r="G43" i="223"/>
  <c r="G48" i="223"/>
  <c r="G35" i="223"/>
  <c r="G49" i="223"/>
  <c r="K47" i="223"/>
  <c r="K46" i="223"/>
  <c r="B37" i="223"/>
  <c r="F9" i="223"/>
  <c r="F13" i="223"/>
  <c r="A10" i="223"/>
  <c r="I46" i="203"/>
  <c r="K46" i="203"/>
  <c r="F33" i="203"/>
  <c r="G35" i="203"/>
  <c r="D28" i="203"/>
  <c r="G43" i="203"/>
  <c r="D53" i="203"/>
  <c r="D55" i="203"/>
  <c r="G45" i="203"/>
  <c r="G48" i="203"/>
  <c r="G49" i="203"/>
  <c r="F33" i="192"/>
  <c r="F34" i="192"/>
  <c r="F34" i="203"/>
  <c r="G30" i="202"/>
  <c r="G30" i="201"/>
  <c r="G30" i="200"/>
  <c r="G30" i="199"/>
  <c r="G30" i="198"/>
  <c r="G30" i="197"/>
  <c r="G30" i="196"/>
  <c r="G30" i="195"/>
  <c r="G30" i="194"/>
  <c r="G30" i="193"/>
  <c r="G30" i="192"/>
  <c r="G31" i="203"/>
  <c r="K46" i="198"/>
  <c r="H64" i="217"/>
  <c r="H65" i="217"/>
  <c r="M58" i="217"/>
  <c r="M59" i="217"/>
  <c r="M60" i="217"/>
  <c r="M62" i="217"/>
  <c r="G30" i="217"/>
  <c r="L62" i="217"/>
  <c r="D55" i="217"/>
  <c r="G45" i="217"/>
  <c r="G35" i="217"/>
  <c r="D28" i="217"/>
  <c r="G43" i="217"/>
  <c r="G48" i="217"/>
  <c r="K47" i="217"/>
  <c r="K46" i="217"/>
  <c r="B37" i="217"/>
  <c r="F9" i="217"/>
  <c r="F13" i="217"/>
  <c r="H13" i="217"/>
  <c r="A10" i="217"/>
  <c r="H64" i="215"/>
  <c r="H65" i="215"/>
  <c r="M58" i="215"/>
  <c r="M59" i="215"/>
  <c r="M60" i="215"/>
  <c r="M62" i="215"/>
  <c r="G30" i="215"/>
  <c r="L62" i="215"/>
  <c r="D55" i="215"/>
  <c r="G35" i="215"/>
  <c r="D28" i="215"/>
  <c r="G43" i="215"/>
  <c r="G45" i="215"/>
  <c r="G48" i="215"/>
  <c r="G49" i="215"/>
  <c r="K47" i="215"/>
  <c r="K46" i="215"/>
  <c r="B37" i="215"/>
  <c r="F9" i="215"/>
  <c r="F13" i="215"/>
  <c r="H13" i="215"/>
  <c r="A10" i="215"/>
  <c r="H64" i="207"/>
  <c r="H65" i="207"/>
  <c r="M58" i="207"/>
  <c r="M59" i="207"/>
  <c r="M60" i="207"/>
  <c r="M62" i="207"/>
  <c r="G30" i="207"/>
  <c r="L62" i="207"/>
  <c r="D55" i="207"/>
  <c r="G35" i="207"/>
  <c r="D28" i="207"/>
  <c r="G43" i="207"/>
  <c r="G45" i="207"/>
  <c r="G48" i="207"/>
  <c r="K47" i="207"/>
  <c r="K46" i="207"/>
  <c r="B37" i="207"/>
  <c r="F9" i="207"/>
  <c r="F13" i="207"/>
  <c r="H13" i="207"/>
  <c r="A10" i="207"/>
  <c r="H64" i="206"/>
  <c r="H65" i="206"/>
  <c r="M58" i="206"/>
  <c r="M59" i="206"/>
  <c r="M60" i="206"/>
  <c r="M62" i="206"/>
  <c r="G30" i="206"/>
  <c r="L62" i="206"/>
  <c r="D55" i="206"/>
  <c r="G45" i="206"/>
  <c r="G35" i="206"/>
  <c r="D28" i="206"/>
  <c r="G43" i="206"/>
  <c r="K47" i="206"/>
  <c r="K46" i="206"/>
  <c r="B37" i="206"/>
  <c r="F9" i="206"/>
  <c r="F13" i="206"/>
  <c r="H13" i="206"/>
  <c r="A10" i="206"/>
  <c r="H64" i="205"/>
  <c r="H65" i="205"/>
  <c r="M58" i="205"/>
  <c r="M59" i="205"/>
  <c r="M60" i="205"/>
  <c r="M62" i="205"/>
  <c r="G30" i="205"/>
  <c r="L62" i="205"/>
  <c r="D55" i="205"/>
  <c r="G35" i="205"/>
  <c r="D28" i="205"/>
  <c r="G43" i="205"/>
  <c r="G45" i="205"/>
  <c r="G48" i="205"/>
  <c r="G49" i="205"/>
  <c r="K47" i="205"/>
  <c r="K46" i="205"/>
  <c r="B37" i="205"/>
  <c r="F9" i="205"/>
  <c r="F13" i="205"/>
  <c r="H13" i="205"/>
  <c r="A10" i="205"/>
  <c r="H64" i="204"/>
  <c r="H65" i="204"/>
  <c r="M58" i="204"/>
  <c r="M59" i="204"/>
  <c r="M60" i="204"/>
  <c r="M62" i="204"/>
  <c r="G30" i="204"/>
  <c r="L62" i="204"/>
  <c r="D55" i="204"/>
  <c r="G45" i="204"/>
  <c r="G35" i="204"/>
  <c r="D28" i="204"/>
  <c r="G43" i="204"/>
  <c r="K47" i="204"/>
  <c r="K46" i="204"/>
  <c r="B37" i="204"/>
  <c r="F9" i="204"/>
  <c r="F13" i="204"/>
  <c r="H13" i="204"/>
  <c r="A10" i="204"/>
  <c r="G34" i="192"/>
  <c r="G35" i="192"/>
  <c r="D28" i="192"/>
  <c r="G43" i="192"/>
  <c r="D53" i="192"/>
  <c r="D55" i="192"/>
  <c r="G45" i="192"/>
  <c r="G48" i="192"/>
  <c r="G49" i="192"/>
  <c r="H31" i="76"/>
  <c r="K46" i="197"/>
  <c r="G34" i="193"/>
  <c r="G35" i="193"/>
  <c r="D28" i="193"/>
  <c r="G43" i="193"/>
  <c r="D55" i="193"/>
  <c r="G45" i="193"/>
  <c r="G48" i="193"/>
  <c r="G49" i="193"/>
  <c r="I59" i="76"/>
  <c r="H64" i="203"/>
  <c r="H65" i="203"/>
  <c r="M58" i="203"/>
  <c r="M59" i="203"/>
  <c r="M60" i="203"/>
  <c r="M62" i="203"/>
  <c r="L62" i="203"/>
  <c r="K47" i="203"/>
  <c r="B37" i="203"/>
  <c r="F9" i="203"/>
  <c r="F13" i="203"/>
  <c r="H13" i="203"/>
  <c r="A10" i="203"/>
  <c r="H32" i="76"/>
  <c r="H31" i="75"/>
  <c r="H32" i="75"/>
  <c r="H32" i="74"/>
  <c r="D52" i="74"/>
  <c r="H31" i="74"/>
  <c r="D53" i="76"/>
  <c r="D55" i="76"/>
  <c r="G45" i="76"/>
  <c r="D53" i="75"/>
  <c r="D53" i="74"/>
  <c r="H31" i="73"/>
  <c r="I31" i="73"/>
  <c r="H32" i="73"/>
  <c r="I32" i="73"/>
  <c r="G34" i="73"/>
  <c r="G42" i="73"/>
  <c r="G35" i="73"/>
  <c r="H64" i="202"/>
  <c r="H65" i="202"/>
  <c r="L62" i="202"/>
  <c r="M60" i="202"/>
  <c r="M59" i="202"/>
  <c r="M58" i="202"/>
  <c r="M62" i="202"/>
  <c r="D55" i="202"/>
  <c r="G45" i="202"/>
  <c r="K47" i="202"/>
  <c r="K46" i="202"/>
  <c r="B37" i="202"/>
  <c r="G35" i="202"/>
  <c r="D28" i="202"/>
  <c r="G43" i="202"/>
  <c r="F13" i="202"/>
  <c r="A10" i="202"/>
  <c r="F9" i="202"/>
  <c r="H13" i="202"/>
  <c r="H64" i="201"/>
  <c r="H65" i="201"/>
  <c r="M58" i="201"/>
  <c r="M59" i="201"/>
  <c r="M60" i="201"/>
  <c r="M62" i="201"/>
  <c r="L62" i="201"/>
  <c r="D55" i="201"/>
  <c r="G45" i="201"/>
  <c r="K47" i="201"/>
  <c r="K46" i="201"/>
  <c r="B37" i="201"/>
  <c r="G35" i="201"/>
  <c r="D28" i="201"/>
  <c r="G43" i="201"/>
  <c r="G48" i="201"/>
  <c r="G49" i="201"/>
  <c r="F13" i="201"/>
  <c r="F9" i="201"/>
  <c r="H13" i="201"/>
  <c r="A10" i="201"/>
  <c r="H64" i="200"/>
  <c r="H65" i="200"/>
  <c r="L62" i="200"/>
  <c r="M60" i="200"/>
  <c r="M58" i="200"/>
  <c r="M59" i="200"/>
  <c r="M62" i="200"/>
  <c r="D55" i="200"/>
  <c r="G45" i="200"/>
  <c r="K47" i="200"/>
  <c r="K46" i="200"/>
  <c r="D28" i="200"/>
  <c r="G43" i="200"/>
  <c r="G48" i="200"/>
  <c r="B37" i="200"/>
  <c r="G35" i="200"/>
  <c r="G49" i="200"/>
  <c r="F13" i="200"/>
  <c r="A10" i="200"/>
  <c r="F9" i="200"/>
  <c r="H13" i="200"/>
  <c r="H64" i="199"/>
  <c r="H65" i="199"/>
  <c r="L62" i="199"/>
  <c r="M60" i="199"/>
  <c r="M59" i="199"/>
  <c r="M58" i="199"/>
  <c r="M62" i="199"/>
  <c r="D55" i="199"/>
  <c r="G45" i="199"/>
  <c r="K47" i="199"/>
  <c r="K46" i="199"/>
  <c r="D28" i="199"/>
  <c r="G43" i="199"/>
  <c r="G48" i="199"/>
  <c r="B37" i="199"/>
  <c r="G35" i="199"/>
  <c r="G49" i="199"/>
  <c r="F13" i="199"/>
  <c r="F9" i="199"/>
  <c r="H13" i="199"/>
  <c r="A10" i="199"/>
  <c r="H64" i="198"/>
  <c r="H65" i="198"/>
  <c r="L62" i="198"/>
  <c r="M60" i="198"/>
  <c r="M59" i="198"/>
  <c r="M58" i="198"/>
  <c r="M62" i="198"/>
  <c r="D55" i="198"/>
  <c r="G45" i="198"/>
  <c r="K47" i="198"/>
  <c r="D28" i="198"/>
  <c r="G43" i="198"/>
  <c r="G48" i="198"/>
  <c r="G35" i="198"/>
  <c r="G49" i="198"/>
  <c r="B37" i="198"/>
  <c r="F13" i="198"/>
  <c r="A10" i="198"/>
  <c r="F9" i="198"/>
  <c r="H13" i="198"/>
  <c r="H64" i="197"/>
  <c r="H65" i="197"/>
  <c r="L62" i="197"/>
  <c r="M60" i="197"/>
  <c r="M59" i="197"/>
  <c r="M58" i="197"/>
  <c r="M62" i="197"/>
  <c r="D55" i="197"/>
  <c r="G45" i="197"/>
  <c r="K47" i="197"/>
  <c r="B37" i="197"/>
  <c r="G35" i="197"/>
  <c r="D28" i="197"/>
  <c r="G43" i="197"/>
  <c r="G48" i="197"/>
  <c r="G49" i="197"/>
  <c r="F13" i="197"/>
  <c r="A10" i="197"/>
  <c r="F9" i="197"/>
  <c r="H13" i="197"/>
  <c r="H64" i="196"/>
  <c r="H65" i="196"/>
  <c r="L62" i="196"/>
  <c r="M60" i="196"/>
  <c r="M58" i="196"/>
  <c r="M59" i="196"/>
  <c r="M62" i="196"/>
  <c r="D55" i="196"/>
  <c r="G45" i="196"/>
  <c r="D28" i="196"/>
  <c r="G43" i="196"/>
  <c r="G48" i="196"/>
  <c r="G35" i="196"/>
  <c r="G49" i="196"/>
  <c r="K47" i="196"/>
  <c r="K46" i="196"/>
  <c r="B37" i="196"/>
  <c r="F13" i="196"/>
  <c r="A10" i="196"/>
  <c r="F9" i="196"/>
  <c r="H13" i="196"/>
  <c r="H64" i="195"/>
  <c r="H65" i="195"/>
  <c r="L62" i="195"/>
  <c r="M60" i="195"/>
  <c r="M59" i="195"/>
  <c r="M58" i="195"/>
  <c r="M62" i="195"/>
  <c r="D55" i="195"/>
  <c r="G45" i="195"/>
  <c r="K47" i="195"/>
  <c r="K46" i="195"/>
  <c r="B37" i="195"/>
  <c r="G35" i="195"/>
  <c r="D28" i="195"/>
  <c r="G43" i="195"/>
  <c r="F13" i="195"/>
  <c r="A10" i="195"/>
  <c r="F9" i="195"/>
  <c r="H13" i="195"/>
  <c r="H64" i="194"/>
  <c r="H65" i="194"/>
  <c r="L62" i="194"/>
  <c r="M60" i="194"/>
  <c r="M59" i="194"/>
  <c r="M58" i="194"/>
  <c r="M62" i="194"/>
  <c r="D55" i="194"/>
  <c r="G45" i="194"/>
  <c r="D28" i="194"/>
  <c r="G43" i="194"/>
  <c r="G48" i="194"/>
  <c r="K47" i="194"/>
  <c r="K46" i="194"/>
  <c r="B37" i="194"/>
  <c r="G35" i="194"/>
  <c r="G49" i="194"/>
  <c r="F9" i="194"/>
  <c r="F13" i="194"/>
  <c r="H13" i="194"/>
  <c r="A10" i="194"/>
  <c r="H64" i="193"/>
  <c r="H65" i="193"/>
  <c r="L62" i="193"/>
  <c r="M60" i="193"/>
  <c r="M59" i="193"/>
  <c r="M58" i="193"/>
  <c r="M62" i="193"/>
  <c r="K47" i="193"/>
  <c r="K46" i="193"/>
  <c r="B37" i="193"/>
  <c r="F13" i="193"/>
  <c r="A10" i="193"/>
  <c r="F9" i="193"/>
  <c r="H13" i="193"/>
  <c r="H64" i="192"/>
  <c r="H65" i="192"/>
  <c r="L62" i="192"/>
  <c r="M60" i="192"/>
  <c r="M59" i="192"/>
  <c r="M58" i="192"/>
  <c r="M62" i="192"/>
  <c r="K47" i="192"/>
  <c r="K46" i="192"/>
  <c r="B37" i="192"/>
  <c r="F13" i="192"/>
  <c r="A10" i="192"/>
  <c r="F9" i="192"/>
  <c r="H13" i="192"/>
  <c r="H32" i="72"/>
  <c r="M59" i="75"/>
  <c r="M59" i="73"/>
  <c r="M58" i="73"/>
  <c r="M60" i="73"/>
  <c r="M62" i="73"/>
  <c r="G30" i="73"/>
  <c r="D53" i="73"/>
  <c r="D53" i="72"/>
  <c r="H32" i="71"/>
  <c r="D52" i="71"/>
  <c r="M59" i="74"/>
  <c r="M59" i="72"/>
  <c r="M59" i="76"/>
  <c r="D55" i="75"/>
  <c r="G45" i="75"/>
  <c r="D28" i="75"/>
  <c r="G43" i="75"/>
  <c r="G48" i="75"/>
  <c r="G35" i="75"/>
  <c r="G49" i="75"/>
  <c r="D53" i="71"/>
  <c r="D52" i="70"/>
  <c r="H32" i="70"/>
  <c r="G41" i="70"/>
  <c r="G34" i="70"/>
  <c r="M59" i="71"/>
  <c r="M59" i="70"/>
  <c r="M60" i="74"/>
  <c r="M60" i="72"/>
  <c r="D53" i="70"/>
  <c r="M58" i="74"/>
  <c r="M62" i="74"/>
  <c r="G30" i="74"/>
  <c r="M58" i="71"/>
  <c r="M62" i="71"/>
  <c r="G30" i="71"/>
  <c r="M59" i="156"/>
  <c r="G34" i="156"/>
  <c r="D51" i="156"/>
  <c r="D53" i="156"/>
  <c r="I65" i="156"/>
  <c r="M60" i="70"/>
  <c r="H64" i="190"/>
  <c r="H65" i="190"/>
  <c r="L62" i="190"/>
  <c r="M60" i="190"/>
  <c r="M59" i="190"/>
  <c r="M58" i="190"/>
  <c r="M62" i="190"/>
  <c r="G30" i="190"/>
  <c r="D53" i="190"/>
  <c r="D55" i="190"/>
  <c r="G45" i="190"/>
  <c r="K47" i="190"/>
  <c r="K46" i="190"/>
  <c r="B37" i="190"/>
  <c r="G35" i="190"/>
  <c r="D28" i="190"/>
  <c r="G43" i="190"/>
  <c r="G48" i="190"/>
  <c r="G49" i="190"/>
  <c r="F13" i="190"/>
  <c r="A10" i="190"/>
  <c r="F9" i="190"/>
  <c r="H13" i="190"/>
  <c r="M59" i="189"/>
  <c r="M58" i="189"/>
  <c r="M60" i="189"/>
  <c r="M62" i="189"/>
  <c r="G30" i="189"/>
  <c r="H64" i="189"/>
  <c r="H65" i="189"/>
  <c r="L62" i="189"/>
  <c r="D53" i="189"/>
  <c r="D55" i="189"/>
  <c r="G45" i="189"/>
  <c r="K47" i="189"/>
  <c r="K46" i="189"/>
  <c r="D28" i="189"/>
  <c r="G43" i="189"/>
  <c r="B37" i="189"/>
  <c r="G35" i="189"/>
  <c r="F9" i="189"/>
  <c r="F13" i="189"/>
  <c r="H13" i="189"/>
  <c r="A10" i="189"/>
  <c r="M60" i="76"/>
  <c r="M60" i="75"/>
  <c r="H32" i="68"/>
  <c r="M58" i="156"/>
  <c r="M62" i="156"/>
  <c r="G30" i="156"/>
  <c r="D53" i="68"/>
  <c r="D55" i="68"/>
  <c r="G45" i="68"/>
  <c r="D28" i="68"/>
  <c r="G43" i="68"/>
  <c r="G48" i="68"/>
  <c r="G35" i="68"/>
  <c r="G49" i="68"/>
  <c r="M59" i="67"/>
  <c r="H32" i="67"/>
  <c r="M59" i="68"/>
  <c r="G34" i="66"/>
  <c r="M58" i="72"/>
  <c r="M62" i="72"/>
  <c r="G30" i="72"/>
  <c r="H32" i="66"/>
  <c r="D52" i="65"/>
  <c r="H32" i="65"/>
  <c r="H63" i="66"/>
  <c r="H64" i="66"/>
  <c r="H65" i="66"/>
  <c r="D51" i="65"/>
  <c r="M59" i="66"/>
  <c r="M60" i="67"/>
  <c r="M58" i="68"/>
  <c r="M60" i="68"/>
  <c r="M62" i="68"/>
  <c r="G30" i="68"/>
  <c r="M59" i="65"/>
  <c r="H32" i="181"/>
  <c r="G34" i="181"/>
  <c r="G35" i="181"/>
  <c r="G46" i="181"/>
  <c r="K46" i="181"/>
  <c r="H32" i="180"/>
  <c r="M59" i="180"/>
  <c r="M59" i="181"/>
  <c r="G34" i="180"/>
  <c r="G35" i="180"/>
  <c r="M60" i="180"/>
  <c r="G53" i="180"/>
  <c r="G55" i="180"/>
  <c r="G54" i="180"/>
  <c r="G56" i="180"/>
  <c r="M61" i="180"/>
  <c r="H32" i="179"/>
  <c r="G34" i="179"/>
  <c r="G35" i="179"/>
  <c r="D28" i="179"/>
  <c r="G43" i="179"/>
  <c r="D53" i="179"/>
  <c r="D55" i="179"/>
  <c r="G45" i="179"/>
  <c r="G48" i="179"/>
  <c r="G49" i="179"/>
  <c r="H63" i="180"/>
  <c r="H63" i="179"/>
  <c r="M60" i="179"/>
  <c r="H63" i="178"/>
  <c r="H64" i="178"/>
  <c r="H65" i="178"/>
  <c r="H32" i="178"/>
  <c r="D51" i="178"/>
  <c r="D53" i="178"/>
  <c r="D55" i="178"/>
  <c r="G45" i="178"/>
  <c r="D28" i="178"/>
  <c r="G43" i="178"/>
  <c r="G48" i="178"/>
  <c r="G35" i="178"/>
  <c r="G49" i="178"/>
  <c r="M60" i="65"/>
  <c r="H63" i="181"/>
  <c r="H64" i="181"/>
  <c r="H65" i="181"/>
  <c r="M58" i="75"/>
  <c r="M62" i="75"/>
  <c r="G30" i="75"/>
  <c r="H63" i="65"/>
  <c r="M58" i="70"/>
  <c r="M62" i="70"/>
  <c r="G30" i="70"/>
  <c r="M58" i="76"/>
  <c r="M62" i="76"/>
  <c r="M58" i="67"/>
  <c r="M62" i="67"/>
  <c r="G30" i="67"/>
  <c r="M60" i="177"/>
  <c r="H63" i="177"/>
  <c r="H32" i="177"/>
  <c r="F62" i="178"/>
  <c r="D53" i="177"/>
  <c r="D55" i="177"/>
  <c r="G45" i="177"/>
  <c r="D28" i="177"/>
  <c r="G43" i="177"/>
  <c r="M59" i="177"/>
  <c r="M60" i="178"/>
  <c r="K46" i="66"/>
  <c r="D53" i="67"/>
  <c r="D55" i="67"/>
  <c r="G45" i="67"/>
  <c r="D53" i="66"/>
  <c r="M58" i="65"/>
  <c r="D53" i="65"/>
  <c r="M58" i="180"/>
  <c r="M62" i="180"/>
  <c r="G30" i="180"/>
  <c r="M58" i="181"/>
  <c r="M62" i="181"/>
  <c r="G30" i="181"/>
  <c r="D53" i="181"/>
  <c r="D55" i="181"/>
  <c r="G45" i="181"/>
  <c r="D53" i="180"/>
  <c r="H32" i="176"/>
  <c r="D51" i="176"/>
  <c r="D53" i="176"/>
  <c r="D55" i="176"/>
  <c r="G45" i="176"/>
  <c r="D28" i="176"/>
  <c r="G43" i="176"/>
  <c r="G48" i="176"/>
  <c r="G35" i="176"/>
  <c r="G49" i="176"/>
  <c r="F51" i="176"/>
  <c r="J34" i="176"/>
  <c r="J35" i="176"/>
  <c r="J36" i="176"/>
  <c r="M59" i="178"/>
  <c r="M59" i="176"/>
  <c r="M58" i="179"/>
  <c r="M59" i="179"/>
  <c r="M62" i="179"/>
  <c r="G30" i="179"/>
  <c r="M60" i="176"/>
  <c r="L62" i="181"/>
  <c r="H32" i="175"/>
  <c r="D53" i="175"/>
  <c r="D52" i="175"/>
  <c r="D55" i="175"/>
  <c r="G45" i="175"/>
  <c r="M59" i="175"/>
  <c r="M60" i="175"/>
  <c r="H63" i="176"/>
  <c r="M58" i="66"/>
  <c r="M62" i="66"/>
  <c r="G30" i="66"/>
  <c r="D28" i="57"/>
  <c r="G43" i="57"/>
  <c r="D53" i="57"/>
  <c r="D55" i="57"/>
  <c r="G45" i="57"/>
  <c r="M59" i="57"/>
  <c r="M58" i="57"/>
  <c r="M60" i="57"/>
  <c r="M62" i="57"/>
  <c r="I62" i="175"/>
  <c r="I60" i="57"/>
  <c r="M58" i="175"/>
  <c r="M62" i="175"/>
  <c r="H32" i="57"/>
  <c r="M58" i="178"/>
  <c r="M62" i="178"/>
  <c r="G30" i="178"/>
  <c r="M58" i="176"/>
  <c r="M62" i="176"/>
  <c r="G30" i="176"/>
  <c r="H32" i="56"/>
  <c r="D28" i="175"/>
  <c r="G43" i="175"/>
  <c r="G48" i="175"/>
  <c r="G35" i="175"/>
  <c r="G49" i="175"/>
  <c r="D53" i="56"/>
  <c r="D55" i="56"/>
  <c r="G45" i="56"/>
  <c r="M58" i="177"/>
  <c r="H32" i="55"/>
  <c r="D28" i="181"/>
  <c r="G43" i="181"/>
  <c r="K47" i="181"/>
  <c r="B37" i="181"/>
  <c r="F13" i="181"/>
  <c r="F9" i="181"/>
  <c r="H13" i="181"/>
  <c r="A10" i="181"/>
  <c r="H64" i="180"/>
  <c r="H65" i="180"/>
  <c r="L62" i="180"/>
  <c r="D55" i="180"/>
  <c r="G45" i="180"/>
  <c r="D28" i="180"/>
  <c r="G43" i="180"/>
  <c r="G48" i="180"/>
  <c r="K47" i="180"/>
  <c r="K46" i="180"/>
  <c r="B37" i="180"/>
  <c r="F9" i="180"/>
  <c r="F13" i="180"/>
  <c r="H13" i="180"/>
  <c r="A10" i="180"/>
  <c r="H64" i="179"/>
  <c r="H65" i="179"/>
  <c r="L62" i="179"/>
  <c r="K47" i="179"/>
  <c r="K46" i="179"/>
  <c r="B37" i="179"/>
  <c r="F13" i="179"/>
  <c r="F9" i="179"/>
  <c r="H13" i="179"/>
  <c r="A10" i="179"/>
  <c r="L62" i="178"/>
  <c r="K47" i="178"/>
  <c r="K46" i="178"/>
  <c r="B37" i="178"/>
  <c r="F13" i="178"/>
  <c r="F9" i="178"/>
  <c r="H13" i="178"/>
  <c r="A10" i="178"/>
  <c r="H64" i="177"/>
  <c r="H65" i="177"/>
  <c r="L62" i="177"/>
  <c r="K47" i="177"/>
  <c r="K46" i="177"/>
  <c r="B37" i="177"/>
  <c r="G35" i="177"/>
  <c r="F13" i="177"/>
  <c r="F9" i="177"/>
  <c r="H13" i="177"/>
  <c r="A10" i="177"/>
  <c r="H64" i="176"/>
  <c r="H65" i="176"/>
  <c r="L62" i="176"/>
  <c r="K47" i="176"/>
  <c r="K46" i="176"/>
  <c r="B37" i="176"/>
  <c r="F13" i="176"/>
  <c r="F9" i="176"/>
  <c r="H13" i="176"/>
  <c r="A10" i="176"/>
  <c r="H64" i="175"/>
  <c r="H65" i="175"/>
  <c r="L62" i="175"/>
  <c r="K47" i="175"/>
  <c r="K46" i="175"/>
  <c r="B37" i="175"/>
  <c r="F13" i="175"/>
  <c r="F9" i="175"/>
  <c r="H13" i="175"/>
  <c r="A10" i="175"/>
  <c r="M59" i="56"/>
  <c r="M59" i="55"/>
  <c r="M58" i="55"/>
  <c r="M60" i="55"/>
  <c r="M62" i="55"/>
  <c r="D53" i="55"/>
  <c r="H32" i="166"/>
  <c r="G35" i="166"/>
  <c r="D53" i="166"/>
  <c r="D55" i="166"/>
  <c r="G45" i="166"/>
  <c r="D28" i="166"/>
  <c r="G43" i="166"/>
  <c r="G48" i="166"/>
  <c r="H32" i="165"/>
  <c r="M59" i="165"/>
  <c r="M58" i="165"/>
  <c r="M60" i="165"/>
  <c r="M61" i="165"/>
  <c r="M62" i="165"/>
  <c r="G41" i="165"/>
  <c r="J34" i="42"/>
  <c r="G42" i="165"/>
  <c r="G35" i="165"/>
  <c r="D28" i="165"/>
  <c r="G43" i="165"/>
  <c r="D53" i="165"/>
  <c r="D55" i="165"/>
  <c r="G45" i="165"/>
  <c r="G48" i="165"/>
  <c r="G49" i="165"/>
  <c r="H32" i="170"/>
  <c r="M59" i="170"/>
  <c r="M59" i="166"/>
  <c r="M58" i="166"/>
  <c r="M60" i="166"/>
  <c r="M62" i="166"/>
  <c r="H32" i="171"/>
  <c r="G35" i="171"/>
  <c r="D28" i="171"/>
  <c r="G43" i="171"/>
  <c r="D53" i="171"/>
  <c r="D55" i="171"/>
  <c r="G45" i="171"/>
  <c r="J41" i="171"/>
  <c r="M54" i="171"/>
  <c r="N59" i="171"/>
  <c r="M60" i="159"/>
  <c r="M60" i="56"/>
  <c r="F63" i="171"/>
  <c r="F64" i="171"/>
  <c r="F65" i="171"/>
  <c r="H64" i="172"/>
  <c r="H65" i="172"/>
  <c r="L62" i="172"/>
  <c r="I60" i="172"/>
  <c r="M58" i="172"/>
  <c r="M62" i="172"/>
  <c r="D53" i="172"/>
  <c r="D55" i="172"/>
  <c r="G45" i="172"/>
  <c r="K47" i="172"/>
  <c r="K46" i="172"/>
  <c r="B37" i="172"/>
  <c r="G35" i="172"/>
  <c r="D28" i="172"/>
  <c r="G43" i="172"/>
  <c r="G48" i="172"/>
  <c r="G49" i="172"/>
  <c r="F13" i="172"/>
  <c r="A10" i="172"/>
  <c r="F9" i="172"/>
  <c r="H13" i="172"/>
  <c r="H64" i="171"/>
  <c r="H65" i="171"/>
  <c r="L62" i="171"/>
  <c r="M58" i="171"/>
  <c r="K47" i="171"/>
  <c r="K46" i="171"/>
  <c r="B37" i="171"/>
  <c r="F13" i="171"/>
  <c r="A10" i="171"/>
  <c r="F9" i="171"/>
  <c r="H13" i="171"/>
  <c r="H64" i="170"/>
  <c r="H65" i="170"/>
  <c r="L62" i="170"/>
  <c r="M58" i="170"/>
  <c r="M62" i="170"/>
  <c r="D53" i="170"/>
  <c r="D55" i="170"/>
  <c r="G45" i="170"/>
  <c r="D28" i="170"/>
  <c r="G43" i="170"/>
  <c r="G48" i="170"/>
  <c r="G35" i="170"/>
  <c r="G49" i="170"/>
  <c r="K47" i="170"/>
  <c r="K46" i="170"/>
  <c r="B37" i="170"/>
  <c r="F13" i="170"/>
  <c r="A10" i="170"/>
  <c r="F9" i="170"/>
  <c r="H13" i="170"/>
  <c r="M62" i="171"/>
  <c r="L62" i="165"/>
  <c r="G32" i="160"/>
  <c r="G32" i="159"/>
  <c r="D52" i="159"/>
  <c r="D53" i="159"/>
  <c r="D55" i="159"/>
  <c r="G45" i="159"/>
  <c r="D28" i="159"/>
  <c r="G43" i="159"/>
  <c r="G48" i="159"/>
  <c r="M60" i="160"/>
  <c r="D3" i="160"/>
  <c r="M60" i="158"/>
  <c r="D52" i="158"/>
  <c r="D53" i="158"/>
  <c r="D55" i="158"/>
  <c r="G45" i="158"/>
  <c r="F9" i="158"/>
  <c r="G32" i="158"/>
  <c r="G46" i="158"/>
  <c r="D3" i="158"/>
  <c r="D28" i="158"/>
  <c r="G43" i="158"/>
  <c r="G32" i="157"/>
  <c r="G47" i="157"/>
  <c r="D51" i="157"/>
  <c r="D52" i="157"/>
  <c r="D53" i="157"/>
  <c r="D55" i="157"/>
  <c r="G45" i="157"/>
  <c r="D28" i="157"/>
  <c r="G43" i="157"/>
  <c r="G35" i="157"/>
  <c r="G32" i="45"/>
  <c r="M60" i="45"/>
  <c r="K46" i="67"/>
  <c r="H64" i="45"/>
  <c r="H65" i="45"/>
  <c r="G32" i="44"/>
  <c r="M60" i="44"/>
  <c r="K46" i="165"/>
  <c r="L62" i="45"/>
  <c r="H64" i="166"/>
  <c r="H65" i="166"/>
  <c r="L62" i="166"/>
  <c r="K47" i="166"/>
  <c r="K46" i="166"/>
  <c r="B37" i="166"/>
  <c r="F9" i="166"/>
  <c r="F13" i="166"/>
  <c r="H13" i="166"/>
  <c r="A10" i="166"/>
  <c r="H64" i="165"/>
  <c r="H65" i="165"/>
  <c r="K47" i="165"/>
  <c r="B37" i="165"/>
  <c r="F9" i="165"/>
  <c r="F13" i="165"/>
  <c r="H13" i="165"/>
  <c r="A10" i="165"/>
  <c r="H64" i="160"/>
  <c r="H65" i="160"/>
  <c r="M58" i="160"/>
  <c r="M62" i="160"/>
  <c r="L62" i="160"/>
  <c r="D53" i="160"/>
  <c r="D55" i="160"/>
  <c r="G45" i="160"/>
  <c r="D28" i="160"/>
  <c r="G43" i="160"/>
  <c r="G48" i="160"/>
  <c r="G35" i="160"/>
  <c r="G49" i="160"/>
  <c r="K47" i="160"/>
  <c r="K46" i="160"/>
  <c r="B37" i="160"/>
  <c r="F9" i="160"/>
  <c r="F13" i="160"/>
  <c r="H13" i="160"/>
  <c r="A10" i="160"/>
  <c r="H64" i="159"/>
  <c r="H65" i="159"/>
  <c r="M58" i="159"/>
  <c r="M62" i="159"/>
  <c r="L62" i="159"/>
  <c r="G35" i="159"/>
  <c r="K47" i="159"/>
  <c r="K46" i="159"/>
  <c r="B37" i="159"/>
  <c r="F9" i="159"/>
  <c r="F13" i="159"/>
  <c r="H13" i="159"/>
  <c r="A10" i="159"/>
  <c r="H64" i="158"/>
  <c r="H65" i="158"/>
  <c r="M58" i="158"/>
  <c r="M62" i="158"/>
  <c r="L62" i="158"/>
  <c r="G35" i="158"/>
  <c r="K47" i="158"/>
  <c r="K46" i="158"/>
  <c r="B37" i="158"/>
  <c r="F13" i="158"/>
  <c r="H13" i="158"/>
  <c r="A10" i="158"/>
  <c r="H64" i="157"/>
  <c r="H65" i="157"/>
  <c r="M58" i="157"/>
  <c r="M62" i="157"/>
  <c r="L62" i="157"/>
  <c r="K47" i="157"/>
  <c r="K46" i="157"/>
  <c r="B37" i="157"/>
  <c r="F9" i="157"/>
  <c r="F13" i="157"/>
  <c r="H13" i="157"/>
  <c r="A10" i="157"/>
  <c r="I59" i="44"/>
  <c r="G32" i="43"/>
  <c r="L60" i="43"/>
  <c r="L62" i="43"/>
  <c r="M56" i="42"/>
  <c r="G32" i="42"/>
  <c r="J67" i="42"/>
  <c r="I63" i="43"/>
  <c r="I65" i="43"/>
  <c r="K65" i="43"/>
  <c r="I63" i="42"/>
  <c r="H64" i="156"/>
  <c r="H65" i="156"/>
  <c r="L62" i="156"/>
  <c r="D55" i="156"/>
  <c r="G45" i="156"/>
  <c r="D28" i="156"/>
  <c r="G43" i="156"/>
  <c r="G48" i="156"/>
  <c r="G35" i="156"/>
  <c r="G49" i="156"/>
  <c r="K47" i="156"/>
  <c r="K46" i="156"/>
  <c r="B37" i="156"/>
  <c r="F13" i="156"/>
  <c r="F9" i="156"/>
  <c r="H13" i="156"/>
  <c r="A10" i="156"/>
  <c r="G35" i="70"/>
  <c r="H64" i="76"/>
  <c r="H65" i="76"/>
  <c r="H64" i="75"/>
  <c r="H65" i="75"/>
  <c r="H64" i="74"/>
  <c r="H65" i="74"/>
  <c r="H64" i="73"/>
  <c r="H65" i="73"/>
  <c r="H64" i="72"/>
  <c r="H65" i="72"/>
  <c r="H64" i="71"/>
  <c r="H65" i="71"/>
  <c r="H64" i="70"/>
  <c r="H65" i="70"/>
  <c r="H64" i="68"/>
  <c r="H65" i="68"/>
  <c r="H64" i="67"/>
  <c r="H65" i="67"/>
  <c r="H64" i="65"/>
  <c r="H65" i="65"/>
  <c r="M58" i="56"/>
  <c r="M62" i="56"/>
  <c r="M58" i="45"/>
  <c r="M58" i="44"/>
  <c r="M58" i="43"/>
  <c r="M60" i="43"/>
  <c r="M62" i="43"/>
  <c r="D53" i="45"/>
  <c r="D53" i="44"/>
  <c r="D53" i="43"/>
  <c r="D53" i="42"/>
  <c r="H64" i="57"/>
  <c r="H65" i="57"/>
  <c r="H64" i="56"/>
  <c r="H65" i="56"/>
  <c r="H64" i="55"/>
  <c r="H65" i="55"/>
  <c r="H65" i="44"/>
  <c r="H66" i="44"/>
  <c r="H63" i="43"/>
  <c r="H64" i="43"/>
  <c r="J34" i="43"/>
  <c r="G32" i="41"/>
  <c r="G32" i="40"/>
  <c r="D53" i="41"/>
  <c r="D55" i="41"/>
  <c r="G45" i="41"/>
  <c r="D28" i="41"/>
  <c r="G43" i="41"/>
  <c r="G48" i="41"/>
  <c r="G35" i="41"/>
  <c r="G49" i="41"/>
  <c r="G32" i="39"/>
  <c r="G32" i="38"/>
  <c r="I59" i="38"/>
  <c r="K46" i="38"/>
  <c r="G32" i="37"/>
  <c r="K46" i="37"/>
  <c r="G32" i="36"/>
  <c r="G32" i="35"/>
  <c r="D53" i="36"/>
  <c r="D53" i="35"/>
  <c r="D55" i="35"/>
  <c r="G45" i="35"/>
  <c r="F9" i="17"/>
  <c r="F13" i="17"/>
  <c r="H13" i="17"/>
  <c r="A10" i="17"/>
  <c r="D28" i="17"/>
  <c r="G40" i="17"/>
  <c r="D50" i="17"/>
  <c r="D52" i="17"/>
  <c r="G42" i="17"/>
  <c r="G45" i="17"/>
  <c r="G35" i="17"/>
  <c r="G46" i="17"/>
  <c r="H35" i="17"/>
  <c r="B37" i="17"/>
  <c r="F9" i="18"/>
  <c r="A10" i="18"/>
  <c r="F13" i="18"/>
  <c r="H13" i="18"/>
  <c r="D28" i="18"/>
  <c r="G40" i="18"/>
  <c r="G35" i="18"/>
  <c r="H35" i="18"/>
  <c r="B37" i="18"/>
  <c r="D50" i="18"/>
  <c r="D52" i="18"/>
  <c r="G42" i="18"/>
  <c r="F9" i="19"/>
  <c r="F13" i="19"/>
  <c r="H13" i="19"/>
  <c r="A10" i="19"/>
  <c r="D28" i="19"/>
  <c r="G35" i="19"/>
  <c r="B37" i="19"/>
  <c r="G40" i="19"/>
  <c r="D50" i="19"/>
  <c r="D52" i="19"/>
  <c r="G42" i="19"/>
  <c r="G45" i="19"/>
  <c r="G46" i="19"/>
  <c r="F9" i="8"/>
  <c r="A10" i="8"/>
  <c r="F13" i="8"/>
  <c r="H13" i="8"/>
  <c r="D28" i="8"/>
  <c r="G40" i="8"/>
  <c r="F32" i="8"/>
  <c r="F33" i="8"/>
  <c r="F34" i="8"/>
  <c r="G35" i="8"/>
  <c r="H35" i="8"/>
  <c r="B37" i="8"/>
  <c r="D50" i="8"/>
  <c r="D52" i="8"/>
  <c r="G42" i="8"/>
  <c r="G45" i="8"/>
  <c r="G46" i="8"/>
  <c r="F9" i="9"/>
  <c r="F13" i="9"/>
  <c r="H13" i="9"/>
  <c r="A10" i="9"/>
  <c r="D28" i="9"/>
  <c r="G40" i="9"/>
  <c r="G35" i="9"/>
  <c r="H35" i="9"/>
  <c r="B37" i="9"/>
  <c r="D50" i="9"/>
  <c r="D52" i="9"/>
  <c r="G42" i="9"/>
  <c r="F9" i="10"/>
  <c r="A10" i="10"/>
  <c r="F13" i="10"/>
  <c r="H13" i="10"/>
  <c r="D28" i="10"/>
  <c r="G35" i="10"/>
  <c r="H35" i="10"/>
  <c r="B37" i="10"/>
  <c r="G40" i="10"/>
  <c r="D50" i="10"/>
  <c r="D52" i="10"/>
  <c r="G42" i="10"/>
  <c r="F9" i="11"/>
  <c r="A10" i="11"/>
  <c r="F13" i="11"/>
  <c r="D28" i="11"/>
  <c r="G40" i="11"/>
  <c r="G35" i="11"/>
  <c r="H35" i="11"/>
  <c r="B37" i="11"/>
  <c r="D50" i="11"/>
  <c r="D52" i="11"/>
  <c r="G42" i="11"/>
  <c r="F9" i="12"/>
  <c r="F13" i="12"/>
  <c r="H13" i="12"/>
  <c r="A10" i="12"/>
  <c r="D28" i="12"/>
  <c r="G35" i="12"/>
  <c r="H35" i="12"/>
  <c r="B37" i="12"/>
  <c r="G40" i="12"/>
  <c r="D50" i="12"/>
  <c r="D52" i="12"/>
  <c r="G42" i="12"/>
  <c r="G45" i="12"/>
  <c r="F9" i="13"/>
  <c r="A10" i="13"/>
  <c r="F13" i="13"/>
  <c r="D28" i="13"/>
  <c r="G35" i="13"/>
  <c r="H35" i="13"/>
  <c r="B37" i="13"/>
  <c r="G40" i="13"/>
  <c r="D50" i="13"/>
  <c r="D52" i="13"/>
  <c r="G42" i="13"/>
  <c r="F9" i="14"/>
  <c r="A10" i="14"/>
  <c r="F13" i="14"/>
  <c r="D28" i="14"/>
  <c r="G40" i="14"/>
  <c r="D50" i="14"/>
  <c r="D52" i="14"/>
  <c r="G42" i="14"/>
  <c r="G45" i="14"/>
  <c r="G35" i="14"/>
  <c r="G46" i="14"/>
  <c r="B37" i="14"/>
  <c r="F9" i="15"/>
  <c r="F13" i="15"/>
  <c r="H13" i="15"/>
  <c r="A10" i="15"/>
  <c r="D28" i="15"/>
  <c r="G35" i="15"/>
  <c r="H35" i="15"/>
  <c r="B37" i="15"/>
  <c r="G40" i="15"/>
  <c r="D50" i="15"/>
  <c r="D52" i="15"/>
  <c r="G42" i="15"/>
  <c r="G45" i="15"/>
  <c r="G46" i="15"/>
  <c r="F9" i="16"/>
  <c r="F13" i="16"/>
  <c r="H13" i="16"/>
  <c r="A10" i="16"/>
  <c r="D28" i="16"/>
  <c r="G40" i="16"/>
  <c r="D52" i="16"/>
  <c r="G42" i="16"/>
  <c r="G45" i="16"/>
  <c r="G35" i="16"/>
  <c r="G46" i="16"/>
  <c r="H35" i="16"/>
  <c r="B37" i="16"/>
  <c r="F9" i="3"/>
  <c r="F13" i="3"/>
  <c r="H13" i="3"/>
  <c r="A10" i="3"/>
  <c r="D28" i="3"/>
  <c r="G35" i="3"/>
  <c r="B37" i="3"/>
  <c r="G43" i="3"/>
  <c r="D55" i="3"/>
  <c r="G45" i="3"/>
  <c r="G48" i="3"/>
  <c r="G49" i="3"/>
  <c r="I49" i="3"/>
  <c r="K46" i="3"/>
  <c r="K47" i="3"/>
  <c r="A55" i="3"/>
  <c r="C56" i="3"/>
  <c r="D56" i="3"/>
  <c r="D57" i="3"/>
  <c r="D58" i="3"/>
  <c r="L62" i="3"/>
  <c r="F9" i="20"/>
  <c r="A10" i="20"/>
  <c r="F13" i="20"/>
  <c r="H13" i="20"/>
  <c r="D28" i="20"/>
  <c r="G42" i="20"/>
  <c r="G35" i="20"/>
  <c r="H35" i="20"/>
  <c r="B37" i="20"/>
  <c r="D52" i="20"/>
  <c r="D54" i="20"/>
  <c r="G44" i="20"/>
  <c r="C55" i="20"/>
  <c r="D55" i="20"/>
  <c r="D56" i="20"/>
  <c r="D57" i="20"/>
  <c r="C66" i="20"/>
  <c r="D66" i="20"/>
  <c r="F66" i="20"/>
  <c r="G66" i="20"/>
  <c r="H66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F9" i="21"/>
  <c r="F13" i="21"/>
  <c r="H13" i="21"/>
  <c r="A10" i="21"/>
  <c r="D28" i="21"/>
  <c r="E32" i="21"/>
  <c r="G35" i="21"/>
  <c r="H35" i="21"/>
  <c r="B37" i="21"/>
  <c r="G42" i="21"/>
  <c r="D52" i="21"/>
  <c r="D54" i="21"/>
  <c r="G44" i="21"/>
  <c r="G47" i="21"/>
  <c r="G48" i="21"/>
  <c r="C55" i="21"/>
  <c r="D55" i="21"/>
  <c r="D56" i="21"/>
  <c r="D57" i="21"/>
  <c r="C66" i="21"/>
  <c r="D66" i="21"/>
  <c r="F66" i="21"/>
  <c r="G66" i="21"/>
  <c r="H66" i="21"/>
  <c r="J71" i="21"/>
  <c r="F9" i="22"/>
  <c r="F13" i="22"/>
  <c r="H13" i="22"/>
  <c r="A10" i="22"/>
  <c r="D28" i="22"/>
  <c r="G42" i="22"/>
  <c r="G35" i="22"/>
  <c r="H35" i="22"/>
  <c r="B37" i="22"/>
  <c r="D52" i="22"/>
  <c r="D54" i="22"/>
  <c r="G44" i="22"/>
  <c r="C55" i="22"/>
  <c r="D55" i="22"/>
  <c r="D56" i="22"/>
  <c r="D57" i="22"/>
  <c r="C66" i="22"/>
  <c r="D66" i="22"/>
  <c r="F66" i="22"/>
  <c r="G66" i="22"/>
  <c r="H66" i="22"/>
  <c r="J71" i="22"/>
  <c r="F9" i="23"/>
  <c r="F13" i="23"/>
  <c r="H13" i="23"/>
  <c r="A10" i="23"/>
  <c r="D28" i="23"/>
  <c r="G35" i="23"/>
  <c r="B37" i="23"/>
  <c r="G42" i="23"/>
  <c r="F43" i="23"/>
  <c r="D52" i="23"/>
  <c r="D54" i="23"/>
  <c r="G44" i="23"/>
  <c r="C55" i="23"/>
  <c r="D55" i="23"/>
  <c r="D56" i="23"/>
  <c r="D57" i="23"/>
  <c r="C66" i="23"/>
  <c r="D66" i="23"/>
  <c r="F66" i="23"/>
  <c r="G66" i="23"/>
  <c r="H66" i="23"/>
  <c r="J71" i="23"/>
  <c r="F9" i="24"/>
  <c r="F13" i="24"/>
  <c r="H13" i="24"/>
  <c r="A10" i="24"/>
  <c r="D28" i="24"/>
  <c r="G42" i="24"/>
  <c r="G35" i="24"/>
  <c r="H35" i="24"/>
  <c r="B37" i="24"/>
  <c r="D52" i="24"/>
  <c r="D54" i="24"/>
  <c r="G44" i="24"/>
  <c r="K45" i="24"/>
  <c r="C55" i="24"/>
  <c r="D55" i="24"/>
  <c r="D56" i="24"/>
  <c r="D57" i="24"/>
  <c r="C66" i="24"/>
  <c r="D66" i="24"/>
  <c r="F66" i="24"/>
  <c r="G66" i="24"/>
  <c r="H66" i="24"/>
  <c r="J71" i="24"/>
  <c r="C78" i="24"/>
  <c r="E78" i="24"/>
  <c r="F78" i="24"/>
  <c r="G78" i="24"/>
  <c r="F9" i="25"/>
  <c r="F13" i="25"/>
  <c r="H13" i="25"/>
  <c r="A10" i="25"/>
  <c r="D28" i="25"/>
  <c r="G42" i="25"/>
  <c r="D50" i="25"/>
  <c r="D52" i="25"/>
  <c r="D54" i="25"/>
  <c r="G44" i="25"/>
  <c r="G47" i="25"/>
  <c r="G35" i="25"/>
  <c r="G48" i="25"/>
  <c r="I48" i="25"/>
  <c r="I36" i="25"/>
  <c r="B37" i="25"/>
  <c r="K45" i="25"/>
  <c r="K46" i="25"/>
  <c r="C55" i="25"/>
  <c r="D55" i="25"/>
  <c r="D56" i="25"/>
  <c r="D57" i="25"/>
  <c r="F9" i="26"/>
  <c r="F13" i="26"/>
  <c r="H13" i="26"/>
  <c r="A10" i="26"/>
  <c r="D28" i="26"/>
  <c r="G35" i="26"/>
  <c r="B37" i="26"/>
  <c r="G43" i="26"/>
  <c r="D53" i="26"/>
  <c r="D55" i="26"/>
  <c r="G45" i="26"/>
  <c r="I45" i="26"/>
  <c r="K46" i="26"/>
  <c r="K47" i="26"/>
  <c r="C56" i="26"/>
  <c r="D56" i="26"/>
  <c r="D57" i="26"/>
  <c r="D58" i="26"/>
  <c r="F9" i="27"/>
  <c r="F13" i="27"/>
  <c r="H13" i="27"/>
  <c r="A10" i="27"/>
  <c r="D28" i="27"/>
  <c r="G43" i="27"/>
  <c r="G35" i="27"/>
  <c r="B37" i="27"/>
  <c r="D53" i="27"/>
  <c r="D55" i="27"/>
  <c r="G45" i="27"/>
  <c r="K46" i="27"/>
  <c r="C56" i="27"/>
  <c r="D56" i="27"/>
  <c r="D57" i="27"/>
  <c r="D58" i="27"/>
  <c r="F9" i="1"/>
  <c r="F13" i="1"/>
  <c r="H13" i="1"/>
  <c r="A10" i="1"/>
  <c r="D28" i="1"/>
  <c r="G35" i="1"/>
  <c r="B37" i="1"/>
  <c r="G43" i="1"/>
  <c r="D53" i="1"/>
  <c r="D55" i="1"/>
  <c r="G45" i="1"/>
  <c r="I45" i="1"/>
  <c r="G48" i="1"/>
  <c r="G49" i="1"/>
  <c r="I49" i="1"/>
  <c r="K46" i="1"/>
  <c r="K47" i="1"/>
  <c r="C56" i="1"/>
  <c r="D56" i="1"/>
  <c r="D57" i="1"/>
  <c r="D58" i="1"/>
  <c r="F9" i="4"/>
  <c r="F13" i="4"/>
  <c r="H13" i="4"/>
  <c r="A10" i="4"/>
  <c r="D28" i="4"/>
  <c r="G43" i="4"/>
  <c r="G35" i="4"/>
  <c r="B37" i="4"/>
  <c r="D53" i="4"/>
  <c r="D55" i="4"/>
  <c r="G45" i="4"/>
  <c r="K46" i="4"/>
  <c r="M58" i="4"/>
  <c r="M62" i="4"/>
  <c r="L62" i="4"/>
  <c r="F9" i="5"/>
  <c r="F13" i="5"/>
  <c r="H13" i="5"/>
  <c r="A10" i="5"/>
  <c r="D28" i="5"/>
  <c r="G43" i="5"/>
  <c r="G35" i="5"/>
  <c r="B37" i="5"/>
  <c r="C42" i="5"/>
  <c r="D53" i="5"/>
  <c r="D55" i="5"/>
  <c r="G45" i="5"/>
  <c r="K46" i="5"/>
  <c r="K47" i="5"/>
  <c r="M58" i="5"/>
  <c r="L62" i="5"/>
  <c r="M62" i="5"/>
  <c r="F9" i="38"/>
  <c r="F13" i="38"/>
  <c r="H13" i="38"/>
  <c r="A10" i="38"/>
  <c r="D28" i="38"/>
  <c r="G43" i="38"/>
  <c r="D53" i="38"/>
  <c r="D55" i="38"/>
  <c r="G45" i="38"/>
  <c r="G48" i="38"/>
  <c r="G35" i="38"/>
  <c r="G49" i="38"/>
  <c r="I45" i="38"/>
  <c r="B37" i="38"/>
  <c r="M58" i="38"/>
  <c r="M62" i="38"/>
  <c r="L62" i="38"/>
  <c r="H63" i="38"/>
  <c r="H64" i="38"/>
  <c r="F9" i="39"/>
  <c r="F13" i="39"/>
  <c r="H13" i="39"/>
  <c r="A10" i="39"/>
  <c r="D28" i="39"/>
  <c r="G43" i="39"/>
  <c r="G35" i="39"/>
  <c r="B37" i="39"/>
  <c r="D53" i="39"/>
  <c r="D55" i="39"/>
  <c r="G45" i="39"/>
  <c r="L62" i="39"/>
  <c r="M62" i="39"/>
  <c r="H63" i="39"/>
  <c r="H64" i="39"/>
  <c r="F9" i="40"/>
  <c r="F13" i="40"/>
  <c r="H13" i="40"/>
  <c r="A10" i="40"/>
  <c r="D28" i="40"/>
  <c r="G43" i="40"/>
  <c r="G35" i="40"/>
  <c r="B37" i="40"/>
  <c r="D53" i="40"/>
  <c r="D55" i="40"/>
  <c r="G45" i="40"/>
  <c r="L62" i="40"/>
  <c r="M62" i="40"/>
  <c r="H63" i="40"/>
  <c r="H64" i="40"/>
  <c r="F9" i="30"/>
  <c r="F13" i="30"/>
  <c r="H13" i="30"/>
  <c r="A10" i="30"/>
  <c r="D28" i="30"/>
  <c r="G43" i="30"/>
  <c r="D53" i="30"/>
  <c r="D55" i="30"/>
  <c r="G45" i="30"/>
  <c r="I45" i="30"/>
  <c r="G35" i="30"/>
  <c r="B37" i="30"/>
  <c r="G48" i="30"/>
  <c r="G49" i="30"/>
  <c r="I49" i="30"/>
  <c r="K46" i="30"/>
  <c r="K47" i="30"/>
  <c r="M58" i="30"/>
  <c r="H61" i="30"/>
  <c r="H62" i="30"/>
  <c r="L62" i="30"/>
  <c r="M62" i="30"/>
  <c r="F9" i="31"/>
  <c r="F13" i="31"/>
  <c r="H13" i="31"/>
  <c r="A10" i="31"/>
  <c r="D28" i="31"/>
  <c r="G43" i="31"/>
  <c r="G35" i="31"/>
  <c r="B37" i="31"/>
  <c r="D53" i="31"/>
  <c r="D55" i="31"/>
  <c r="G45" i="31"/>
  <c r="K46" i="31"/>
  <c r="K47" i="31"/>
  <c r="J48" i="31"/>
  <c r="M58" i="31"/>
  <c r="M62" i="31"/>
  <c r="H61" i="31"/>
  <c r="H62" i="31"/>
  <c r="L62" i="31"/>
  <c r="F9" i="32"/>
  <c r="A10" i="32"/>
  <c r="F13" i="32"/>
  <c r="H13" i="32"/>
  <c r="D28" i="32"/>
  <c r="G43" i="32"/>
  <c r="G32" i="32"/>
  <c r="G35" i="32"/>
  <c r="B37" i="32"/>
  <c r="D53" i="32"/>
  <c r="D55" i="32"/>
  <c r="G45" i="32"/>
  <c r="K46" i="32"/>
  <c r="M59" i="32"/>
  <c r="M64" i="32"/>
  <c r="H63" i="32"/>
  <c r="H64" i="32"/>
  <c r="L64" i="32"/>
  <c r="F9" i="33"/>
  <c r="F13" i="33"/>
  <c r="H13" i="33"/>
  <c r="A10" i="33"/>
  <c r="D28" i="33"/>
  <c r="G43" i="33"/>
  <c r="G32" i="33"/>
  <c r="G35" i="33"/>
  <c r="B37" i="33"/>
  <c r="D53" i="33"/>
  <c r="D55" i="33"/>
  <c r="G45" i="33"/>
  <c r="K46" i="33"/>
  <c r="M58" i="33"/>
  <c r="M62" i="33"/>
  <c r="L62" i="33"/>
  <c r="H63" i="33"/>
  <c r="H64" i="33"/>
  <c r="F9" i="34"/>
  <c r="F13" i="34"/>
  <c r="H13" i="34"/>
  <c r="A10" i="34"/>
  <c r="D28" i="34"/>
  <c r="G32" i="34"/>
  <c r="G35" i="34"/>
  <c r="B37" i="34"/>
  <c r="G43" i="34"/>
  <c r="D53" i="34"/>
  <c r="D55" i="34"/>
  <c r="G45" i="34"/>
  <c r="G48" i="34"/>
  <c r="G49" i="34"/>
  <c r="K46" i="34"/>
  <c r="M58" i="34"/>
  <c r="L62" i="34"/>
  <c r="M62" i="34"/>
  <c r="H63" i="34"/>
  <c r="H64" i="34"/>
  <c r="F9" i="35"/>
  <c r="F13" i="35"/>
  <c r="H13" i="35"/>
  <c r="A10" i="35"/>
  <c r="D28" i="35"/>
  <c r="G43" i="35"/>
  <c r="G35" i="35"/>
  <c r="B37" i="35"/>
  <c r="K46" i="35"/>
  <c r="M58" i="35"/>
  <c r="M62" i="35"/>
  <c r="L62" i="35"/>
  <c r="H63" i="35"/>
  <c r="H64" i="35"/>
  <c r="F9" i="36"/>
  <c r="F13" i="36"/>
  <c r="H13" i="36"/>
  <c r="A10" i="36"/>
  <c r="D28" i="36"/>
  <c r="G43" i="36"/>
  <c r="G35" i="36"/>
  <c r="B37" i="36"/>
  <c r="D55" i="36"/>
  <c r="G45" i="36"/>
  <c r="K46" i="36"/>
  <c r="M58" i="36"/>
  <c r="M62" i="36"/>
  <c r="L62" i="36"/>
  <c r="H63" i="36"/>
  <c r="H64" i="36"/>
  <c r="F9" i="37"/>
  <c r="F13" i="37"/>
  <c r="H13" i="37"/>
  <c r="A10" i="37"/>
  <c r="D28" i="37"/>
  <c r="G35" i="37"/>
  <c r="B37" i="37"/>
  <c r="G43" i="37"/>
  <c r="D53" i="37"/>
  <c r="D55" i="37"/>
  <c r="G45" i="37"/>
  <c r="G48" i="37"/>
  <c r="G49" i="37"/>
  <c r="I45" i="37"/>
  <c r="M58" i="37"/>
  <c r="M62" i="37"/>
  <c r="L62" i="37"/>
  <c r="H63" i="37"/>
  <c r="H64" i="37"/>
  <c r="F9" i="41"/>
  <c r="F13" i="41"/>
  <c r="H13" i="41"/>
  <c r="A10" i="41"/>
  <c r="B37" i="41"/>
  <c r="K46" i="41"/>
  <c r="K47" i="41"/>
  <c r="L62" i="41"/>
  <c r="M62" i="41"/>
  <c r="H63" i="41"/>
  <c r="H64" i="41"/>
  <c r="F9" i="42"/>
  <c r="A10" i="42"/>
  <c r="F13" i="42"/>
  <c r="D28" i="42"/>
  <c r="G43" i="42"/>
  <c r="D55" i="42"/>
  <c r="G45" i="42"/>
  <c r="G48" i="42"/>
  <c r="G35" i="42"/>
  <c r="G49" i="42"/>
  <c r="B37" i="42"/>
  <c r="K47" i="42"/>
  <c r="L62" i="42"/>
  <c r="M62" i="42"/>
  <c r="H63" i="42"/>
  <c r="H64" i="42"/>
  <c r="F9" i="43"/>
  <c r="F13" i="43"/>
  <c r="H13" i="43"/>
  <c r="A10" i="43"/>
  <c r="D28" i="43"/>
  <c r="G43" i="43"/>
  <c r="D55" i="43"/>
  <c r="G45" i="43"/>
  <c r="G48" i="43"/>
  <c r="G35" i="43"/>
  <c r="G49" i="43"/>
  <c r="B37" i="43"/>
  <c r="K46" i="43"/>
  <c r="K47" i="43"/>
  <c r="F9" i="44"/>
  <c r="F13" i="44"/>
  <c r="H13" i="44"/>
  <c r="A10" i="44"/>
  <c r="D28" i="44"/>
  <c r="G43" i="44"/>
  <c r="D55" i="44"/>
  <c r="G45" i="44"/>
  <c r="G35" i="44"/>
  <c r="B37" i="44"/>
  <c r="K46" i="44"/>
  <c r="K47" i="44"/>
  <c r="L62" i="44"/>
  <c r="M62" i="44"/>
  <c r="F9" i="45"/>
  <c r="A10" i="45"/>
  <c r="F13" i="45"/>
  <c r="H13" i="45"/>
  <c r="D28" i="45"/>
  <c r="G43" i="45"/>
  <c r="D55" i="45"/>
  <c r="G45" i="45"/>
  <c r="G48" i="45"/>
  <c r="G35" i="45"/>
  <c r="G49" i="45"/>
  <c r="B37" i="45"/>
  <c r="K46" i="45"/>
  <c r="K47" i="45"/>
  <c r="M62" i="45"/>
  <c r="F9" i="55"/>
  <c r="A10" i="55"/>
  <c r="F13" i="55"/>
  <c r="D28" i="55"/>
  <c r="G43" i="55"/>
  <c r="G35" i="55"/>
  <c r="B37" i="55"/>
  <c r="D55" i="55"/>
  <c r="G45" i="55"/>
  <c r="K46" i="55"/>
  <c r="K47" i="55"/>
  <c r="L62" i="55"/>
  <c r="F9" i="56"/>
  <c r="A10" i="56"/>
  <c r="F13" i="56"/>
  <c r="D28" i="56"/>
  <c r="G43" i="56"/>
  <c r="G35" i="56"/>
  <c r="B37" i="56"/>
  <c r="K46" i="56"/>
  <c r="K47" i="56"/>
  <c r="L62" i="56"/>
  <c r="F9" i="57"/>
  <c r="F13" i="57"/>
  <c r="H13" i="57"/>
  <c r="A10" i="57"/>
  <c r="G35" i="57"/>
  <c r="B37" i="57"/>
  <c r="K46" i="57"/>
  <c r="K47" i="57"/>
  <c r="L62" i="57"/>
  <c r="F9" i="74"/>
  <c r="A10" i="74"/>
  <c r="F13" i="74"/>
  <c r="H13" i="74"/>
  <c r="D28" i="74"/>
  <c r="G43" i="74"/>
  <c r="D55" i="74"/>
  <c r="G45" i="74"/>
  <c r="G48" i="74"/>
  <c r="G35" i="74"/>
  <c r="G49" i="74"/>
  <c r="B37" i="74"/>
  <c r="K46" i="74"/>
  <c r="K47" i="74"/>
  <c r="L62" i="74"/>
  <c r="F9" i="75"/>
  <c r="A10" i="75"/>
  <c r="F13" i="75"/>
  <c r="H13" i="75"/>
  <c r="B37" i="75"/>
  <c r="K46" i="75"/>
  <c r="K47" i="75"/>
  <c r="L62" i="75"/>
  <c r="F9" i="76"/>
  <c r="F13" i="76"/>
  <c r="H13" i="76"/>
  <c r="A10" i="76"/>
  <c r="D28" i="76"/>
  <c r="G43" i="76"/>
  <c r="G48" i="76"/>
  <c r="G35" i="76"/>
  <c r="G49" i="76"/>
  <c r="B37" i="76"/>
  <c r="K46" i="76"/>
  <c r="K47" i="76"/>
  <c r="L62" i="76"/>
  <c r="F9" i="65"/>
  <c r="A10" i="65"/>
  <c r="F13" i="65"/>
  <c r="H13" i="65"/>
  <c r="D28" i="65"/>
  <c r="G43" i="65"/>
  <c r="D55" i="65"/>
  <c r="G45" i="65"/>
  <c r="G48" i="65"/>
  <c r="G35" i="65"/>
  <c r="G49" i="65"/>
  <c r="B37" i="65"/>
  <c r="K46" i="65"/>
  <c r="K47" i="65"/>
  <c r="L62" i="65"/>
  <c r="F9" i="66"/>
  <c r="A10" i="66"/>
  <c r="F13" i="66"/>
  <c r="D28" i="66"/>
  <c r="G43" i="66"/>
  <c r="D55" i="66"/>
  <c r="G45" i="66"/>
  <c r="G48" i="66"/>
  <c r="G35" i="66"/>
  <c r="B37" i="66"/>
  <c r="K47" i="66"/>
  <c r="L62" i="66"/>
  <c r="F9" i="67"/>
  <c r="F13" i="67"/>
  <c r="H13" i="67"/>
  <c r="A10" i="67"/>
  <c r="D28" i="67"/>
  <c r="G43" i="67"/>
  <c r="G48" i="67"/>
  <c r="G35" i="67"/>
  <c r="G49" i="67"/>
  <c r="B37" i="67"/>
  <c r="K47" i="67"/>
  <c r="L62" i="67"/>
  <c r="F9" i="68"/>
  <c r="F13" i="68"/>
  <c r="H13" i="68"/>
  <c r="A10" i="68"/>
  <c r="B37" i="68"/>
  <c r="K46" i="68"/>
  <c r="K47" i="68"/>
  <c r="L62" i="68"/>
  <c r="F9" i="70"/>
  <c r="F13" i="70"/>
  <c r="H13" i="70"/>
  <c r="A10" i="70"/>
  <c r="D28" i="70"/>
  <c r="G43" i="70"/>
  <c r="D55" i="70"/>
  <c r="G45" i="70"/>
  <c r="G48" i="70"/>
  <c r="G49" i="70"/>
  <c r="B37" i="70"/>
  <c r="K46" i="70"/>
  <c r="K47" i="70"/>
  <c r="L62" i="70"/>
  <c r="F9" i="71"/>
  <c r="A10" i="71"/>
  <c r="F13" i="71"/>
  <c r="H13" i="71"/>
  <c r="D28" i="71"/>
  <c r="G43" i="71"/>
  <c r="D55" i="71"/>
  <c r="G45" i="71"/>
  <c r="G48" i="71"/>
  <c r="G35" i="71"/>
  <c r="G49" i="71"/>
  <c r="B37" i="71"/>
  <c r="K46" i="71"/>
  <c r="K47" i="71"/>
  <c r="L62" i="71"/>
  <c r="F9" i="72"/>
  <c r="F13" i="72"/>
  <c r="H13" i="72"/>
  <c r="A10" i="72"/>
  <c r="D28" i="72"/>
  <c r="G43" i="72"/>
  <c r="D55" i="72"/>
  <c r="G45" i="72"/>
  <c r="G48" i="72"/>
  <c r="G35" i="72"/>
  <c r="G49" i="72"/>
  <c r="B37" i="72"/>
  <c r="K46" i="72"/>
  <c r="K47" i="72"/>
  <c r="L62" i="72"/>
  <c r="F9" i="73"/>
  <c r="F13" i="73"/>
  <c r="H13" i="73"/>
  <c r="A10" i="73"/>
  <c r="D28" i="73"/>
  <c r="G43" i="73"/>
  <c r="D55" i="73"/>
  <c r="G45" i="73"/>
  <c r="G48" i="73"/>
  <c r="G49" i="73"/>
  <c r="B37" i="73"/>
  <c r="K46" i="73"/>
  <c r="K47" i="73"/>
  <c r="L62" i="73"/>
  <c r="F9" i="28"/>
  <c r="A10" i="28"/>
  <c r="F13" i="28"/>
  <c r="H13" i="28"/>
  <c r="D28" i="28"/>
  <c r="G43" i="28"/>
  <c r="D55" i="28"/>
  <c r="G45" i="28"/>
  <c r="G48" i="28"/>
  <c r="G35" i="28"/>
  <c r="G49" i="28"/>
  <c r="H35" i="28"/>
  <c r="B37" i="28"/>
  <c r="F9" i="6"/>
  <c r="A10" i="6"/>
  <c r="F13" i="6"/>
  <c r="H13" i="6"/>
  <c r="D28" i="6"/>
  <c r="G35" i="6"/>
  <c r="H35" i="6"/>
  <c r="B37" i="6"/>
  <c r="G43" i="6"/>
  <c r="D53" i="6"/>
  <c r="D55" i="6"/>
  <c r="G45" i="6"/>
  <c r="F9" i="7"/>
  <c r="A10" i="7"/>
  <c r="F13" i="7"/>
  <c r="H13" i="7"/>
  <c r="D28" i="7"/>
  <c r="G35" i="7"/>
  <c r="B37" i="7"/>
  <c r="G43" i="7"/>
  <c r="D55" i="7"/>
  <c r="G45" i="7"/>
  <c r="F9" i="29"/>
  <c r="F13" i="29"/>
  <c r="H13" i="29"/>
  <c r="A10" i="29"/>
  <c r="D28" i="29"/>
  <c r="G43" i="29"/>
  <c r="G35" i="29"/>
  <c r="B37" i="29"/>
  <c r="D53" i="29"/>
  <c r="D55" i="29"/>
  <c r="G45" i="29"/>
  <c r="K46" i="29"/>
  <c r="K47" i="29"/>
  <c r="M58" i="29"/>
  <c r="M62" i="29"/>
  <c r="L62" i="29"/>
  <c r="H13" i="66"/>
  <c r="H13" i="56"/>
  <c r="H35" i="7"/>
  <c r="H13" i="55"/>
  <c r="H13" i="13"/>
  <c r="H13" i="11"/>
  <c r="H35" i="23"/>
  <c r="F43" i="21"/>
  <c r="I45" i="3"/>
  <c r="H13" i="14"/>
  <c r="H13" i="42"/>
  <c r="G48" i="55"/>
  <c r="G49" i="55"/>
  <c r="M62" i="177"/>
  <c r="G30" i="177"/>
  <c r="M62" i="65"/>
  <c r="G30" i="65"/>
  <c r="H13" i="223"/>
  <c r="H13" i="257"/>
  <c r="H13" i="263"/>
  <c r="H13" i="266"/>
  <c r="H13" i="238"/>
  <c r="G48" i="266"/>
  <c r="G49" i="266"/>
  <c r="D55" i="287"/>
  <c r="G45" i="287"/>
  <c r="G48" i="287"/>
  <c r="G49" i="287"/>
  <c r="I45" i="4"/>
  <c r="G48" i="4"/>
  <c r="G49" i="4"/>
  <c r="G48" i="33"/>
  <c r="G49" i="33"/>
  <c r="I45" i="33"/>
  <c r="G48" i="56"/>
  <c r="G49" i="56"/>
  <c r="G45" i="13"/>
  <c r="G46" i="13"/>
  <c r="G49" i="159"/>
  <c r="G49" i="180"/>
  <c r="G48" i="6"/>
  <c r="G49" i="6"/>
  <c r="I45" i="5"/>
  <c r="G48" i="5"/>
  <c r="G49" i="5"/>
  <c r="G48" i="195"/>
  <c r="G49" i="195"/>
  <c r="G48" i="36"/>
  <c r="G49" i="36"/>
  <c r="I45" i="36"/>
  <c r="G48" i="189"/>
  <c r="G49" i="189"/>
  <c r="G48" i="44"/>
  <c r="G49" i="44"/>
  <c r="G45" i="11"/>
  <c r="G45" i="9"/>
  <c r="G46" i="9"/>
  <c r="G48" i="181"/>
  <c r="G48" i="57"/>
  <c r="G49" i="57"/>
  <c r="I45" i="27"/>
  <c r="G48" i="27"/>
  <c r="G49" i="27"/>
  <c r="I49" i="27"/>
  <c r="G47" i="20"/>
  <c r="G48" i="20"/>
  <c r="I45" i="29"/>
  <c r="G48" i="29"/>
  <c r="G49" i="29"/>
  <c r="G49" i="66"/>
  <c r="G48" i="177"/>
  <c r="G49" i="177"/>
  <c r="G48" i="257"/>
  <c r="G49" i="257"/>
  <c r="I45" i="31"/>
  <c r="G48" i="31"/>
  <c r="G49" i="31"/>
  <c r="G48" i="39"/>
  <c r="G49" i="39"/>
  <c r="I45" i="39"/>
  <c r="G48" i="158"/>
  <c r="G49" i="158"/>
  <c r="G48" i="206"/>
  <c r="I45" i="32"/>
  <c r="G48" i="32"/>
  <c r="G49" i="32"/>
  <c r="G49" i="181"/>
  <c r="G49" i="207"/>
  <c r="G49" i="206"/>
  <c r="G48" i="204"/>
  <c r="G49" i="204"/>
  <c r="G48" i="7"/>
  <c r="G49" i="7"/>
  <c r="G45" i="10"/>
  <c r="G46" i="10"/>
  <c r="G47" i="10"/>
  <c r="G49" i="166"/>
  <c r="G49" i="217"/>
  <c r="G48" i="26"/>
  <c r="G49" i="26"/>
  <c r="I49" i="26"/>
  <c r="I45" i="35"/>
  <c r="G48" i="35"/>
  <c r="G49" i="35"/>
  <c r="G48" i="40"/>
  <c r="G49" i="40"/>
  <c r="I45" i="40"/>
  <c r="F43" i="24"/>
  <c r="G47" i="24"/>
  <c r="I43" i="22"/>
  <c r="F43" i="22"/>
  <c r="G47" i="22"/>
  <c r="G45" i="18"/>
  <c r="G46" i="18"/>
  <c r="G48" i="157"/>
  <c r="G49" i="157"/>
  <c r="G48" i="171"/>
  <c r="G49" i="171"/>
  <c r="I49" i="171"/>
  <c r="G48" i="202"/>
  <c r="G49" i="202"/>
  <c r="G48" i="22"/>
  <c r="G48" i="24"/>
  <c r="I48" i="24"/>
  <c r="I45" i="34"/>
  <c r="H35" i="14"/>
  <c r="G46" i="11"/>
  <c r="G46" i="12"/>
  <c r="G47" i="23"/>
  <c r="G48" i="23"/>
  <c r="K48" i="31"/>
  <c r="D55" i="267"/>
  <c r="G45" i="267"/>
  <c r="H13" i="267"/>
  <c r="M62" i="267"/>
  <c r="G30" i="267"/>
  <c r="D52" i="272"/>
  <c r="G42" i="272"/>
  <c r="M59" i="280"/>
  <c r="G27" i="280"/>
  <c r="M59" i="272"/>
  <c r="G27" i="272"/>
  <c r="D52" i="281"/>
  <c r="G42" i="281" s="1"/>
  <c r="G45" i="281" s="1"/>
  <c r="G46" i="281" s="1"/>
  <c r="H10" i="286"/>
  <c r="M59" i="276"/>
  <c r="G27" i="276"/>
  <c r="M59" i="281"/>
  <c r="G27" i="281"/>
  <c r="M59" i="275"/>
  <c r="G27" i="275"/>
  <c r="M59" i="286"/>
  <c r="G27" i="286"/>
  <c r="M59" i="282"/>
  <c r="G27" i="282"/>
  <c r="M59" i="277"/>
  <c r="G27" i="277"/>
  <c r="H10" i="276"/>
  <c r="H10" i="282"/>
  <c r="M59" i="283"/>
  <c r="G27" i="283"/>
  <c r="M59" i="284"/>
  <c r="G27" i="284"/>
  <c r="M59" i="270"/>
  <c r="G27" i="270"/>
  <c r="H10" i="277"/>
  <c r="H10" i="270"/>
  <c r="G48" i="267"/>
  <c r="G49" i="267"/>
  <c r="G45" i="270"/>
  <c r="G46" i="270"/>
  <c r="G46" i="308"/>
  <c r="G46" i="307"/>
  <c r="G45" i="276"/>
  <c r="G46" i="276"/>
  <c r="G45" i="273"/>
  <c r="G46" i="273"/>
  <c r="M59" i="273"/>
  <c r="G27" i="273"/>
  <c r="G45" i="272"/>
  <c r="G46" i="272"/>
  <c r="G46" i="325"/>
  <c r="G46" i="320" l="1"/>
  <c r="G46" i="319"/>
  <c r="G45" i="285"/>
  <c r="G46" i="285" s="1"/>
  <c r="G45" i="323"/>
  <c r="G46" i="323" s="1"/>
  <c r="G45" i="280"/>
  <c r="G46" i="280" s="1"/>
  <c r="G46" i="317"/>
  <c r="G46" i="327"/>
  <c r="G45" i="321"/>
  <c r="G46" i="321" s="1"/>
  <c r="G46" i="318"/>
  <c r="G46" i="315"/>
  <c r="G46" i="313"/>
  <c r="G46" i="311"/>
  <c r="G46" i="310"/>
  <c r="G46" i="309"/>
  <c r="G46" i="275"/>
  <c r="G46" i="286"/>
  <c r="G45" i="282"/>
  <c r="G46" i="282" s="1"/>
</calcChain>
</file>

<file path=xl/sharedStrings.xml><?xml version="1.0" encoding="utf-8"?>
<sst xmlns="http://schemas.openxmlformats.org/spreadsheetml/2006/main" count="14282" uniqueCount="471">
  <si>
    <t>지출내역</t>
  </si>
  <si>
    <t>지출금액</t>
  </si>
  <si>
    <t>남은 지출현황</t>
  </si>
  <si>
    <t>우선순위</t>
  </si>
  <si>
    <r>
      <t>세금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보험</t>
    </r>
  </si>
  <si>
    <t>주택대출금(매달25일)</t>
  </si>
  <si>
    <t>국민은행 1002-032-984549 구형범 매달 5일</t>
  </si>
  <si>
    <r>
      <t xml:space="preserve">우체국보험(암,건강만기보험)(매달25일) </t>
    </r>
    <r>
      <rPr>
        <b/>
        <sz val="10"/>
        <rFont val="돋움"/>
        <family val="3"/>
        <charset val="129"/>
      </rPr>
      <t>만기-2025년11월 (53살)</t>
    </r>
  </si>
  <si>
    <t>우리은행 1002-032-984549 구형범 매달 25일</t>
  </si>
  <si>
    <r>
      <t xml:space="preserve">종신보험(삼성생명)(매달20일)
</t>
    </r>
    <r>
      <rPr>
        <b/>
        <sz val="10"/>
        <color indexed="10"/>
        <rFont val="돋움"/>
        <family val="3"/>
        <charset val="129"/>
      </rPr>
      <t xml:space="preserve">73살~80살 해지 또는 상품전환(수익률 100% 이상)
</t>
    </r>
    <r>
      <rPr>
        <b/>
        <sz val="10"/>
        <color indexed="30"/>
        <rFont val="돋움"/>
        <family val="3"/>
        <charset val="129"/>
      </rPr>
      <t>계약기간 2029년9월까지(자유납입으로 인한 부족납입금액 더 내야함)</t>
    </r>
  </si>
  <si>
    <r>
      <t xml:space="preserve">연금보험(삼성생명)(매달25일) 진선희앞으로 가입됨(2013년3월) </t>
    </r>
    <r>
      <rPr>
        <b/>
        <sz val="10"/>
        <rFont val="돋움"/>
        <family val="3"/>
        <charset val="129"/>
      </rPr>
      <t>만기-2023년 3월 (51살)</t>
    </r>
  </si>
  <si>
    <r>
      <t xml:space="preserve">실비보험(현대해상)(매달25일) </t>
    </r>
    <r>
      <rPr>
        <b/>
        <sz val="10"/>
        <rFont val="돋움"/>
        <family val="3"/>
        <charset val="129"/>
      </rPr>
      <t>만기-2029년5월 (57살)</t>
    </r>
  </si>
  <si>
    <t>화재보험(삼성화재)(매달25일)</t>
  </si>
  <si>
    <t>운전자보험(동부화재)(매달25일)</t>
  </si>
  <si>
    <t>보험료합계</t>
  </si>
  <si>
    <t>아파트관리비 (매달18일,26일까지) 63245010113112</t>
  </si>
  <si>
    <t>아파트가스비 (매달25일)</t>
  </si>
  <si>
    <t>우리은행 1002-032-984549 구형범 매달 26일</t>
  </si>
  <si>
    <t>휴대폰비 - (매달20일)</t>
  </si>
  <si>
    <t>우리은행 1002-032-984549 구형범 매달 20일</t>
  </si>
  <si>
    <t>인터넷(sk브로드밴드), TV케이블방송(매달20일)</t>
  </si>
  <si>
    <t>기본생활비합계</t>
  </si>
  <si>
    <t>보험료+기본생활비</t>
  </si>
  <si>
    <t>자동차보험료</t>
  </si>
  <si>
    <t>자동차세</t>
  </si>
  <si>
    <t>재산세</t>
  </si>
  <si>
    <t>지방소득세</t>
  </si>
  <si>
    <t>공조사비</t>
  </si>
  <si>
    <t>대출금상환</t>
  </si>
  <si>
    <t>특이사항</t>
  </si>
  <si>
    <r>
      <t>5</t>
    </r>
    <r>
      <rPr>
        <sz val="10"/>
        <rFont val="돋움"/>
        <family val="3"/>
        <charset val="129"/>
      </rPr>
      <t>월 자동차보험료</t>
    </r>
  </si>
  <si>
    <r>
      <t>6</t>
    </r>
    <r>
      <rPr>
        <sz val="10"/>
        <rFont val="돋움"/>
        <family val="3"/>
        <charset val="129"/>
      </rPr>
      <t>월 자동차세</t>
    </r>
  </si>
  <si>
    <r>
      <t>7</t>
    </r>
    <r>
      <rPr>
        <sz val="10"/>
        <rFont val="돋움"/>
        <family val="3"/>
        <charset val="129"/>
      </rPr>
      <t>월 재산세</t>
    </r>
  </si>
  <si>
    <r>
      <t>8</t>
    </r>
    <r>
      <rPr>
        <sz val="10"/>
        <rFont val="돋움"/>
        <family val="3"/>
        <charset val="129"/>
      </rPr>
      <t>월 지방소득세</t>
    </r>
  </si>
  <si>
    <r>
      <t>8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31</t>
    </r>
    <r>
      <rPr>
        <sz val="10"/>
        <rFont val="돋움"/>
        <family val="3"/>
        <charset val="129"/>
      </rPr>
      <t xml:space="preserve">일치8월 </t>
    </r>
    <r>
      <rPr>
        <sz val="10"/>
        <rFont val="Arial"/>
        <family val="2"/>
      </rPr>
      <t>31</t>
    </r>
    <r>
      <rPr>
        <sz val="10"/>
        <rFont val="돋움"/>
        <family val="3"/>
        <charset val="129"/>
      </rPr>
      <t>일치</t>
    </r>
  </si>
  <si>
    <t>현재 잔액</t>
  </si>
  <si>
    <t>한달 50만원 영수증제출 필요(숙소비용, 주유비, 통행료)</t>
  </si>
  <si>
    <r>
      <t>9</t>
    </r>
    <r>
      <rPr>
        <sz val="10"/>
        <rFont val="돋움"/>
        <family val="3"/>
        <charset val="129"/>
      </rPr>
      <t>월 재산세</t>
    </r>
  </si>
  <si>
    <t>이체예정</t>
  </si>
  <si>
    <t>보수30일치(30x152,330) =4,569,929원,  체제비 50만 포함=5,069,929</t>
  </si>
  <si>
    <r>
      <t>12</t>
    </r>
    <r>
      <rPr>
        <sz val="10"/>
        <rFont val="돋움"/>
        <family val="3"/>
        <charset val="129"/>
      </rPr>
      <t>월 자동차세</t>
    </r>
  </si>
  <si>
    <t>A</t>
  </si>
  <si>
    <t>합계</t>
  </si>
  <si>
    <t>12월 지방소득세</t>
  </si>
  <si>
    <t>연말정산대비</t>
  </si>
  <si>
    <t>국민연금</t>
  </si>
  <si>
    <t>의료보험</t>
  </si>
  <si>
    <t>KB신용카드</t>
  </si>
  <si>
    <r>
      <t xml:space="preserve">신용카드잔액 </t>
    </r>
    <r>
      <rPr>
        <sz val="10"/>
        <rFont val="Arial"/>
        <family val="2"/>
      </rPr>
      <t>0</t>
    </r>
    <r>
      <rPr>
        <sz val="10"/>
        <rFont val="돋움"/>
        <family val="3"/>
        <charset val="129"/>
      </rPr>
      <t xml:space="preserve">만신용카드잔액 </t>
    </r>
    <r>
      <rPr>
        <sz val="10"/>
        <rFont val="Arial"/>
        <family val="2"/>
      </rPr>
      <t>0</t>
    </r>
    <r>
      <rPr>
        <sz val="10"/>
        <rFont val="돋움"/>
        <family val="3"/>
        <charset val="129"/>
      </rPr>
      <t>만</t>
    </r>
  </si>
  <si>
    <t>주택자금백업</t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</si>
  <si>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 xml:space="preserve">3.38 </t>
    </r>
    <r>
      <rPr>
        <sz val="10"/>
        <rFont val="Arial"/>
        <family val="2"/>
      </rPr>
      <t>- 18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3.16</t>
    </r>
    <r>
      <rPr>
        <sz val="10"/>
        <rFont val="Arial"/>
        <family val="2"/>
      </rPr>
      <t xml:space="preserve"> - 8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3.44</t>
    </r>
    <r>
      <rPr>
        <sz val="10"/>
        <rFont val="Arial"/>
        <family val="2"/>
      </rPr>
      <t xml:space="preserve"> - 7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 xml:space="preserve">3.38 </t>
    </r>
    <r>
      <rPr>
        <sz val="10"/>
        <rFont val="Arial"/>
        <family val="2"/>
      </rPr>
      <t>- 18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3.16</t>
    </r>
    <r>
      <rPr>
        <sz val="10"/>
        <rFont val="Arial"/>
        <family val="2"/>
      </rPr>
      <t xml:space="preserve"> - 8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3.44</t>
    </r>
    <r>
      <rPr>
        <sz val="10"/>
        <rFont val="Arial"/>
        <family val="2"/>
      </rPr>
      <t xml:space="preserve"> - 7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</si>
  <si>
    <t>전월잔액지출금(아파트가스비)</t>
  </si>
  <si>
    <t>방보증금</t>
  </si>
  <si>
    <t>월 생활비</t>
  </si>
  <si>
    <r>
      <t>1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230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1150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1610</t>
    </r>
    <r>
      <rPr>
        <sz val="10"/>
        <rFont val="돋움"/>
        <family val="3"/>
        <charset val="129"/>
      </rPr>
      <t xml:space="preserve">만원1년 </t>
    </r>
    <r>
      <rPr>
        <sz val="10"/>
        <rFont val="Arial"/>
        <family val="2"/>
      </rPr>
      <t>230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1150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1610</t>
    </r>
    <r>
      <rPr>
        <sz val="10"/>
        <rFont val="돋움"/>
        <family val="3"/>
        <charset val="129"/>
      </rPr>
      <t>만원</t>
    </r>
  </si>
  <si>
    <t>진선희</t>
  </si>
  <si>
    <t>대출금 2016년 3월부터</t>
  </si>
  <si>
    <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+ 71,000(25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336,000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19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+ 71,000(25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336,000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19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</si>
  <si>
    <t>월 활동비</t>
  </si>
  <si>
    <t>월유지비용(월생활비+월활동비)</t>
  </si>
  <si>
    <r>
      <t>대출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(2014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12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(2014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12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</si>
  <si>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</t>
    </r>
    <r>
      <rPr>
        <sz val="10"/>
        <color indexed="30"/>
        <rFont val="돋움"/>
        <family val="3"/>
        <charset val="129"/>
      </rPr>
      <t xml:space="preserve">월부터 미적용중도상환수수료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</t>
    </r>
    <r>
      <rPr>
        <sz val="10"/>
        <color indexed="30"/>
        <rFont val="돋움"/>
        <family val="3"/>
        <charset val="129"/>
      </rPr>
      <t>월부터 미적용</t>
    </r>
  </si>
  <si>
    <t>우리은행백업 0만</t>
  </si>
  <si>
    <t>백업합계</t>
  </si>
  <si>
    <r>
      <t>대출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24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24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</si>
  <si>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9</t>
    </r>
    <r>
      <rPr>
        <sz val="10"/>
        <color indexed="30"/>
        <rFont val="돋움"/>
        <family val="3"/>
        <charset val="129"/>
      </rPr>
      <t xml:space="preserve">월부터 미적용중도상환수수료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9</t>
    </r>
    <r>
      <rPr>
        <sz val="10"/>
        <color indexed="30"/>
        <rFont val="돋움"/>
        <family val="3"/>
        <charset val="129"/>
      </rPr>
      <t>월부터 미적용</t>
    </r>
  </si>
  <si>
    <t>대출금반납</t>
  </si>
  <si>
    <t>대출잔액</t>
  </si>
  <si>
    <r>
      <t>대출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(2016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(2016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</si>
  <si>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11</t>
    </r>
    <r>
      <rPr>
        <sz val="10"/>
        <color indexed="30"/>
        <rFont val="돋움"/>
        <family val="3"/>
        <charset val="129"/>
      </rPr>
      <t xml:space="preserve">월부터 미적용중도상환수수료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11</t>
    </r>
    <r>
      <rPr>
        <sz val="10"/>
        <color indexed="30"/>
        <rFont val="돋움"/>
        <family val="3"/>
        <charset val="129"/>
      </rPr>
      <t>월부터 미적용</t>
    </r>
  </si>
  <si>
    <t>B</t>
  </si>
  <si>
    <t>총 필요금액</t>
  </si>
  <si>
    <t>삼성생명보험대출</t>
  </si>
  <si>
    <t>예상잔액</t>
  </si>
  <si>
    <t>신용대출</t>
  </si>
  <si>
    <r>
      <t>매달</t>
    </r>
    <r>
      <rPr>
        <b/>
        <sz val="10"/>
        <color indexed="10"/>
        <rFont val="Arial"/>
        <family val="2"/>
      </rPr>
      <t>25</t>
    </r>
    <r>
      <rPr>
        <b/>
        <sz val="10"/>
        <color indexed="10"/>
        <rFont val="돋움"/>
        <family val="3"/>
        <charset val="129"/>
      </rPr>
      <t>일부터 익월</t>
    </r>
    <r>
      <rPr>
        <b/>
        <sz val="10"/>
        <color indexed="10"/>
        <rFont val="Arial"/>
        <family val="2"/>
      </rPr>
      <t>25</t>
    </r>
    <r>
      <rPr>
        <b/>
        <sz val="10"/>
        <color indexed="10"/>
        <rFont val="돋움"/>
        <family val="3"/>
        <charset val="129"/>
      </rPr>
      <t>일까지 필요금액</t>
    </r>
  </si>
  <si>
    <t>A-B</t>
  </si>
  <si>
    <t>월별 카드비 계산후값</t>
  </si>
  <si>
    <t>숙소비용</t>
  </si>
  <si>
    <t>매달23일</t>
  </si>
  <si>
    <t>주유비,하이패스</t>
  </si>
  <si>
    <t>식비,체제비</t>
  </si>
  <si>
    <t>현금</t>
  </si>
  <si>
    <r>
      <t>25</t>
    </r>
    <r>
      <rPr>
        <sz val="10"/>
        <rFont val="돋움"/>
        <family val="3"/>
        <charset val="129"/>
      </rPr>
      <t>일까지 활동비</t>
    </r>
  </si>
  <si>
    <r>
      <t>25</t>
    </r>
    <r>
      <rPr>
        <sz val="10"/>
        <rFont val="돋움"/>
        <family val="3"/>
        <charset val="129"/>
      </rPr>
      <t>일까지 필요생활비</t>
    </r>
  </si>
  <si>
    <t>50살(2022년)이후의 계획</t>
  </si>
  <si>
    <t>1. 안정적인 일자리(적어도 2년이상, 추후 안정성이 보장되는 일을 할 수 있는 가능성이 많은곳)</t>
  </si>
  <si>
    <t>2. 본인 대출금 상환완료후 자동차구매</t>
  </si>
  <si>
    <t>3. 화장실 2개 짜리 아파트로 이동</t>
  </si>
  <si>
    <r>
      <t>9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30</t>
    </r>
    <r>
      <rPr>
        <sz val="10"/>
        <rFont val="돋움"/>
        <family val="3"/>
        <charset val="129"/>
      </rPr>
      <t>일치</t>
    </r>
  </si>
  <si>
    <r>
      <t xml:space="preserve">신용카드잔액 </t>
    </r>
    <r>
      <rPr>
        <sz val="10"/>
        <rFont val="Arial"/>
        <family val="2"/>
      </rPr>
      <t>0</t>
    </r>
    <r>
      <rPr>
        <sz val="10"/>
        <rFont val="돋움"/>
        <family val="3"/>
        <charset val="129"/>
      </rPr>
      <t>만</t>
    </r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</si>
  <si>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 xml:space="preserve">3.38 </t>
    </r>
    <r>
      <rPr>
        <sz val="10"/>
        <rFont val="Arial"/>
        <family val="2"/>
      </rPr>
      <t>- 18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3.16</t>
    </r>
    <r>
      <rPr>
        <sz val="10"/>
        <rFont val="Arial"/>
        <family val="2"/>
      </rPr>
      <t xml:space="preserve"> - 8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3.44</t>
    </r>
    <r>
      <rPr>
        <sz val="10"/>
        <rFont val="Arial"/>
        <family val="2"/>
      </rPr>
      <t xml:space="preserve"> - 7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</si>
  <si>
    <r>
      <t>1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230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1150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1610</t>
    </r>
    <r>
      <rPr>
        <sz val="10"/>
        <rFont val="돋움"/>
        <family val="3"/>
        <charset val="129"/>
      </rPr>
      <t>만원</t>
    </r>
  </si>
  <si>
    <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+ 71,000(25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336,000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19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</si>
  <si>
    <r>
      <t>대출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(2014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12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</si>
  <si>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</t>
    </r>
    <r>
      <rPr>
        <sz val="10"/>
        <color indexed="30"/>
        <rFont val="돋움"/>
        <family val="3"/>
        <charset val="129"/>
      </rPr>
      <t>월부터 미적용</t>
    </r>
  </si>
  <si>
    <r>
      <t>대출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24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</si>
  <si>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9</t>
    </r>
    <r>
      <rPr>
        <sz val="10"/>
        <color indexed="30"/>
        <rFont val="돋움"/>
        <family val="3"/>
        <charset val="129"/>
      </rPr>
      <t>월부터 미적용</t>
    </r>
  </si>
  <si>
    <r>
      <t>대출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(2016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>23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)</t>
    </r>
  </si>
  <si>
    <r>
      <t xml:space="preserve">중도상환수수료 </t>
    </r>
    <r>
      <rPr>
        <sz val="10"/>
        <color indexed="30"/>
        <rFont val="Arial"/>
        <family val="2"/>
      </rPr>
      <t>2018</t>
    </r>
    <r>
      <rPr>
        <sz val="10"/>
        <color indexed="30"/>
        <rFont val="돋움"/>
        <family val="3"/>
        <charset val="129"/>
      </rPr>
      <t xml:space="preserve">년 </t>
    </r>
    <r>
      <rPr>
        <sz val="10"/>
        <color indexed="30"/>
        <rFont val="Arial"/>
        <family val="2"/>
      </rPr>
      <t>11</t>
    </r>
    <r>
      <rPr>
        <sz val="10"/>
        <color indexed="30"/>
        <rFont val="돋움"/>
        <family val="3"/>
        <charset val="129"/>
      </rPr>
      <t>월부터 미적용</t>
    </r>
  </si>
  <si>
    <r>
      <t>대출추가</t>
    </r>
    <r>
      <rPr>
        <sz val="10"/>
        <color indexed="10"/>
        <rFont val="Arial"/>
        <family val="2"/>
      </rPr>
      <t>300</t>
    </r>
    <r>
      <rPr>
        <sz val="10"/>
        <color indexed="10"/>
        <rFont val="돋움"/>
        <family val="3"/>
        <charset val="129"/>
      </rPr>
      <t>만</t>
    </r>
  </si>
  <si>
    <r>
      <t>10</t>
    </r>
    <r>
      <rPr>
        <b/>
        <sz val="10"/>
        <color indexed="48"/>
        <rFont val="돋움"/>
        <family val="3"/>
        <charset val="129"/>
      </rPr>
      <t>월</t>
    </r>
    <r>
      <rPr>
        <b/>
        <sz val="10"/>
        <color indexed="48"/>
        <rFont val="Arial"/>
        <family val="2"/>
      </rPr>
      <t>25</t>
    </r>
    <r>
      <rPr>
        <b/>
        <sz val="10"/>
        <color indexed="48"/>
        <rFont val="돋움"/>
        <family val="3"/>
        <charset val="129"/>
      </rPr>
      <t xml:space="preserve">일 </t>
    </r>
    <r>
      <rPr>
        <b/>
        <sz val="10"/>
        <color indexed="48"/>
        <rFont val="Arial"/>
        <family val="2"/>
      </rPr>
      <t>150</t>
    </r>
    <r>
      <rPr>
        <b/>
        <sz val="10"/>
        <color indexed="48"/>
        <rFont val="돋움"/>
        <family val="3"/>
        <charset val="129"/>
      </rPr>
      <t xml:space="preserve">만 국민은행 원금상환 </t>
    </r>
    <r>
      <rPr>
        <b/>
        <sz val="10"/>
        <color indexed="48"/>
        <rFont val="Arial"/>
        <family val="2"/>
      </rPr>
      <t>==&gt; 600</t>
    </r>
    <r>
      <rPr>
        <b/>
        <sz val="10"/>
        <color indexed="48"/>
        <rFont val="돋움"/>
        <family val="3"/>
        <charset val="129"/>
      </rPr>
      <t>만</t>
    </r>
    <r>
      <rPr>
        <b/>
        <sz val="10"/>
        <color indexed="48"/>
        <rFont val="Arial"/>
        <family val="2"/>
      </rPr>
      <t>(400</t>
    </r>
    <r>
      <rPr>
        <b/>
        <sz val="10"/>
        <color indexed="48"/>
        <rFont val="돋움"/>
        <family val="3"/>
        <charset val="129"/>
      </rPr>
      <t>만</t>
    </r>
    <r>
      <rPr>
        <b/>
        <sz val="10"/>
        <color indexed="48"/>
        <rFont val="Arial"/>
        <family val="2"/>
      </rPr>
      <t>+200</t>
    </r>
    <r>
      <rPr>
        <b/>
        <sz val="10"/>
        <color indexed="48"/>
        <rFont val="돋움"/>
        <family val="3"/>
        <charset val="129"/>
      </rPr>
      <t>만</t>
    </r>
    <r>
      <rPr>
        <b/>
        <sz val="10"/>
        <color indexed="48"/>
        <rFont val="Arial"/>
        <family val="2"/>
      </rPr>
      <t xml:space="preserve">) </t>
    </r>
    <r>
      <rPr>
        <b/>
        <sz val="10"/>
        <color indexed="48"/>
        <rFont val="돋움"/>
        <family val="3"/>
        <charset val="129"/>
      </rPr>
      <t>남음</t>
    </r>
  </si>
  <si>
    <r>
      <t>400</t>
    </r>
    <r>
      <rPr>
        <sz val="10"/>
        <color indexed="8"/>
        <rFont val="돋움"/>
        <family val="3"/>
        <charset val="129"/>
      </rPr>
      <t>만</t>
    </r>
    <r>
      <rPr>
        <sz val="10"/>
        <color indexed="8"/>
        <rFont val="Arial"/>
        <family val="2"/>
      </rPr>
      <t>+200</t>
    </r>
    <r>
      <rPr>
        <sz val="10"/>
        <color indexed="8"/>
        <rFont val="돋움"/>
        <family val="3"/>
        <charset val="129"/>
      </rPr>
      <t>만</t>
    </r>
  </si>
  <si>
    <r>
      <t>우리카드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이용대금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color indexed="8"/>
        <rFont val="Arial"/>
        <family val="2"/>
      </rPr>
      <t>232</t>
    </r>
    <r>
      <rPr>
        <sz val="10"/>
        <rFont val="돋움"/>
        <family val="3"/>
        <charset val="129"/>
      </rPr>
      <t>만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결재 완료</t>
    </r>
  </si>
  <si>
    <r>
      <t>방값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휴대폰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인터넷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주유비</t>
    </r>
  </si>
  <si>
    <t>대출비용</t>
  </si>
  <si>
    <t>KB은행 아파트대출</t>
  </si>
  <si>
    <t>KB카드 신용대출#1</t>
  </si>
  <si>
    <t>KB카드 신용대출#2</t>
  </si>
  <si>
    <r>
      <t>25</t>
    </r>
    <r>
      <rPr>
        <sz val="10"/>
        <color indexed="8"/>
        <rFont val="돋움"/>
        <family val="3"/>
        <charset val="129"/>
      </rPr>
      <t>일 저녁 확인필요</t>
    </r>
  </si>
  <si>
    <r>
      <t xml:space="preserve">==&gt; </t>
    </r>
    <r>
      <rPr>
        <sz val="10"/>
        <color indexed="10"/>
        <rFont val="돋움"/>
        <family val="3"/>
        <charset val="129"/>
      </rPr>
      <t>확인함</t>
    </r>
    <r>
      <rPr>
        <sz val="10"/>
        <color indexed="10"/>
        <rFont val="Arial"/>
        <family val="2"/>
      </rPr>
      <t>.</t>
    </r>
  </si>
  <si>
    <t>보수</t>
  </si>
  <si>
    <r>
      <t xml:space="preserve">출장비 </t>
    </r>
    <r>
      <rPr>
        <b/>
        <sz val="11"/>
        <color indexed="23"/>
        <rFont val="Arial"/>
        <family val="2"/>
      </rPr>
      <t>480</t>
    </r>
    <r>
      <rPr>
        <b/>
        <sz val="11"/>
        <color indexed="23"/>
        <rFont val="돋움"/>
        <family val="3"/>
        <charset val="129"/>
      </rPr>
      <t>만 받아야함</t>
    </r>
    <r>
      <rPr>
        <b/>
        <sz val="11"/>
        <color indexed="23"/>
        <rFont val="Arial"/>
        <family val="2"/>
      </rPr>
      <t>.</t>
    </r>
  </si>
  <si>
    <r>
      <t>신용대출</t>
    </r>
    <r>
      <rPr>
        <b/>
        <sz val="10"/>
        <color indexed="23"/>
        <rFont val="Arial"/>
        <family val="2"/>
      </rPr>
      <t>#2 200</t>
    </r>
    <r>
      <rPr>
        <b/>
        <sz val="10"/>
        <color indexed="23"/>
        <rFont val="돋움"/>
        <family val="3"/>
        <charset val="129"/>
      </rPr>
      <t>만 상환</t>
    </r>
  </si>
  <si>
    <r>
      <t>신용대출</t>
    </r>
    <r>
      <rPr>
        <b/>
        <sz val="10"/>
        <color indexed="23"/>
        <rFont val="Arial"/>
        <family val="2"/>
      </rPr>
      <t>#1 100</t>
    </r>
    <r>
      <rPr>
        <b/>
        <sz val="10"/>
        <color indexed="23"/>
        <rFont val="돋움"/>
        <family val="3"/>
        <charset val="129"/>
      </rPr>
      <t>만 상환</t>
    </r>
  </si>
  <si>
    <r>
      <t xml:space="preserve">생활비 </t>
    </r>
    <r>
      <rPr>
        <b/>
        <sz val="10"/>
        <color indexed="23"/>
        <rFont val="Arial"/>
        <family val="2"/>
      </rPr>
      <t>180</t>
    </r>
    <r>
      <rPr>
        <b/>
        <sz val="10"/>
        <color indexed="23"/>
        <rFont val="돋움"/>
        <family val="3"/>
        <charset val="129"/>
      </rPr>
      <t>만 보탬</t>
    </r>
  </si>
  <si>
    <t>금월 예상</t>
  </si>
  <si>
    <t>대출 100만</t>
  </si>
  <si>
    <t>=</t>
  </si>
  <si>
    <r>
      <t xml:space="preserve">종신보험(삼성생명)(매달20일)
</t>
    </r>
    <r>
      <rPr>
        <b/>
        <sz val="10"/>
        <color indexed="10"/>
        <rFont val="돋움"/>
        <family val="3"/>
        <charset val="129"/>
      </rPr>
      <t xml:space="preserve">73살~80살 해지 또는 상품전환(수익률 100% 이상)
</t>
    </r>
    <r>
      <rPr>
        <b/>
        <sz val="10"/>
        <color indexed="30"/>
        <rFont val="돋움"/>
        <family val="3"/>
        <charset val="129"/>
      </rPr>
      <t>계약기간 2029년9월까지(만기시 자유납입으로 인한 부족납입금액 더 내야함)</t>
    </r>
  </si>
  <si>
    <t xml:space="preserve"> </t>
  </si>
  <si>
    <r>
      <t>재형저축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우리은행</t>
    </r>
    <r>
      <rPr>
        <sz val="10"/>
        <rFont val="Arial"/>
        <family val="2"/>
      </rPr>
      <t xml:space="preserve">) - </t>
    </r>
    <r>
      <rPr>
        <sz val="10"/>
        <rFont val="돋움"/>
        <family val="3"/>
        <charset val="129"/>
      </rPr>
      <t xml:space="preserve">만기일 </t>
    </r>
    <r>
      <rPr>
        <sz val="10"/>
        <rFont val="Arial"/>
        <family val="2"/>
      </rPr>
      <t xml:space="preserve">2022.11.19 </t>
    </r>
  </si>
  <si>
    <r>
      <t xml:space="preserve"> 1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280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1400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년만기 </t>
    </r>
    <r>
      <rPr>
        <sz val="10"/>
        <rFont val="Arial"/>
        <family val="2"/>
      </rPr>
      <t>1960</t>
    </r>
    <r>
      <rPr>
        <sz val="10"/>
        <rFont val="돋움"/>
        <family val="3"/>
        <charset val="129"/>
      </rPr>
      <t>만원</t>
    </r>
  </si>
  <si>
    <t>백업잔액 0만</t>
  </si>
  <si>
    <r>
      <t>대출금잔액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color indexed="8"/>
        <rFont val="Arial"/>
        <family val="2"/>
      </rPr>
      <t>0</t>
    </r>
    <r>
      <rPr>
        <sz val="10"/>
        <rFont val="돋움"/>
        <family val="3"/>
        <charset val="129"/>
      </rPr>
      <t>만</t>
    </r>
  </si>
  <si>
    <t>주유비</t>
  </si>
  <si>
    <r>
      <t>재형저축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우리은행</t>
    </r>
    <r>
      <rPr>
        <sz val="10"/>
        <rFont val="Arial"/>
        <family val="2"/>
      </rPr>
      <t xml:space="preserve">) - </t>
    </r>
    <r>
      <rPr>
        <sz val="10"/>
        <rFont val="돋움"/>
        <family val="3"/>
        <charset val="129"/>
      </rPr>
      <t xml:space="preserve">만기일 </t>
    </r>
    <r>
      <rPr>
        <sz val="10"/>
        <rFont val="Arial"/>
        <family val="2"/>
      </rPr>
      <t xml:space="preserve">2022.11.19 </t>
    </r>
    <r>
      <rPr>
        <sz val="10"/>
        <rFont val="돋움"/>
        <family val="3"/>
        <charset val="129"/>
      </rPr>
      <t>재형저축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우리은행</t>
    </r>
    <r>
      <rPr>
        <sz val="10"/>
        <rFont val="Arial"/>
        <family val="2"/>
      </rPr>
      <t xml:space="preserve">) - </t>
    </r>
    <r>
      <rPr>
        <sz val="10"/>
        <rFont val="돋움"/>
        <family val="3"/>
        <charset val="129"/>
      </rPr>
      <t xml:space="preserve">만기일 </t>
    </r>
    <r>
      <rPr>
        <sz val="10"/>
        <rFont val="Arial"/>
        <family val="2"/>
      </rPr>
      <t xml:space="preserve">2022.11.19 </t>
    </r>
  </si>
  <si>
    <r>
      <t xml:space="preserve"> 1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280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1400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년만기 </t>
    </r>
    <r>
      <rPr>
        <sz val="10"/>
        <rFont val="Arial"/>
        <family val="2"/>
      </rPr>
      <t>1960</t>
    </r>
    <r>
      <rPr>
        <sz val="10"/>
        <rFont val="돋움"/>
        <family val="3"/>
        <charset val="129"/>
      </rPr>
      <t xml:space="preserve">만원 1년 </t>
    </r>
    <r>
      <rPr>
        <sz val="10"/>
        <rFont val="Arial"/>
        <family val="2"/>
      </rPr>
      <t>280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1400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년만기 </t>
    </r>
    <r>
      <rPr>
        <sz val="10"/>
        <rFont val="Arial"/>
        <family val="2"/>
      </rPr>
      <t>1960</t>
    </r>
    <r>
      <rPr>
        <sz val="10"/>
        <rFont val="돋움"/>
        <family val="3"/>
        <charset val="129"/>
      </rPr>
      <t>만원</t>
    </r>
  </si>
  <si>
    <r>
      <t xml:space="preserve">대출금잔액 </t>
    </r>
    <r>
      <rPr>
        <sz val="10"/>
        <rFont val="Arial"/>
        <family val="2"/>
      </rPr>
      <t>550</t>
    </r>
    <r>
      <rPr>
        <sz val="10"/>
        <rFont val="돋움"/>
        <family val="3"/>
        <charset val="129"/>
      </rPr>
      <t>만</t>
    </r>
  </si>
  <si>
    <r>
      <t xml:space="preserve">종신보험(삼성생명)(매달20일)
</t>
    </r>
    <r>
      <rPr>
        <b/>
        <sz val="10"/>
        <color indexed="10"/>
        <rFont val="돋움"/>
        <family val="3"/>
        <charset val="129"/>
      </rPr>
      <t>73살~80살 해지 또는 상품전환(수익률 100% 이상)</t>
    </r>
  </si>
  <si>
    <t>아파트관리비 (매달18일) 63245010113112</t>
  </si>
  <si>
    <r>
      <t>A</t>
    </r>
    <r>
      <rPr>
        <sz val="10"/>
        <rFont val="돋움"/>
        <family val="3"/>
        <charset val="129"/>
      </rPr>
      <t>월A월</t>
    </r>
  </si>
  <si>
    <r>
      <t>B</t>
    </r>
    <r>
      <rPr>
        <sz val="10"/>
        <rFont val="돋움"/>
        <family val="3"/>
        <charset val="129"/>
      </rPr>
      <t>월B월</t>
    </r>
  </si>
  <si>
    <r>
      <t>C</t>
    </r>
    <r>
      <rPr>
        <sz val="10"/>
        <rFont val="돋움"/>
        <family val="3"/>
        <charset val="129"/>
      </rPr>
      <t>월C월</t>
    </r>
  </si>
  <si>
    <t>40만 x12번 = 480만 * 6년 = 2880만</t>
  </si>
  <si>
    <t>대출금완납예정</t>
  </si>
  <si>
    <t>전월잔여지출</t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</si>
  <si>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5000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5000</t>
    </r>
  </si>
  <si>
    <t>비상금백업</t>
  </si>
  <si>
    <t>대출금 2015년 12월까지</t>
  </si>
  <si>
    <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 xml:space="preserve">2 = 75,000 + 85,000 = 160,000 </t>
    </r>
    <r>
      <rPr>
        <sz val="10"/>
        <rFont val="돋움"/>
        <family val="3"/>
        <charset val="129"/>
      </rPr>
      <t xml:space="preserve">원 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원금약 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 xml:space="preserve">2 = 75,000 + 85,000 = 160,000 </t>
    </r>
    <r>
      <rPr>
        <sz val="10"/>
        <rFont val="돋움"/>
        <family val="3"/>
        <charset val="129"/>
      </rPr>
      <t xml:space="preserve">원 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원금약 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</si>
  <si>
    <t>대출금 2016년 1월부터</t>
  </si>
  <si>
    <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265,000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265,000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</si>
  <si>
    <r>
      <t>1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180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900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1260</t>
    </r>
    <r>
      <rPr>
        <sz val="10"/>
        <rFont val="돋움"/>
        <family val="3"/>
        <charset val="129"/>
      </rPr>
      <t xml:space="preserve">만원1년 </t>
    </r>
    <r>
      <rPr>
        <sz val="10"/>
        <rFont val="Arial"/>
        <family val="2"/>
      </rPr>
      <t>180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900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, 7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1260</t>
    </r>
    <r>
      <rPr>
        <sz val="10"/>
        <rFont val="돋움"/>
        <family val="3"/>
        <charset val="129"/>
      </rPr>
      <t>만원</t>
    </r>
  </si>
  <si>
    <t>대출금반납 0만</t>
  </si>
  <si>
    <t>-----------------------------------------------------</t>
  </si>
  <si>
    <r>
      <t>■</t>
    </r>
    <r>
      <rPr>
        <sz val="10"/>
        <rFont val="Arial"/>
        <family val="2"/>
      </rPr>
      <t xml:space="preserve"> 2015</t>
    </r>
    <r>
      <rPr>
        <sz val="10"/>
        <rFont val="돋움"/>
        <family val="3"/>
        <charset val="129"/>
      </rPr>
      <t xml:space="preserve">년 현재상황■ </t>
    </r>
  </si>
  <si>
    <r>
      <t>[</t>
    </r>
    <r>
      <rPr>
        <sz val="10"/>
        <rFont val="돋움"/>
        <family val="3"/>
        <charset val="129"/>
      </rPr>
      <t xml:space="preserve">신규 아파트 </t>
    </r>
    <r>
      <rPr>
        <sz val="10"/>
        <rFont val="Arial"/>
        <family val="2"/>
      </rPr>
      <t>30</t>
    </r>
    <r>
      <rPr>
        <sz val="10"/>
        <rFont val="돋움"/>
        <family val="3"/>
        <charset val="129"/>
      </rPr>
      <t>평대</t>
    </r>
    <r>
      <rPr>
        <sz val="10"/>
        <rFont val="Arial"/>
        <family val="2"/>
      </rPr>
      <t>]</t>
    </r>
  </si>
  <si>
    <t>닷컴통장이체</t>
  </si>
  <si>
    <r>
      <t>2</t>
    </r>
    <r>
      <rPr>
        <sz val="10"/>
        <rFont val="돋움"/>
        <family val="3"/>
        <charset val="129"/>
      </rPr>
      <t>억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천만원</t>
    </r>
  </si>
  <si>
    <r>
      <t>[</t>
    </r>
    <r>
      <rPr>
        <sz val="10"/>
        <rFont val="돋움"/>
        <family val="3"/>
        <charset val="129"/>
      </rPr>
      <t>삼도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>]</t>
    </r>
  </si>
  <si>
    <r>
      <t>1</t>
    </r>
    <r>
      <rPr>
        <sz val="10"/>
        <rFont val="돋움"/>
        <family val="3"/>
        <charset val="129"/>
      </rPr>
      <t>억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 xml:space="preserve">천만원 </t>
    </r>
    <r>
      <rPr>
        <sz val="10"/>
        <rFont val="Arial"/>
        <family val="2"/>
      </rPr>
      <t>(-4000</t>
    </r>
    <r>
      <rPr>
        <sz val="10"/>
        <rFont val="돋움"/>
        <family val="3"/>
        <charset val="129"/>
      </rPr>
      <t>만 대출</t>
    </r>
    <r>
      <rPr>
        <sz val="10"/>
        <rFont val="Arial"/>
        <family val="2"/>
      </rPr>
      <t>)</t>
    </r>
  </si>
  <si>
    <r>
      <t>■</t>
    </r>
    <r>
      <rPr>
        <sz val="10"/>
        <rFont val="Arial"/>
        <family val="2"/>
      </rPr>
      <t xml:space="preserve"> 2021</t>
    </r>
    <r>
      <rPr>
        <sz val="10"/>
        <rFont val="돋움"/>
        <family val="3"/>
        <charset val="129"/>
      </rPr>
      <t xml:space="preserve">년 ■ </t>
    </r>
    <r>
      <rPr>
        <sz val="10"/>
        <rFont val="Arial"/>
        <family val="2"/>
      </rPr>
      <t>49</t>
    </r>
    <r>
      <rPr>
        <sz val="10"/>
        <rFont val="돋움"/>
        <family val="3"/>
        <charset val="129"/>
      </rPr>
      <t>살상황 예상</t>
    </r>
  </si>
  <si>
    <r>
      <t>1</t>
    </r>
    <r>
      <rPr>
        <sz val="10"/>
        <rFont val="돋움"/>
        <family val="3"/>
        <charset val="129"/>
      </rPr>
      <t>억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천만원</t>
    </r>
  </si>
  <si>
    <r>
      <t>1</t>
    </r>
    <r>
      <rPr>
        <sz val="10"/>
        <rFont val="돋움"/>
        <family val="3"/>
        <charset val="129"/>
      </rPr>
      <t>억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 xml:space="preserve">천만원 </t>
    </r>
  </si>
  <si>
    <r>
      <t>(-4000</t>
    </r>
    <r>
      <rPr>
        <b/>
        <sz val="10"/>
        <rFont val="돋움"/>
        <family val="3"/>
        <charset val="129"/>
      </rPr>
      <t>만 대출상황</t>
    </r>
    <r>
      <rPr>
        <b/>
        <sz val="10"/>
        <rFont val="Arial"/>
        <family val="2"/>
      </rPr>
      <t>)</t>
    </r>
  </si>
  <si>
    <r>
      <t>==&gt; 1</t>
    </r>
    <r>
      <rPr>
        <b/>
        <sz val="10"/>
        <rFont val="돋움"/>
        <family val="3"/>
        <charset val="129"/>
      </rPr>
      <t xml:space="preserve">달에 </t>
    </r>
    <r>
      <rPr>
        <b/>
        <sz val="10"/>
        <rFont val="Arial"/>
        <family val="2"/>
      </rPr>
      <t>15</t>
    </r>
    <r>
      <rPr>
        <b/>
        <sz val="10"/>
        <rFont val="돋움"/>
        <family val="3"/>
        <charset val="129"/>
      </rPr>
      <t>만 원금상환</t>
    </r>
  </si>
  <si>
    <r>
      <t xml:space="preserve">      </t>
    </r>
    <r>
      <rPr>
        <b/>
        <sz val="10"/>
        <color indexed="10"/>
        <rFont val="돋움"/>
        <family val="3"/>
        <charset val="129"/>
      </rPr>
      <t xml:space="preserve">상환완료 </t>
    </r>
    <r>
      <rPr>
        <b/>
        <sz val="10"/>
        <color indexed="10"/>
        <rFont val="Arial"/>
        <family val="2"/>
      </rPr>
      <t>8</t>
    </r>
    <r>
      <rPr>
        <b/>
        <sz val="10"/>
        <color indexed="10"/>
        <rFont val="돋움"/>
        <family val="3"/>
        <charset val="129"/>
      </rPr>
      <t>년 경과예상</t>
    </r>
    <r>
      <rPr>
        <b/>
        <sz val="10"/>
        <color indexed="10"/>
        <rFont val="Arial"/>
        <family val="2"/>
      </rPr>
      <t>[51</t>
    </r>
    <r>
      <rPr>
        <b/>
        <sz val="10"/>
        <color indexed="10"/>
        <rFont val="돋움"/>
        <family val="3"/>
        <charset val="129"/>
      </rPr>
      <t>살</t>
    </r>
    <r>
      <rPr>
        <b/>
        <sz val="10"/>
        <color indexed="10"/>
        <rFont val="Arial"/>
        <family val="2"/>
      </rPr>
      <t>]</t>
    </r>
  </si>
  <si>
    <r>
      <t>(2022년11월) 50살 3개월씩 70만원 종료</t>
    </r>
    <r>
      <rPr>
        <sz val="10"/>
        <rFont val="돋움"/>
        <family val="3"/>
        <charset val="129"/>
      </rPr>
      <t xml:space="preserve"> 재형저축(우리은행)</t>
    </r>
  </si>
  <si>
    <r>
      <t>■</t>
    </r>
    <r>
      <rPr>
        <b/>
        <sz val="10"/>
        <rFont val="Arial"/>
        <family val="2"/>
      </rPr>
      <t xml:space="preserve"> 2023</t>
    </r>
    <r>
      <rPr>
        <b/>
        <sz val="10"/>
        <rFont val="돋움"/>
        <family val="3"/>
        <charset val="129"/>
      </rPr>
      <t xml:space="preserve">년 ■ </t>
    </r>
    <r>
      <rPr>
        <b/>
        <sz val="10"/>
        <rFont val="Arial"/>
        <family val="2"/>
      </rPr>
      <t>51</t>
    </r>
    <r>
      <rPr>
        <b/>
        <sz val="10"/>
        <rFont val="돋움"/>
        <family val="3"/>
        <charset val="129"/>
      </rPr>
      <t>살 상황예상</t>
    </r>
  </si>
  <si>
    <r>
      <t>(2023년3월) 51살 매달 30만원 종료</t>
    </r>
    <r>
      <rPr>
        <sz val="10"/>
        <rFont val="돋움"/>
        <family val="3"/>
        <charset val="129"/>
      </rPr>
      <t xml:space="preserve"> 연금보험(삼성생명)(매달25일) 진선희앞으로 가입됨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</si>
  <si>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>360</t>
    </r>
    <r>
      <rPr>
        <sz val="10"/>
        <rFont val="돋움"/>
        <family val="3"/>
        <charset val="129"/>
      </rPr>
      <t xml:space="preserve">만 </t>
    </r>
    <r>
      <rPr>
        <sz val="10"/>
        <rFont val="Arial"/>
        <family val="2"/>
      </rPr>
      <t>x 10</t>
    </r>
    <r>
      <rPr>
        <sz val="10"/>
        <rFont val="돋움"/>
        <family val="3"/>
        <charset val="129"/>
      </rPr>
      <t xml:space="preserve">년 </t>
    </r>
    <r>
      <rPr>
        <sz val="10"/>
        <rFont val="Arial"/>
        <family val="2"/>
      </rPr>
      <t>= 3600</t>
    </r>
    <r>
      <rPr>
        <sz val="10"/>
        <rFont val="돋움"/>
        <family val="3"/>
        <charset val="129"/>
      </rPr>
      <t xml:space="preserve">만 </t>
    </r>
    <r>
      <rPr>
        <sz val="10"/>
        <rFont val="Arial"/>
        <family val="2"/>
      </rPr>
      <t xml:space="preserve">+ </t>
    </r>
    <r>
      <rPr>
        <sz val="10"/>
        <rFont val="돋움"/>
        <family val="3"/>
        <charset val="129"/>
      </rPr>
      <t>이자</t>
    </r>
  </si>
  <si>
    <r>
      <t xml:space="preserve">기존 대출 </t>
    </r>
    <r>
      <rPr>
        <b/>
        <sz val="10"/>
        <rFont val="Arial"/>
        <family val="2"/>
      </rPr>
      <t>4000</t>
    </r>
    <r>
      <rPr>
        <b/>
        <sz val="10"/>
        <rFont val="돋움"/>
        <family val="3"/>
        <charset val="129"/>
      </rPr>
      <t>만 상환완료후</t>
    </r>
  </si>
  <si>
    <r>
      <t>5000</t>
    </r>
    <r>
      <rPr>
        <b/>
        <sz val="10"/>
        <color indexed="30"/>
        <rFont val="돋움"/>
        <family val="3"/>
        <charset val="129"/>
      </rPr>
      <t>만 신규 대출</t>
    </r>
  </si>
  <si>
    <r>
      <t>(1</t>
    </r>
    <r>
      <rPr>
        <sz val="10"/>
        <rFont val="돋움"/>
        <family val="3"/>
        <charset val="129"/>
      </rPr>
      <t xml:space="preserve">달 </t>
    </r>
    <r>
      <rPr>
        <sz val="10"/>
        <rFont val="Arial"/>
        <family val="2"/>
      </rPr>
      <t>40~50</t>
    </r>
    <r>
      <rPr>
        <sz val="10"/>
        <rFont val="돋움"/>
        <family val="3"/>
        <charset val="129"/>
      </rPr>
      <t>만 이자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원금상환</t>
    </r>
    <r>
      <rPr>
        <sz val="10"/>
        <rFont val="Arial"/>
        <family val="2"/>
      </rPr>
      <t>)</t>
    </r>
  </si>
  <si>
    <r>
      <t>★</t>
    </r>
    <r>
      <rPr>
        <sz val="10"/>
        <color indexed="10"/>
        <rFont val="Arial"/>
        <family val="2"/>
      </rPr>
      <t xml:space="preserve"> 2033</t>
    </r>
    <r>
      <rPr>
        <sz val="10"/>
        <color indexed="10"/>
        <rFont val="돋움"/>
        <family val="3"/>
        <charset val="129"/>
      </rPr>
      <t xml:space="preserve">년 </t>
    </r>
    <r>
      <rPr>
        <sz val="10"/>
        <color indexed="10"/>
        <rFont val="Arial"/>
        <family val="2"/>
      </rPr>
      <t>61</t>
    </r>
    <r>
      <rPr>
        <sz val="10"/>
        <color indexed="10"/>
        <rFont val="돋움"/>
        <family val="3"/>
        <charset val="129"/>
      </rPr>
      <t>살 상환완료 예정</t>
    </r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</si>
  <si>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</si>
  <si>
    <t>현재 잔액현재 잔액</t>
  </si>
  <si>
    <t>s</t>
  </si>
  <si>
    <r>
      <t xml:space="preserve">종신보험(삼성생명)(매달20일)
</t>
    </r>
    <r>
      <rPr>
        <b/>
        <sz val="10"/>
        <color indexed="10"/>
        <rFont val="돋움"/>
        <family val="3"/>
        <charset val="129"/>
      </rPr>
      <t xml:space="preserve">73살~80살 해지 또는 상품전환(수익률 100% 이상)
</t>
    </r>
    <r>
      <rPr>
        <b/>
        <sz val="10"/>
        <color indexed="30"/>
        <rFont val="돋움"/>
        <family val="3"/>
        <charset val="129"/>
      </rPr>
      <t>2017년 7월부터 자유납입종료(208,000원 납입해야됨)</t>
    </r>
  </si>
  <si>
    <t>전월잔액지출금</t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</si>
  <si>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5000, 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3(1000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)-7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1000</t>
    </r>
  </si>
  <si>
    <t>대출금 잔액</t>
  </si>
  <si>
    <r>
      <t>A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425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14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     B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200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)</t>
    </r>
  </si>
  <si>
    <r>
      <t>20</t>
    </r>
    <r>
      <rPr>
        <sz val="10"/>
        <rFont val="돋움"/>
        <family val="3"/>
        <charset val="129"/>
      </rPr>
      <t>일결제                           말일결제</t>
    </r>
  </si>
  <si>
    <r>
      <t xml:space="preserve">연금보험(삼성생명)(매달25일) 진선희앞으로 가입됨(2013년3월) 
</t>
    </r>
    <r>
      <rPr>
        <b/>
        <sz val="10"/>
        <rFont val="돋움"/>
        <family val="3"/>
        <charset val="129"/>
      </rPr>
      <t>만기-2023년 3월 (51살)</t>
    </r>
  </si>
  <si>
    <r>
      <t>A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410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137,252)     B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190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63900)</t>
    </r>
  </si>
  <si>
    <r>
      <t xml:space="preserve"> </t>
    </r>
    <r>
      <rPr>
        <sz val="10"/>
        <rFont val="돋움"/>
        <family val="3"/>
        <charset val="129"/>
      </rPr>
      <t xml:space="preserve">처제빌린돈 </t>
    </r>
    <r>
      <rPr>
        <sz val="10"/>
        <rFont val="Arial"/>
        <family val="2"/>
      </rPr>
      <t>100</t>
    </r>
    <r>
      <rPr>
        <sz val="10"/>
        <rFont val="돋움"/>
        <family val="3"/>
        <charset val="129"/>
      </rPr>
      <t>만원</t>
    </r>
  </si>
  <si>
    <r>
      <t>매달</t>
    </r>
    <r>
      <rPr>
        <sz val="10"/>
        <rFont val="Arial"/>
        <family val="2"/>
      </rPr>
      <t>12</t>
    </r>
    <r>
      <rPr>
        <sz val="10"/>
        <rFont val="돋움"/>
        <family val="3"/>
        <charset val="129"/>
      </rPr>
      <t>일</t>
    </r>
  </si>
  <si>
    <r>
      <t>A</t>
    </r>
    <r>
      <rPr>
        <b/>
        <sz val="10"/>
        <rFont val="돋움"/>
        <family val="3"/>
        <charset val="129"/>
      </rPr>
      <t>일</t>
    </r>
  </si>
  <si>
    <r>
      <t>B</t>
    </r>
    <r>
      <rPr>
        <b/>
        <sz val="10"/>
        <rFont val="돋움"/>
        <family val="3"/>
        <charset val="129"/>
      </rPr>
      <t>일</t>
    </r>
  </si>
  <si>
    <t>최소치</t>
  </si>
  <si>
    <t>주말</t>
  </si>
  <si>
    <t>KDN</t>
  </si>
  <si>
    <t>조식, 김밥</t>
  </si>
  <si>
    <t>담배</t>
  </si>
  <si>
    <t>점심</t>
  </si>
  <si>
    <t>커피</t>
  </si>
  <si>
    <t>저녁, 도시락</t>
  </si>
  <si>
    <t>김밥</t>
  </si>
  <si>
    <t>저녁도시락,기타</t>
  </si>
  <si>
    <t>비고</t>
  </si>
  <si>
    <t>수요일</t>
  </si>
  <si>
    <r>
      <t>김밥현금</t>
    </r>
    <r>
      <rPr>
        <sz val="10"/>
        <rFont val="Arial"/>
        <family val="2"/>
      </rPr>
      <t>2000</t>
    </r>
    <r>
      <rPr>
        <sz val="10"/>
        <rFont val="돋움"/>
        <family val="3"/>
        <charset val="129"/>
      </rPr>
      <t>김밥현금</t>
    </r>
    <r>
      <rPr>
        <sz val="10"/>
        <rFont val="Arial"/>
        <family val="2"/>
      </rPr>
      <t>2000</t>
    </r>
  </si>
  <si>
    <t>목요일</t>
  </si>
  <si>
    <t>금요일</t>
  </si>
  <si>
    <t>토요일</t>
  </si>
  <si>
    <t>일요일</t>
  </si>
  <si>
    <t>월요일</t>
  </si>
  <si>
    <r>
      <t xml:space="preserve"> </t>
    </r>
    <r>
      <rPr>
        <sz val="10"/>
        <rFont val="돋움"/>
        <family val="3"/>
        <charset val="129"/>
      </rPr>
      <t xml:space="preserve">옥션 광천김 구매 </t>
    </r>
    <r>
      <rPr>
        <sz val="10"/>
        <rFont val="Arial"/>
        <family val="2"/>
      </rPr>
      <t xml:space="preserve">5900,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 xml:space="preserve">휴지 </t>
    </r>
    <r>
      <rPr>
        <sz val="10"/>
        <rFont val="Arial"/>
        <family val="2"/>
      </rPr>
      <t xml:space="preserve">5300, </t>
    </r>
    <r>
      <rPr>
        <sz val="10"/>
        <rFont val="돋움"/>
        <family val="3"/>
        <charset val="129"/>
      </rPr>
      <t>치킨</t>
    </r>
    <r>
      <rPr>
        <sz val="10"/>
        <rFont val="Arial"/>
        <family val="2"/>
      </rPr>
      <t xml:space="preserve">13000 </t>
    </r>
    <r>
      <rPr>
        <sz val="10"/>
        <rFont val="돋움"/>
        <family val="3"/>
        <charset val="129"/>
      </rPr>
      <t xml:space="preserve">옥션 광천김 구매 </t>
    </r>
    <r>
      <rPr>
        <sz val="10"/>
        <rFont val="Arial"/>
        <family val="2"/>
      </rPr>
      <t xml:space="preserve">5900,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 xml:space="preserve">휴지 </t>
    </r>
    <r>
      <rPr>
        <sz val="10"/>
        <rFont val="Arial"/>
        <family val="2"/>
      </rPr>
      <t xml:space="preserve">5300, </t>
    </r>
    <r>
      <rPr>
        <sz val="10"/>
        <rFont val="돋움"/>
        <family val="3"/>
        <charset val="129"/>
      </rPr>
      <t>치킨</t>
    </r>
    <r>
      <rPr>
        <sz val="10"/>
        <rFont val="Arial"/>
        <family val="2"/>
      </rPr>
      <t>13000</t>
    </r>
  </si>
  <si>
    <t>화요일</t>
  </si>
  <si>
    <r>
      <t>사이다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방향제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컵라면사이다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방향제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컵라면</t>
    </r>
  </si>
  <si>
    <r>
      <t>이발비</t>
    </r>
    <r>
      <rPr>
        <sz val="10"/>
        <rFont val="Arial"/>
        <family val="2"/>
      </rPr>
      <t>(8000)</t>
    </r>
    <r>
      <rPr>
        <sz val="10"/>
        <rFont val="돋움"/>
        <family val="3"/>
        <charset val="129"/>
      </rPr>
      <t>이발비</t>
    </r>
    <r>
      <rPr>
        <sz val="10"/>
        <rFont val="Arial"/>
        <family val="2"/>
      </rPr>
      <t>(8000)</t>
    </r>
  </si>
  <si>
    <r>
      <t>옥션구매</t>
    </r>
    <r>
      <rPr>
        <sz val="10"/>
        <rFont val="Arial"/>
        <family val="2"/>
      </rPr>
      <t>(9000)</t>
    </r>
    <r>
      <rPr>
        <sz val="10"/>
        <rFont val="돋움"/>
        <family val="3"/>
        <charset val="129"/>
      </rPr>
      <t>옥션구매</t>
    </r>
    <r>
      <rPr>
        <sz val="10"/>
        <rFont val="Arial"/>
        <family val="2"/>
      </rPr>
      <t>(9000)</t>
    </r>
  </si>
  <si>
    <r>
      <t>1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22</t>
    </r>
    <r>
      <rPr>
        <sz val="10"/>
        <rFont val="돋움"/>
        <family val="3"/>
        <charset val="129"/>
      </rPr>
      <t>일치</t>
    </r>
  </si>
  <si>
    <r>
      <t>A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410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137,252)     B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190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58,758)</t>
    </r>
  </si>
  <si>
    <t>저녁도시락</t>
  </si>
  <si>
    <r>
      <t>김밥현금</t>
    </r>
    <r>
      <rPr>
        <sz val="10"/>
        <rFont val="Arial"/>
        <family val="2"/>
      </rPr>
      <t>2000</t>
    </r>
  </si>
  <si>
    <r>
      <t>2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23</t>
    </r>
    <r>
      <rPr>
        <sz val="10"/>
        <rFont val="돋움"/>
        <family val="3"/>
        <charset val="129"/>
      </rPr>
      <t>일치</t>
    </r>
  </si>
  <si>
    <r>
      <t>A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380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126666)     B</t>
    </r>
    <r>
      <rPr>
        <sz val="10"/>
        <rFont val="돋움"/>
        <family val="3"/>
        <charset val="129"/>
      </rPr>
      <t xml:space="preserve">업체 </t>
    </r>
    <r>
      <rPr>
        <sz val="10"/>
        <rFont val="Arial"/>
        <family val="2"/>
      </rPr>
      <t>: 190</t>
    </r>
    <r>
      <rPr>
        <sz val="10"/>
        <rFont val="돋움"/>
        <family val="3"/>
        <charset val="129"/>
      </rPr>
      <t>만원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63900)</t>
    </r>
  </si>
  <si>
    <t>백업잔액</t>
  </si>
  <si>
    <r>
      <t>3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31</t>
    </r>
    <r>
      <rPr>
        <sz val="10"/>
        <rFont val="돋움"/>
        <family val="3"/>
        <charset val="129"/>
      </rPr>
      <t>일치</t>
    </r>
  </si>
  <si>
    <r>
      <t>4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30</t>
    </r>
    <r>
      <rPr>
        <sz val="10"/>
        <rFont val="돋움"/>
        <family val="3"/>
        <charset val="129"/>
      </rPr>
      <t>일치</t>
    </r>
  </si>
  <si>
    <r>
      <t>20</t>
    </r>
    <r>
      <rPr>
        <sz val="10"/>
        <rFont val="돋움"/>
        <family val="3"/>
        <charset val="129"/>
      </rPr>
      <t xml:space="preserve">일결제                           말일결제   </t>
    </r>
  </si>
  <si>
    <t>기차</t>
  </si>
  <si>
    <t>잡비</t>
  </si>
  <si>
    <t>현금지출</t>
  </si>
  <si>
    <t>총지출</t>
  </si>
  <si>
    <t>기타</t>
  </si>
  <si>
    <t>대구여행 경비</t>
  </si>
  <si>
    <r>
      <t xml:space="preserve">구시연 신발 </t>
    </r>
    <r>
      <rPr>
        <sz val="10"/>
        <rFont val="Arial"/>
        <family val="2"/>
      </rPr>
      <t>10000</t>
    </r>
    <r>
      <rPr>
        <sz val="10"/>
        <rFont val="돋움"/>
        <family val="3"/>
        <charset val="129"/>
      </rPr>
      <t>원 추가</t>
    </r>
  </si>
  <si>
    <r>
      <t>5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17</t>
    </r>
    <r>
      <rPr>
        <sz val="10"/>
        <rFont val="돋움"/>
        <family val="3"/>
        <charset val="129"/>
      </rPr>
      <t>일치</t>
    </r>
  </si>
  <si>
    <t>대출(삼성생명 보험대출)</t>
  </si>
  <si>
    <r>
      <t>대출</t>
    </r>
    <r>
      <rPr>
        <b/>
        <sz val="10"/>
        <color indexed="30"/>
        <rFont val="Arial"/>
        <family val="2"/>
      </rPr>
      <t>300</t>
    </r>
    <r>
      <rPr>
        <b/>
        <sz val="10"/>
        <color indexed="30"/>
        <rFont val="돋움"/>
        <family val="3"/>
        <charset val="129"/>
      </rPr>
      <t>만 추가</t>
    </r>
  </si>
  <si>
    <r>
      <t>6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30</t>
    </r>
    <r>
      <rPr>
        <sz val="10"/>
        <rFont val="돋움"/>
        <family val="3"/>
        <charset val="129"/>
      </rPr>
      <t>일치</t>
    </r>
  </si>
  <si>
    <t>대출(0+500=500), 삼성생명보험대출+신용대출</t>
  </si>
  <si>
    <r>
      <t>대출</t>
    </r>
    <r>
      <rPr>
        <b/>
        <sz val="10"/>
        <color indexed="30"/>
        <rFont val="Arial"/>
        <family val="2"/>
      </rPr>
      <t>500</t>
    </r>
    <r>
      <rPr>
        <b/>
        <sz val="10"/>
        <color indexed="30"/>
        <rFont val="돋움"/>
        <family val="3"/>
        <charset val="129"/>
      </rPr>
      <t>만 추가</t>
    </r>
  </si>
  <si>
    <r>
      <t>&lt;&lt;&lt;&lt;&lt; 80</t>
    </r>
    <r>
      <rPr>
        <sz val="10"/>
        <color indexed="10"/>
        <rFont val="돋움"/>
        <family val="3"/>
        <charset val="129"/>
      </rPr>
      <t>만원 제외한값</t>
    </r>
  </si>
  <si>
    <t>.</t>
  </si>
  <si>
    <r>
      <t>7</t>
    </r>
    <r>
      <rPr>
        <sz val="10"/>
        <rFont val="돋움"/>
        <family val="3"/>
        <charset val="129"/>
      </rPr>
      <t xml:space="preserve">월 </t>
    </r>
    <r>
      <rPr>
        <sz val="10"/>
        <rFont val="Arial"/>
        <family val="2"/>
      </rPr>
      <t>31</t>
    </r>
    <r>
      <rPr>
        <sz val="10"/>
        <rFont val="돋움"/>
        <family val="3"/>
        <charset val="129"/>
      </rPr>
      <t xml:space="preserve">일치7월 </t>
    </r>
    <r>
      <rPr>
        <sz val="10"/>
        <rFont val="Arial"/>
        <family val="2"/>
      </rPr>
      <t>31</t>
    </r>
    <r>
      <rPr>
        <sz val="10"/>
        <rFont val="돋움"/>
        <family val="3"/>
        <charset val="129"/>
      </rPr>
      <t>일치</t>
    </r>
  </si>
  <si>
    <t>대출(0+0=0), 삼성생명보험대출+신용대출</t>
  </si>
  <si>
    <r>
      <t>보수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color indexed="8"/>
        <rFont val="Arial"/>
        <family val="2"/>
      </rPr>
      <t>8</t>
    </r>
    <r>
      <rPr>
        <sz val="10"/>
        <rFont val="돋움"/>
        <family val="3"/>
        <charset val="129"/>
      </rPr>
      <t>일치</t>
    </r>
    <r>
      <rPr>
        <sz val="10"/>
        <color indexed="8"/>
        <rFont val="Arial"/>
        <family val="2"/>
      </rPr>
      <t>(8x165,000) =132</t>
    </r>
    <r>
      <rPr>
        <sz val="10"/>
        <rFont val="돋움"/>
        <family val="3"/>
        <charset val="129"/>
      </rPr>
      <t>만원</t>
    </r>
    <r>
      <rPr>
        <sz val="10"/>
        <color indexed="8"/>
        <rFont val="Arial"/>
        <family val="2"/>
      </rPr>
      <t>, 495</t>
    </r>
    <r>
      <rPr>
        <sz val="10"/>
        <color indexed="8"/>
        <rFont val="돋움"/>
        <family val="3"/>
        <charset val="129"/>
      </rPr>
      <t>만</t>
    </r>
    <r>
      <rPr>
        <sz val="10"/>
        <color indexed="8"/>
        <rFont val="Arial"/>
        <family val="2"/>
      </rPr>
      <t>+50</t>
    </r>
    <r>
      <rPr>
        <sz val="10"/>
        <color indexed="8"/>
        <rFont val="돋움"/>
        <family val="3"/>
        <charset val="129"/>
      </rPr>
      <t>만</t>
    </r>
    <r>
      <rPr>
        <sz val="10"/>
        <color indexed="8"/>
        <rFont val="Arial"/>
        <family val="2"/>
      </rPr>
      <t>(16,500)=545</t>
    </r>
    <r>
      <rPr>
        <sz val="10"/>
        <color indexed="8"/>
        <rFont val="돋움"/>
        <family val="3"/>
        <charset val="129"/>
      </rPr>
      <t>만</t>
    </r>
    <r>
      <rPr>
        <sz val="10"/>
        <rFont val="돋움"/>
        <family val="3"/>
        <charset val="129"/>
      </rPr>
      <t>보수</t>
    </r>
    <r>
      <rPr>
        <sz val="10"/>
        <color indexed="8"/>
        <rFont val="돋움"/>
        <family val="3"/>
        <charset val="129"/>
      </rPr>
      <t xml:space="preserve"> </t>
    </r>
    <r>
      <rPr>
        <sz val="10"/>
        <color indexed="8"/>
        <rFont val="Arial"/>
        <family val="2"/>
      </rPr>
      <t>8</t>
    </r>
    <r>
      <rPr>
        <sz val="10"/>
        <rFont val="돋움"/>
        <family val="3"/>
        <charset val="129"/>
      </rPr>
      <t>일치</t>
    </r>
    <r>
      <rPr>
        <sz val="10"/>
        <color indexed="8"/>
        <rFont val="Arial"/>
        <family val="2"/>
      </rPr>
      <t>(8x165,000) =132</t>
    </r>
    <r>
      <rPr>
        <sz val="10"/>
        <rFont val="돋움"/>
        <family val="3"/>
        <charset val="129"/>
      </rPr>
      <t>만원</t>
    </r>
    <r>
      <rPr>
        <sz val="10"/>
        <color indexed="8"/>
        <rFont val="Arial"/>
        <family val="2"/>
      </rPr>
      <t>, 495</t>
    </r>
    <r>
      <rPr>
        <sz val="10"/>
        <color indexed="8"/>
        <rFont val="돋움"/>
        <family val="3"/>
        <charset val="129"/>
      </rPr>
      <t>만</t>
    </r>
    <r>
      <rPr>
        <sz val="10"/>
        <color indexed="8"/>
        <rFont val="Arial"/>
        <family val="2"/>
      </rPr>
      <t>+50</t>
    </r>
    <r>
      <rPr>
        <sz val="10"/>
        <color indexed="8"/>
        <rFont val="돋움"/>
        <family val="3"/>
        <charset val="129"/>
      </rPr>
      <t>만</t>
    </r>
    <r>
      <rPr>
        <sz val="10"/>
        <color indexed="8"/>
        <rFont val="Arial"/>
        <family val="2"/>
      </rPr>
      <t>(16,500)=545</t>
    </r>
    <r>
      <rPr>
        <sz val="10"/>
        <color indexed="8"/>
        <rFont val="돋움"/>
        <family val="3"/>
        <charset val="129"/>
      </rPr>
      <t>만</t>
    </r>
  </si>
  <si>
    <r>
      <t>450</t>
    </r>
    <r>
      <rPr>
        <sz val="10"/>
        <rFont val="돋움"/>
        <family val="3"/>
        <charset val="129"/>
      </rPr>
      <t>만450만</t>
    </r>
  </si>
  <si>
    <r>
      <t>450</t>
    </r>
    <r>
      <rPr>
        <sz val="10"/>
        <rFont val="돋움"/>
        <family val="3"/>
        <charset val="129"/>
      </rPr>
      <t>만</t>
    </r>
  </si>
  <si>
    <t>일보수 22.3만</t>
  </si>
  <si>
    <t>A사이체예정+B사이체예정</t>
  </si>
  <si>
    <t>15일 지급</t>
  </si>
  <si>
    <t>G49-2600000</t>
  </si>
  <si>
    <t>국민은행잔액</t>
  </si>
  <si>
    <t>현재</t>
  </si>
  <si>
    <r>
      <t xml:space="preserve">대출 </t>
    </r>
    <r>
      <rPr>
        <sz val="10"/>
        <rFont val="Arial"/>
        <family val="2"/>
      </rPr>
      <t>25</t>
    </r>
    <r>
      <rPr>
        <sz val="10"/>
        <rFont val="돋움"/>
        <family val="3"/>
        <charset val="129"/>
      </rPr>
      <t>일지출</t>
    </r>
  </si>
  <si>
    <t>대출 익월한달치지출</t>
  </si>
  <si>
    <t>1월달 카드지출</t>
  </si>
  <si>
    <t>지출합계</t>
  </si>
  <si>
    <t>잔액</t>
  </si>
  <si>
    <r>
      <t>한달보수</t>
    </r>
    <r>
      <rPr>
        <sz val="10"/>
        <color indexed="10"/>
        <rFont val="Arial"/>
        <family val="2"/>
      </rPr>
      <t>+</t>
    </r>
    <r>
      <rPr>
        <sz val="10"/>
        <color indexed="10"/>
        <rFont val="돋움"/>
        <family val="3"/>
        <charset val="129"/>
      </rPr>
      <t>체제비</t>
    </r>
    <r>
      <rPr>
        <sz val="10"/>
        <color indexed="10"/>
        <rFont val="Arial"/>
        <family val="2"/>
      </rPr>
      <t>+</t>
    </r>
    <r>
      <rPr>
        <sz val="10"/>
        <color indexed="10"/>
        <rFont val="돋움"/>
        <family val="3"/>
        <charset val="129"/>
      </rPr>
      <t>실비결제비용</t>
    </r>
    <r>
      <rPr>
        <sz val="10"/>
        <color indexed="10"/>
        <rFont val="Arial"/>
        <family val="2"/>
      </rPr>
      <t>(</t>
    </r>
    <r>
      <rPr>
        <sz val="10"/>
        <color indexed="10"/>
        <rFont val="돋움"/>
        <family val="3"/>
        <charset val="129"/>
      </rPr>
      <t>교통비</t>
    </r>
    <r>
      <rPr>
        <sz val="10"/>
        <color indexed="10"/>
        <rFont val="Arial"/>
        <family val="2"/>
      </rPr>
      <t>)</t>
    </r>
  </si>
  <si>
    <r>
      <t xml:space="preserve">일보수133,000원, </t>
    </r>
    <r>
      <rPr>
        <b/>
        <sz val="10"/>
        <color indexed="21"/>
        <rFont val="돋움"/>
        <family val="3"/>
        <charset val="129"/>
      </rPr>
      <t>1일 체제비 10,000원 19 x 10000 = 190,000원</t>
    </r>
    <r>
      <rPr>
        <sz val="10"/>
        <color indexed="21"/>
        <rFont val="돋움"/>
        <family val="3"/>
        <charset val="129"/>
      </rPr>
      <t xml:space="preserve">, 5월부터는 한달 150만원, </t>
    </r>
    <r>
      <rPr>
        <b/>
        <sz val="10"/>
        <color indexed="21"/>
        <rFont val="돋움"/>
        <family val="3"/>
        <charset val="129"/>
      </rPr>
      <t>19 x 133,000 =2527000 월보수</t>
    </r>
    <r>
      <rPr>
        <sz val="10"/>
        <color indexed="21"/>
        <rFont val="돋움"/>
        <family val="3"/>
        <charset val="129"/>
      </rPr>
      <t xml:space="preserve">, </t>
    </r>
    <r>
      <rPr>
        <b/>
        <sz val="10"/>
        <color indexed="21"/>
        <rFont val="돋움"/>
        <family val="3"/>
        <charset val="129"/>
      </rPr>
      <t>150만 대출</t>
    </r>
  </si>
  <si>
    <t>보수받고 지급</t>
  </si>
  <si>
    <r>
      <t>25</t>
    </r>
    <r>
      <rPr>
        <sz val="10"/>
        <rFont val="돋움"/>
        <family val="3"/>
        <charset val="129"/>
      </rPr>
      <t>일전 소지금액</t>
    </r>
  </si>
  <si>
    <r>
      <t>2018.2.6 16</t>
    </r>
    <r>
      <rPr>
        <sz val="10"/>
        <rFont val="돋움"/>
        <family val="3"/>
        <charset val="129"/>
      </rPr>
      <t>시</t>
    </r>
    <r>
      <rPr>
        <sz val="10"/>
        <rFont val="Arial"/>
        <family val="2"/>
      </rPr>
      <t>35</t>
    </r>
    <r>
      <rPr>
        <sz val="10"/>
        <rFont val="돋움"/>
        <family val="3"/>
        <charset val="129"/>
      </rPr>
      <t>분</t>
    </r>
  </si>
  <si>
    <r>
      <t xml:space="preserve">대출 금월 </t>
    </r>
    <r>
      <rPr>
        <sz val="10"/>
        <rFont val="Arial"/>
        <family val="2"/>
      </rPr>
      <t>25</t>
    </r>
    <r>
      <rPr>
        <sz val="10"/>
        <rFont val="돋움"/>
        <family val="3"/>
        <charset val="129"/>
      </rPr>
      <t>일지출</t>
    </r>
  </si>
  <si>
    <r>
      <t>+150</t>
    </r>
    <r>
      <rPr>
        <b/>
        <sz val="10"/>
        <color indexed="10"/>
        <rFont val="돋움"/>
        <family val="3"/>
        <charset val="129"/>
      </rPr>
      <t>만</t>
    </r>
  </si>
  <si>
    <t>금월, 익월 카드지출</t>
  </si>
  <si>
    <r>
      <t>15</t>
    </r>
    <r>
      <rPr>
        <sz val="10"/>
        <rFont val="돋움"/>
        <family val="3"/>
        <charset val="129"/>
      </rPr>
      <t>일전에 입금</t>
    </r>
  </si>
  <si>
    <t>350만(보험대출)</t>
  </si>
  <si>
    <t>20만+16만=36만 + 예정</t>
  </si>
  <si>
    <t>(유류비6만x2+3만)=15만 + 7만(하이패스) = 22만</t>
  </si>
  <si>
    <t>대출 3일지출</t>
  </si>
  <si>
    <t>대출 익월3일지출</t>
  </si>
  <si>
    <t>대출 익월25일지출</t>
  </si>
  <si>
    <t>매월 5일 599만, 1일=199,000, +120만(3월 6일치)</t>
  </si>
  <si>
    <t>종합소득세 신고기간</t>
  </si>
  <si>
    <t>매월 10일 599만, 1일=22만</t>
  </si>
  <si>
    <t xml:space="preserve">                                   </t>
  </si>
  <si>
    <t>14일</t>
  </si>
  <si>
    <t>매월 10일 665만, 1일=22만</t>
  </si>
  <si>
    <r>
      <t>대출</t>
    </r>
    <r>
      <rPr>
        <sz val="10"/>
        <rFont val="Arial"/>
        <family val="2"/>
      </rPr>
      <t>1+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 = 180,000(3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>) + 85,000(25</t>
    </r>
    <r>
      <rPr>
        <sz val="10"/>
        <rFont val="돋움"/>
        <family val="3"/>
        <charset val="129"/>
      </rPr>
      <t>일출금</t>
    </r>
    <r>
      <rPr>
        <sz val="10"/>
        <rFont val="Arial"/>
        <family val="2"/>
      </rPr>
      <t xml:space="preserve">) = 265,000 </t>
    </r>
    <r>
      <rPr>
        <sz val="10"/>
        <rFont val="돋움"/>
        <family val="3"/>
        <charset val="129"/>
      </rPr>
      <t xml:space="preserve">원 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 xml:space="preserve">원금 약 </t>
    </r>
    <r>
      <rPr>
        <sz val="10"/>
        <rFont val="Arial"/>
        <family val="2"/>
      </rPr>
      <t>13</t>
    </r>
    <r>
      <rPr>
        <sz val="10"/>
        <rFont val="돋움"/>
        <family val="3"/>
        <charset val="129"/>
      </rPr>
      <t>만 상환</t>
    </r>
    <r>
      <rPr>
        <sz val="10"/>
        <rFont val="Arial"/>
        <family val="2"/>
      </rPr>
      <t>)</t>
    </r>
  </si>
  <si>
    <t>연금보험(삼성생명)(매달25일) 진선희앞으로 가입됨(2013년3월) 만기-2023년 3월 (51살)</t>
  </si>
  <si>
    <t>여행사 추가비용</t>
  </si>
  <si>
    <t>여행지 추가비용</t>
  </si>
  <si>
    <t>대출1(2500만) 3.38 - 18만,  대출2(1500만) 3.16 - 8만5000</t>
  </si>
  <si>
    <t>대출1+대출2 = 180,000(3일출금) + 85,000(25일출금) = 265,000원 (원금 약 13만 상환)</t>
  </si>
  <si>
    <t>18일x19만원</t>
    <phoneticPr fontId="3" type="noConversion"/>
  </si>
  <si>
    <t>13일x22만원</t>
    <phoneticPr fontId="3" type="noConversion"/>
  </si>
  <si>
    <r>
      <t>차량취득세</t>
    </r>
    <r>
      <rPr>
        <b/>
        <sz val="10"/>
        <color theme="8"/>
        <rFont val="돋움"/>
        <family val="3"/>
        <charset val="129"/>
      </rPr>
      <t>완납</t>
    </r>
    <phoneticPr fontId="3" type="noConversion"/>
  </si>
  <si>
    <t>매월 10일 665만, 1일=22만, 아반떼판매</t>
    <phoneticPr fontId="3" type="noConversion"/>
  </si>
  <si>
    <r>
      <t>8</t>
    </r>
    <r>
      <rPr>
        <sz val="10"/>
        <rFont val="돋움"/>
        <family val="3"/>
        <charset val="129"/>
      </rPr>
      <t>월 지방소득세</t>
    </r>
    <phoneticPr fontId="3" type="noConversion"/>
  </si>
  <si>
    <t>대출600만 - (원룸보증금 300만)(생활비 300만)</t>
    <phoneticPr fontId="3" type="noConversion"/>
  </si>
  <si>
    <t>3월4일 입실</t>
  </si>
  <si>
    <t>우리카드 선결제</t>
  </si>
  <si>
    <t>22일 방계약</t>
  </si>
  <si>
    <t>`+종합소득세 환급30만</t>
  </si>
  <si>
    <t>언양 숙소 보증금 300-100만 받아 처리</t>
  </si>
  <si>
    <t>차암동 원룸 40만(보증금)+40만(방값)+부동산수수료(10만)</t>
  </si>
  <si>
    <t>우리카드 선결제, 범칙금</t>
  </si>
  <si>
    <t>종신보험(삼성생명)(매달20일)
73살~80살 해지 또는 상품전환(수익률 100% 이상)
계약기간 2029년9월까지(자유납입으로 인한 부족납입금액 더 내야함)</t>
  </si>
  <si>
    <t>180만+30만=210만 방세</t>
  </si>
  <si>
    <t>방세잔금</t>
  </si>
  <si>
    <t>2019년 10월</t>
    <phoneticPr fontId="3" type="noConversion"/>
  </si>
  <si>
    <t>2019년 11월</t>
    <phoneticPr fontId="3" type="noConversion"/>
  </si>
  <si>
    <t>2019년 12월</t>
  </si>
  <si>
    <t>2020년 1월</t>
    <phoneticPr fontId="3" type="noConversion"/>
  </si>
  <si>
    <t>2020년 2월</t>
    <phoneticPr fontId="3" type="noConversion"/>
  </si>
  <si>
    <t>2020년 3월</t>
  </si>
  <si>
    <t>2020년 4월</t>
  </si>
  <si>
    <t>2020년 5월</t>
  </si>
  <si>
    <t>2020년 6월</t>
  </si>
  <si>
    <t>2020년 7월</t>
  </si>
  <si>
    <t>2020년 8월</t>
  </si>
  <si>
    <t>2020년 9월</t>
  </si>
  <si>
    <t>2020년 10월</t>
  </si>
  <si>
    <t>2020년 11월</t>
  </si>
  <si>
    <t>2020년 12월</t>
  </si>
  <si>
    <t>국민카드100,000+신용대출원금300,000+이자170,000</t>
    <phoneticPr fontId="3" type="noConversion"/>
  </si>
  <si>
    <t>합계</t>
    <phoneticPr fontId="3" type="noConversion"/>
  </si>
  <si>
    <t>1달 집대출원금+이자</t>
    <phoneticPr fontId="3" type="noConversion"/>
  </si>
  <si>
    <t>11월10일 지급예정, 비즈타워 보증금 +200만 반환, 9월보수 400만</t>
    <phoneticPr fontId="3" type="noConversion"/>
  </si>
  <si>
    <t>현대카드(스마트옥션)</t>
  </si>
  <si>
    <t>현대카드(스마트옥션) 25일 결제</t>
    <phoneticPr fontId="3" type="noConversion"/>
  </si>
  <si>
    <t>(560만 x 0.967) = 543만 / 30 = 18만 x 27 = 459</t>
  </si>
  <si>
    <t>엔진오일교환</t>
    <phoneticPr fontId="3" type="noConversion"/>
  </si>
  <si>
    <t>윈도우워쉬모터교체</t>
    <phoneticPr fontId="3" type="noConversion"/>
  </si>
  <si>
    <t>외식</t>
  </si>
  <si>
    <r>
      <t>대출</t>
    </r>
    <r>
      <rPr>
        <sz val="10"/>
        <rFont val="Arial"/>
        <family val="2"/>
      </rPr>
      <t>1(2500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 xml:space="preserve">3.38 </t>
    </r>
    <r>
      <rPr>
        <sz val="10"/>
        <rFont val="Arial"/>
        <family val="2"/>
      </rPr>
      <t>- 18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, 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>2(1500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) </t>
    </r>
    <r>
      <rPr>
        <sz val="10"/>
        <color indexed="10"/>
        <rFont val="Arial"/>
        <family val="2"/>
      </rPr>
      <t>3.16</t>
    </r>
    <r>
      <rPr>
        <sz val="10"/>
        <rFont val="Arial"/>
        <family val="2"/>
      </rPr>
      <t xml:space="preserve"> - 8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>5000</t>
    </r>
    <phoneticPr fontId="3" type="noConversion"/>
  </si>
  <si>
    <t>현금찾기</t>
  </si>
  <si>
    <t>아파트관리비,도시가스비</t>
  </si>
  <si>
    <t>5만원정도만 나와야함. 18만원 정도 나오면 4월 아파트관리비 기납부 확인해야함, 계죄이체로 4월10일 정도 이미납부, 관리실에서 0원으로 청구한다고 했음.</t>
    <phoneticPr fontId="3" type="noConversion"/>
  </si>
  <si>
    <t>금월 카드(국민카드) 지출</t>
  </si>
  <si>
    <t>휴대폰비 - (매달25일)</t>
  </si>
  <si>
    <t>+ 37,000(2020-05-23 탑마트 비용)   +17,250(300만 이자)  +11,000(2020-05-28다이소)</t>
    <phoneticPr fontId="3" type="noConversion"/>
  </si>
  <si>
    <t>19,078,954원</t>
    <phoneticPr fontId="3" type="noConversion"/>
  </si>
  <si>
    <t>12,210,384원</t>
    <phoneticPr fontId="3" type="noConversion"/>
  </si>
  <si>
    <r>
      <t>잔액 </t>
    </r>
    <r>
      <rPr>
        <b/>
        <sz val="12"/>
        <color rgb="FFF46600"/>
        <rFont val="Arial"/>
        <family val="2"/>
      </rPr>
      <t>31,289,338</t>
    </r>
    <r>
      <rPr>
        <sz val="9"/>
        <color rgb="FF222222"/>
        <rFont val="Arial"/>
        <family val="2"/>
      </rPr>
      <t>원</t>
    </r>
  </si>
  <si>
    <t>총대출비용</t>
    <phoneticPr fontId="3" type="noConversion"/>
  </si>
  <si>
    <t>26*6</t>
    <phoneticPr fontId="3" type="noConversion"/>
  </si>
  <si>
    <t>26*10</t>
    <phoneticPr fontId="3" type="noConversion"/>
  </si>
  <si>
    <t>울산교통비(7만+3만=10만), 공주교통비(20만)</t>
    <phoneticPr fontId="3" type="noConversion"/>
  </si>
  <si>
    <t>투자비용</t>
    <phoneticPr fontId="3" type="noConversion"/>
  </si>
  <si>
    <t>총대출비용</t>
  </si>
  <si>
    <t>20일 금강파크 모텔입성, 40만(원룸비), 5만(해성골드룸 가스비)</t>
  </si>
  <si>
    <t>31일 런던하우스 계약(50만 + 41만 = 91만)</t>
    <phoneticPr fontId="3" type="noConversion"/>
  </si>
  <si>
    <t>울산숙소 보증금 100만 받아야됨.==&gt; 95만원. 돌려받음</t>
    <phoneticPr fontId="3" type="noConversion"/>
  </si>
  <si>
    <t>+ 김종길차장 210만 중 80만원 돌려받기</t>
    <phoneticPr fontId="3" type="noConversion"/>
  </si>
  <si>
    <t>+ 김종길차장 130만 중 130만원 돌려받기</t>
    <phoneticPr fontId="3" type="noConversion"/>
  </si>
  <si>
    <t>MIT 14일치</t>
    <phoneticPr fontId="3" type="noConversion"/>
  </si>
  <si>
    <t>110310 아파트관리비 이체되면않됨. 이체완료됨. 0원청구예정. 관리사무소 전화함. 8월 14일. ===&gt; 2중으로 결제되어서 다시 국민은행으로 관리비 송금처리 (2020년 9월 2일)</t>
    <phoneticPr fontId="3" type="noConversion"/>
  </si>
  <si>
    <t>차량수리</t>
    <phoneticPr fontId="3" type="noConversion"/>
  </si>
  <si>
    <t xml:space="preserve">한달보수 세제후 700 x 0.967 =  676.9 </t>
    <phoneticPr fontId="3" type="noConversion"/>
  </si>
  <si>
    <t>일당  세제후 1일(22.5만원)</t>
    <phoneticPr fontId="3" type="noConversion"/>
  </si>
  <si>
    <t>24일 x 22.5 = 540만원</t>
    <phoneticPr fontId="3" type="noConversion"/>
  </si>
  <si>
    <t>30일 x 22.5 = 540만원</t>
    <phoneticPr fontId="3" type="noConversion"/>
  </si>
  <si>
    <r>
      <t xml:space="preserve">110310 아파트관리비 오입급 환급받아야함 ==&gt; </t>
    </r>
    <r>
      <rPr>
        <b/>
        <sz val="11"/>
        <color rgb="FFFF0000"/>
        <rFont val="맑은 고딕"/>
        <family val="3"/>
        <charset val="129"/>
      </rPr>
      <t>받음</t>
    </r>
    <phoneticPr fontId="3" type="noConversion"/>
  </si>
  <si>
    <t>9월 7일 입실</t>
  </si>
  <si>
    <t>술값</t>
  </si>
  <si>
    <t>농협 453036-52-218192 정정아</t>
  </si>
  <si>
    <t>방세 27만, 9월7일</t>
  </si>
  <si>
    <t>차량수리</t>
  </si>
  <si>
    <t>일당  세제후 1일(22.5만원)</t>
  </si>
  <si>
    <t>미니 모바일론 200만 대출</t>
  </si>
  <si>
    <t>세금, 생일</t>
  </si>
  <si>
    <t>백업</t>
  </si>
  <si>
    <t>세뱃돈</t>
  </si>
  <si>
    <t>방세 33만+보증금 20만, 1월20일, 부동산소개비 5만.</t>
  </si>
  <si>
    <t>QCT 130그램뷰 구매 20만원 추가</t>
  </si>
  <si>
    <t>100/23 방계약  2021년 3월2일 오전</t>
  </si>
  <si>
    <t>구미방값 포함</t>
    <phoneticPr fontId="3" type="noConversion"/>
  </si>
  <si>
    <t>(630 3.3%제 = 609만)  20.3</t>
    <phoneticPr fontId="3" type="noConversion"/>
  </si>
  <si>
    <t xml:space="preserve">(630 3.3%제 = 609만)  일당 20.3만  ===&gt; 20.3 x 0일 </t>
    <phoneticPr fontId="3" type="noConversion"/>
  </si>
  <si>
    <r>
      <rPr>
        <sz val="10"/>
        <rFont val="돋움"/>
        <family val="3"/>
        <charset val="129"/>
      </rPr>
      <t>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방보증금</t>
    </r>
    <r>
      <rPr>
        <sz val="10"/>
        <rFont val="Arial"/>
        <family val="2"/>
      </rPr>
      <t xml:space="preserve"> 80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반환</t>
    </r>
    <phoneticPr fontId="3" type="noConversion"/>
  </si>
  <si>
    <t>30만 주유 초기비용</t>
    <phoneticPr fontId="3" type="noConversion"/>
  </si>
  <si>
    <t>환급금 80만 예정</t>
    <phoneticPr fontId="3" type="noConversion"/>
  </si>
  <si>
    <t xml:space="preserve">(750 3.3%제 = 725.25만)  일당 24만  ===&gt; 24 x 30일 </t>
    <phoneticPr fontId="3" type="noConversion"/>
  </si>
  <si>
    <t>100/25 3만 관리비 별도, 6월10일 입실. 9월9일 퇴실예정</t>
  </si>
  <si>
    <t>휴가비</t>
  </si>
  <si>
    <t>추석비용</t>
  </si>
  <si>
    <t>배민카드</t>
  </si>
  <si>
    <t>우리카드 구글</t>
  </si>
  <si>
    <t>설날비용</t>
  </si>
  <si>
    <t>노트북구매</t>
  </si>
  <si>
    <t>진선희생일</t>
  </si>
  <si>
    <t>현대카드(스마트옥션), 노트북구매</t>
  </si>
  <si>
    <t>일당25만</t>
    <phoneticPr fontId="3" type="noConversion"/>
  </si>
  <si>
    <t>22 x 25 = 550만</t>
    <phoneticPr fontId="3" type="noConversion"/>
  </si>
  <si>
    <t>12월 가스비 10550</t>
  </si>
  <si>
    <t>이체예정 +방보증금 반환</t>
  </si>
  <si>
    <t>매달 원금상환</t>
  </si>
  <si>
    <t>인터넷(kt통신), TV케이블방송(매달20일)</t>
  </si>
  <si>
    <r>
      <rPr>
        <b/>
        <sz val="10"/>
        <color rgb="FFFF0000"/>
        <rFont val="돋움"/>
        <family val="3"/>
        <charset val="129"/>
      </rPr>
      <t>57살 5월까지</t>
    </r>
    <r>
      <rPr>
        <sz val="10"/>
        <rFont val="돋움"/>
        <family val="3"/>
        <charset val="129"/>
      </rPr>
      <t xml:space="preserve">
실비보험(현대해상)(매달25일) </t>
    </r>
    <phoneticPr fontId="3" type="noConversion"/>
  </si>
  <si>
    <r>
      <rPr>
        <b/>
        <sz val="10"/>
        <color rgb="FFFF0000"/>
        <rFont val="돋움"/>
        <family val="3"/>
        <charset val="129"/>
      </rPr>
      <t>53살 11월까지 (2025년 11월)</t>
    </r>
    <r>
      <rPr>
        <sz val="10"/>
        <rFont val="돋움"/>
        <family val="3"/>
        <charset val="129"/>
      </rPr>
      <t xml:space="preserve">
우체국보험(암,건강만기보험)(매달25일)</t>
    </r>
    <phoneticPr fontId="3" type="noConversion"/>
  </si>
  <si>
    <r>
      <rPr>
        <b/>
        <sz val="10"/>
        <color rgb="FFFF0000"/>
        <rFont val="돋움"/>
        <family val="3"/>
        <charset val="129"/>
      </rPr>
      <t xml:space="preserve">57살 9월까지 (2029년 9월)
</t>
    </r>
    <r>
      <rPr>
        <b/>
        <sz val="10"/>
        <color theme="1"/>
        <rFont val="돋움"/>
        <family val="3"/>
        <charset val="129"/>
      </rPr>
      <t>(자유납입으로 인한 부족납입금액 더 내야함)</t>
    </r>
    <r>
      <rPr>
        <sz val="10"/>
        <color theme="1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 xml:space="preserve">
종신보험(삼성생명)(매달20일)
73살~80살 해지 또는 상품전환
(수익률100%이상)</t>
    </r>
    <phoneticPr fontId="3" type="noConversion"/>
  </si>
  <si>
    <t>620만</t>
    <phoneticPr fontId="3" type="noConversion"/>
  </si>
  <si>
    <t>운전자보험(삼성화재)(매달25일)</t>
  </si>
  <si>
    <t>운전자보험(삼성화재)(매달25일)</t>
    <phoneticPr fontId="3" type="noConversion"/>
  </si>
  <si>
    <t>850만=3.3제외=821.95만</t>
    <phoneticPr fontId="3" type="noConversion"/>
  </si>
  <si>
    <t>일당=27.398만</t>
    <phoneticPr fontId="3" type="noConversion"/>
  </si>
  <si>
    <t>주택대출금(매달25일)</t>
    <phoneticPr fontId="3" type="noConversion"/>
  </si>
  <si>
    <t>국민은행 입금</t>
    <phoneticPr fontId="3" type="noConversion"/>
  </si>
  <si>
    <t>27일치</t>
    <phoneticPr fontId="3" type="noConversion"/>
  </si>
  <si>
    <t>연말정산대비</t>
    <phoneticPr fontId="3" type="noConversion"/>
  </si>
  <si>
    <t>57살 9월까지 (2029년 9월)
(자유납입으로 인한 부족납입금액 더 내야함) 
종신보험(삼성생명)(매달20일)
73살~80살 해지 또는 상품전환
(수익률100%이상)</t>
  </si>
  <si>
    <t>진선희 생일</t>
  </si>
  <si>
    <t>메인백업비용(1000만 만들기)</t>
  </si>
  <si>
    <r>
      <t xml:space="preserve">연금저축보험(삼성생명)(매달25일)(2023년8월26일) 만기-2028년 7월 (56살) - </t>
    </r>
    <r>
      <rPr>
        <b/>
        <sz val="10"/>
        <color rgb="FFFF0000"/>
        <rFont val="돋움"/>
        <family val="3"/>
        <charset val="129"/>
      </rPr>
      <t>연말정산효과</t>
    </r>
    <phoneticPr fontId="3" type="noConversion"/>
  </si>
  <si>
    <t>8월30일 거제 장평 부동산가서 25만원 선금냄,</t>
  </si>
  <si>
    <r>
      <rPr>
        <b/>
        <sz val="10"/>
        <color rgb="FFFF0000"/>
        <rFont val="돋움"/>
        <family val="3"/>
        <charset val="129"/>
      </rPr>
      <t>53살 11월까지 (2025년 11월)</t>
    </r>
    <r>
      <rPr>
        <sz val="10"/>
        <rFont val="돋움"/>
        <family val="3"/>
        <charset val="129"/>
      </rPr>
      <t xml:space="preserve">
우체국보험(암,건강만기보험)(매달25일)
</t>
    </r>
    <r>
      <rPr>
        <b/>
        <sz val="10"/>
        <color rgb="FF0070C0"/>
        <rFont val="돋움"/>
        <family val="3"/>
        <charset val="129"/>
      </rPr>
      <t>사망담보 납입된1090만정도</t>
    </r>
  </si>
  <si>
    <r>
      <rPr>
        <b/>
        <sz val="10"/>
        <color rgb="FFFF0000"/>
        <rFont val="돋움"/>
        <family val="3"/>
        <charset val="129"/>
      </rPr>
      <t>57살 5월까지</t>
    </r>
    <r>
      <rPr>
        <sz val="10"/>
        <rFont val="돋움"/>
        <family val="3"/>
        <charset val="129"/>
      </rPr>
      <t xml:space="preserve">
실비보험(현대해상)(매달25일)
대중교통사망담보 3000만</t>
    </r>
    <r>
      <rPr>
        <sz val="10"/>
        <color rgb="FF0070C0"/>
        <rFont val="돋움"/>
        <family val="3"/>
        <charset val="129"/>
      </rPr>
      <t xml:space="preserve">
</t>
    </r>
    <r>
      <rPr>
        <b/>
        <sz val="10"/>
        <color rgb="FF0070C0"/>
        <rFont val="돋움"/>
        <family val="3"/>
        <charset val="129"/>
      </rPr>
      <t>질병사망담보 2000만</t>
    </r>
    <phoneticPr fontId="3" type="noConversion"/>
  </si>
  <si>
    <t xml:space="preserve"> </t>
    <phoneticPr fontId="3" type="noConversion"/>
  </si>
  <si>
    <t>기숙사 제공시</t>
    <phoneticPr fontId="3" type="noConversion"/>
  </si>
  <si>
    <t>포항살기</t>
    <phoneticPr fontId="3" type="noConversion"/>
  </si>
  <si>
    <t>보증금 100만, 소개비 10만? 20+5(25) 만은 8월30일 이미냄</t>
  </si>
  <si>
    <t>매월 2일 25만 입금</t>
  </si>
  <si>
    <t>​농협 302 0583 8885 51 강규원 9월3일 25만원</t>
  </si>
  <si>
    <t>화재보험 만기</t>
  </si>
  <si>
    <t>연말세금</t>
  </si>
  <si>
    <t>구시연</t>
  </si>
  <si>
    <t>예금</t>
  </si>
  <si>
    <t>방퇴실 소개비</t>
  </si>
  <si>
    <t>750만=3.3제외=725만</t>
  </si>
  <si>
    <t>750만=3.3제외=725만</t>
    <phoneticPr fontId="3" type="noConversion"/>
  </si>
  <si>
    <t>일당=24만</t>
  </si>
  <si>
    <t>일당=24만</t>
    <phoneticPr fontId="3" type="noConversion"/>
  </si>
  <si>
    <t>지수투자 투자금</t>
    <phoneticPr fontId="3" type="noConversion"/>
  </si>
  <si>
    <t>-</t>
    <phoneticPr fontId="3" type="noConversion"/>
  </si>
  <si>
    <t>투자(입금)</t>
    <phoneticPr fontId="3" type="noConversion"/>
  </si>
  <si>
    <t>투자(출금)</t>
    <phoneticPr fontId="3" type="noConversion"/>
  </si>
  <si>
    <t>CPI거래 수익</t>
    <phoneticPr fontId="3" type="noConversion"/>
  </si>
  <si>
    <t>가족 망년회</t>
    <phoneticPr fontId="3" type="noConversion"/>
  </si>
  <si>
    <t>한달에 한번있는 CPI거래로 230만원 지출금액 절감시킴, 50만원씩 3일정도(150만) 수익후 제로백 복귀함.</t>
    <phoneticPr fontId="3" type="noConversion"/>
  </si>
  <si>
    <t>고수방 연습투입</t>
    <phoneticPr fontId="3" type="noConversion"/>
  </si>
  <si>
    <t>150만 복구하여 게임비 1000만으로 복구필요</t>
    <phoneticPr fontId="3" type="noConversion"/>
  </si>
  <si>
    <t>현재금액</t>
    <phoneticPr fontId="3" type="noConversion"/>
  </si>
  <si>
    <t>실지출합계</t>
    <phoneticPr fontId="3" type="noConversion"/>
  </si>
  <si>
    <t>손해내역</t>
    <phoneticPr fontId="3" type="noConversion"/>
  </si>
  <si>
    <t>거래날짜</t>
    <phoneticPr fontId="3" type="noConversion"/>
  </si>
  <si>
    <t>수입</t>
    <phoneticPr fontId="3" type="noConversion"/>
  </si>
  <si>
    <t>지출</t>
    <phoneticPr fontId="3" type="noConversion"/>
  </si>
  <si>
    <t>장불안으로 인한 스위칭 손해</t>
    <phoneticPr fontId="3" type="noConversion"/>
  </si>
  <si>
    <t>1주문시 12915</t>
    <phoneticPr fontId="3" type="noConversion"/>
  </si>
  <si>
    <r>
      <rPr>
        <b/>
        <sz val="12"/>
        <color rgb="FFFF0000"/>
        <rFont val="돋움"/>
        <family val="3"/>
        <charset val="129"/>
      </rPr>
      <t>시장가매도</t>
    </r>
    <r>
      <rPr>
        <b/>
        <sz val="10"/>
        <color indexed="8"/>
        <rFont val="돋움"/>
        <family val="3"/>
        <charset val="129"/>
      </rPr>
      <t xml:space="preserve">시 </t>
    </r>
    <r>
      <rPr>
        <b/>
        <sz val="12"/>
        <color rgb="FF0070C0"/>
        <rFont val="돋움"/>
        <family val="3"/>
        <charset val="129"/>
      </rPr>
      <t>호가고정값</t>
    </r>
    <r>
      <rPr>
        <b/>
        <sz val="10"/>
        <color indexed="8"/>
        <rFont val="돋움"/>
        <family val="3"/>
        <charset val="129"/>
      </rPr>
      <t>이 될수록</t>
    </r>
    <r>
      <rPr>
        <b/>
        <sz val="12"/>
        <color rgb="FF0070C0"/>
        <rFont val="돋움"/>
        <family val="3"/>
        <charset val="129"/>
      </rPr>
      <t xml:space="preserve"> 중간에서 위로 올라갔을때</t>
    </r>
    <r>
      <rPr>
        <b/>
        <sz val="10"/>
        <color indexed="8"/>
        <rFont val="돋움"/>
        <family val="3"/>
        <charset val="129"/>
      </rPr>
      <t xml:space="preserve"> 매매</t>
    </r>
  </si>
  <si>
    <r>
      <rPr>
        <b/>
        <sz val="12"/>
        <color rgb="FFFF0000"/>
        <rFont val="돋움"/>
        <family val="3"/>
        <charset val="129"/>
      </rPr>
      <t>시장가매수</t>
    </r>
    <r>
      <rPr>
        <b/>
        <sz val="10"/>
        <color indexed="8"/>
        <rFont val="돋움"/>
        <family val="3"/>
        <charset val="129"/>
      </rPr>
      <t xml:space="preserve">시 </t>
    </r>
    <r>
      <rPr>
        <b/>
        <sz val="12"/>
        <color rgb="FF0070C0"/>
        <rFont val="돋움"/>
        <family val="3"/>
        <charset val="129"/>
      </rPr>
      <t>호가고정값</t>
    </r>
    <r>
      <rPr>
        <b/>
        <sz val="10"/>
        <color indexed="8"/>
        <rFont val="돋움"/>
        <family val="3"/>
        <charset val="129"/>
      </rPr>
      <t xml:space="preserve">이 될수록 </t>
    </r>
    <r>
      <rPr>
        <b/>
        <sz val="12"/>
        <color rgb="FF0070C0"/>
        <rFont val="돋움"/>
        <family val="3"/>
        <charset val="129"/>
      </rPr>
      <t>중간에서 밑으로 내려갔을때</t>
    </r>
    <r>
      <rPr>
        <b/>
        <sz val="10"/>
        <color indexed="8"/>
        <rFont val="돋움"/>
        <family val="3"/>
        <charset val="129"/>
      </rPr>
      <t xml:space="preserve"> 매매</t>
    </r>
  </si>
  <si>
    <r>
      <rPr>
        <b/>
        <sz val="12"/>
        <color rgb="FF0070C0"/>
        <rFont val="돋움"/>
        <family val="3"/>
        <charset val="129"/>
      </rPr>
      <t>주문수량</t>
    </r>
    <r>
      <rPr>
        <b/>
        <sz val="10"/>
        <color indexed="8"/>
        <rFont val="돋움"/>
        <family val="3"/>
        <charset val="129"/>
      </rPr>
      <t xml:space="preserve"> </t>
    </r>
    <r>
      <rPr>
        <b/>
        <sz val="16"/>
        <color rgb="FFFF0000"/>
        <rFont val="돋움"/>
        <family val="3"/>
        <charset val="129"/>
      </rPr>
      <t>2</t>
    </r>
    <r>
      <rPr>
        <b/>
        <sz val="10"/>
        <color indexed="8"/>
        <rFont val="돋움"/>
        <family val="3"/>
        <charset val="129"/>
      </rPr>
      <t>로만 하기</t>
    </r>
  </si>
  <si>
    <r>
      <rPr>
        <b/>
        <sz val="12"/>
        <color rgb="FF0070C0"/>
        <rFont val="돋움"/>
        <family val="3"/>
        <charset val="129"/>
      </rPr>
      <t>평가손익</t>
    </r>
    <r>
      <rPr>
        <b/>
        <sz val="10"/>
        <color indexed="8"/>
        <rFont val="돋움"/>
        <family val="3"/>
        <charset val="129"/>
      </rPr>
      <t xml:space="preserve">이 </t>
    </r>
    <r>
      <rPr>
        <b/>
        <sz val="12"/>
        <color rgb="FFFF0000"/>
        <rFont val="돋움"/>
        <family val="3"/>
        <charset val="129"/>
      </rPr>
      <t>2만~5만시</t>
    </r>
    <r>
      <rPr>
        <b/>
        <sz val="10"/>
        <color indexed="8"/>
        <rFont val="돋움"/>
        <family val="3"/>
        <charset val="129"/>
      </rPr>
      <t xml:space="preserve"> 청산 ===&gt; 상황에 따라 손절</t>
    </r>
    <phoneticPr fontId="3" type="noConversion"/>
  </si>
  <si>
    <t>+주식대금</t>
    <phoneticPr fontId="3" type="noConversion"/>
  </si>
  <si>
    <t>오전 10:15 ~ 오후 13:00 진행</t>
  </si>
  <si>
    <t xml:space="preserve">오후 14:00 ~ 오후 17:30 진행 </t>
  </si>
  <si>
    <t>나스닥</t>
    <phoneticPr fontId="3" type="noConversion"/>
  </si>
  <si>
    <t>새로 스타트~!!</t>
    <phoneticPr fontId="3" type="noConversion"/>
  </si>
  <si>
    <t>2023-12-20-11:28</t>
    <phoneticPr fontId="3" type="noConversion"/>
  </si>
  <si>
    <t>+지수투자금 업체에서 지원 (입금액 7% = 500만 입금, 35만원 지원금)</t>
    <phoneticPr fontId="3" type="noConversion"/>
  </si>
  <si>
    <t>인출금액</t>
    <phoneticPr fontId="3" type="noConversion"/>
  </si>
  <si>
    <t xml:space="preserve">항셍 진행시간은 </t>
    <phoneticPr fontId="3" type="noConversion"/>
  </si>
  <si>
    <t>오후 13:00 ~ 오후 14:00 까지 브레이크 타임</t>
    <phoneticPr fontId="3" type="noConversion"/>
  </si>
  <si>
    <t>오후 17:30 ~ 오후 18:15 까지 브레이크 타임</t>
    <phoneticPr fontId="3" type="noConversion"/>
  </si>
  <si>
    <t>오후 18:15 ~ 오전 03:55 진행</t>
    <phoneticPr fontId="3" type="noConversion"/>
  </si>
  <si>
    <t xml:space="preserve">오전 03:55 ~ 오전 10:15 까지 브레이크 타임 </t>
    <phoneticPr fontId="3" type="noConversion"/>
  </si>
  <si>
    <t>나스닥은 오전엔 거래량이 적고 24시간 움직입니다!</t>
    <phoneticPr fontId="3" type="noConversion"/>
  </si>
  <si>
    <t>밤10시30분 부터 본장 ( 해외에서 투자자 몰리는 시간 ) 이라서</t>
    <phoneticPr fontId="3" type="noConversion"/>
  </si>
  <si>
    <t>그 시간에 가까워질수록 거래량이 많아집니다</t>
    <phoneticPr fontId="3" type="noConversion"/>
  </si>
  <si>
    <t>시연 한달용돈</t>
    <phoneticPr fontId="3" type="noConversion"/>
  </si>
  <si>
    <r>
      <t>현대카드(스마트옥션)</t>
    </r>
    <r>
      <rPr>
        <sz val="10"/>
        <rFont val="돋움"/>
        <family val="3"/>
        <charset val="129"/>
      </rPr>
      <t xml:space="preserve"> + 노트북구매</t>
    </r>
    <phoneticPr fontId="3" type="noConversion"/>
  </si>
  <si>
    <t>현재시각</t>
    <phoneticPr fontId="3" type="noConversion"/>
  </si>
  <si>
    <t>저장시각</t>
    <phoneticPr fontId="3" type="noConversion"/>
  </si>
  <si>
    <t>백업2</t>
    <phoneticPr fontId="3" type="noConversion"/>
  </si>
  <si>
    <t>백업</t>
    <phoneticPr fontId="3" type="noConversion"/>
  </si>
  <si>
    <t>구시연용돈</t>
    <phoneticPr fontId="3" type="noConversion"/>
  </si>
  <si>
    <r>
      <t>종신 1억 사망보험</t>
    </r>
    <r>
      <rPr>
        <b/>
        <sz val="10"/>
        <color rgb="FFFF0000"/>
        <rFont val="돋움"/>
        <family val="3"/>
        <charset val="129"/>
      </rPr>
      <t>(10년,2033년까지)                62살에 10년간 새로 가입</t>
    </r>
    <phoneticPr fontId="3" type="noConversion"/>
  </si>
  <si>
    <r>
      <t>대출금상환(현대카드</t>
    </r>
    <r>
      <rPr>
        <sz val="10"/>
        <rFont val="돋움"/>
        <family val="3"/>
        <charset val="129"/>
      </rPr>
      <t xml:space="preserve"> 대출이자+원금)</t>
    </r>
    <phoneticPr fontId="3" type="noConversion"/>
  </si>
  <si>
    <t>전주여행경비</t>
    <phoneticPr fontId="3" type="noConversion"/>
  </si>
  <si>
    <r>
      <t>구시연용돈 + 구성훈</t>
    </r>
    <r>
      <rPr>
        <sz val="10"/>
        <rFont val="돋움"/>
        <family val="3"/>
        <charset val="129"/>
      </rPr>
      <t>세뱃돈</t>
    </r>
    <phoneticPr fontId="3" type="noConversion"/>
  </si>
  <si>
    <t>자동차검사</t>
  </si>
  <si>
    <t>현대카드 신용대출2000만</t>
  </si>
  <si>
    <t>현대카드 신용대출1000만</t>
  </si>
  <si>
    <t>200만 백업당겨쓰기</t>
    <phoneticPr fontId="3" type="noConversion"/>
  </si>
  <si>
    <t>숙소보증금</t>
  </si>
  <si>
    <t>숙소보증금</t>
    <phoneticPr fontId="3" type="noConversion"/>
  </si>
  <si>
    <r>
      <rPr>
        <sz val="10"/>
        <color rgb="FFFF0000"/>
        <rFont val="돋움"/>
        <family val="3"/>
        <charset val="129"/>
      </rPr>
      <t>대출</t>
    </r>
    <r>
      <rPr>
        <sz val="10"/>
        <color rgb="FFFF0000"/>
        <rFont val="Arial"/>
        <family val="2"/>
      </rPr>
      <t xml:space="preserve"> 1000</t>
    </r>
    <r>
      <rPr>
        <sz val="10"/>
        <color rgb="FFFF0000"/>
        <rFont val="돋움"/>
        <family val="3"/>
        <charset val="129"/>
      </rPr>
      <t>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갚기</t>
    </r>
    <phoneticPr fontId="3" type="noConversion"/>
  </si>
  <si>
    <t>종합소득세 신고비</t>
    <phoneticPr fontId="3" type="noConversion"/>
  </si>
  <si>
    <t xml:space="preserve">삼성생명 연금저축보험(65세 개시)    </t>
    <phoneticPr fontId="3" type="noConversion"/>
  </si>
  <si>
    <t>대출 1000만 갚기</t>
  </si>
  <si>
    <r>
      <t>1000</t>
    </r>
    <r>
      <rPr>
        <b/>
        <sz val="12"/>
        <color rgb="FFFF0000"/>
        <rFont val="돋움"/>
        <family val="3"/>
        <charset val="129"/>
      </rPr>
      <t>만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대출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갚기</t>
    </r>
    <phoneticPr fontId="3" type="noConversion"/>
  </si>
  <si>
    <t>구시연용돈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</si>
</sst>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₩&quot;#,##0;[Red]\-&quot;₩&quot;#,##0"/>
    <numFmt numFmtId="176" formatCode="&quot;₩&quot;#,##0\ ;&quot;(₩&quot;#,##0\)"/>
    <numFmt numFmtId="177" formatCode="&quot;₩&quot;#,##0"/>
    <numFmt numFmtId="178" formatCode="&quot;₩&quot;#,##0\ ;[Red]&quot;(₩&quot;#,##0\)"/>
    <numFmt numFmtId="179" formatCode="&quot;₩&quot;#,##0;[Red]&quot;-₩&quot;#,##0"/>
    <numFmt numFmtId="180" formatCode="[$₩-412]#,##0_);[Red]\([$₩-412]#,##0\)"/>
    <numFmt numFmtId="181" formatCode="&quot;₩&quot;#,##0_);[Red]\(&quot;₩&quot;#,##0\)"/>
  </numFmts>
  <fonts count="88" x14ac:knownFonts="1">
    <font>
      <sz val="10"/>
      <name val="돋움"/>
      <family val="3"/>
      <charset val="129"/>
    </font>
    <font>
      <sz val="10"/>
      <color indexed="8"/>
      <name val="Arial"/>
      <family val="2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8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8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b/>
      <sz val="10"/>
      <color indexed="10"/>
      <name val="돋움"/>
      <family val="3"/>
      <charset val="129"/>
    </font>
    <font>
      <b/>
      <sz val="10"/>
      <color indexed="30"/>
      <name val="돋움"/>
      <family val="3"/>
      <charset val="129"/>
    </font>
    <font>
      <u/>
      <sz val="8"/>
      <color indexed="12"/>
      <name val="Arial"/>
      <family val="2"/>
    </font>
    <font>
      <b/>
      <sz val="10"/>
      <name val="Arial"/>
      <family val="2"/>
    </font>
    <font>
      <sz val="10"/>
      <color indexed="10"/>
      <name val="돋움"/>
      <family val="3"/>
      <charset val="129"/>
    </font>
    <font>
      <b/>
      <sz val="10"/>
      <color indexed="53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b/>
      <sz val="9"/>
      <color indexed="30"/>
      <name val="맑은 고딕"/>
      <family val="3"/>
      <charset val="129"/>
    </font>
    <font>
      <b/>
      <sz val="10"/>
      <color indexed="10"/>
      <name val="Arial"/>
      <family val="2"/>
    </font>
    <font>
      <sz val="10"/>
      <color indexed="30"/>
      <name val="돋움"/>
      <family val="3"/>
      <charset val="129"/>
    </font>
    <font>
      <sz val="10"/>
      <color indexed="10"/>
      <name val="돋움"/>
      <family val="3"/>
      <charset val="129"/>
    </font>
    <font>
      <sz val="10"/>
      <color indexed="10"/>
      <name val="Arial"/>
      <family val="2"/>
    </font>
    <font>
      <sz val="10"/>
      <color indexed="30"/>
      <name val="Arial"/>
      <family val="2"/>
    </font>
    <font>
      <sz val="10"/>
      <color indexed="8"/>
      <name val="돋움"/>
      <family val="3"/>
      <charset val="129"/>
    </font>
    <font>
      <b/>
      <sz val="10"/>
      <color indexed="10"/>
      <name val="돋움"/>
      <family val="3"/>
      <charset val="129"/>
    </font>
    <font>
      <b/>
      <sz val="10"/>
      <color indexed="62"/>
      <name val="돋움"/>
      <family val="3"/>
      <charset val="129"/>
    </font>
    <font>
      <b/>
      <sz val="12"/>
      <color indexed="10"/>
      <name val="Arial"/>
      <family val="2"/>
    </font>
    <font>
      <sz val="10"/>
      <color indexed="57"/>
      <name val="돋움"/>
      <family val="3"/>
      <charset val="129"/>
    </font>
    <font>
      <b/>
      <sz val="12"/>
      <color indexed="49"/>
      <name val="Arial"/>
      <family val="2"/>
    </font>
    <font>
      <b/>
      <sz val="10"/>
      <color indexed="8"/>
      <name val="Arial"/>
      <family val="2"/>
    </font>
    <font>
      <b/>
      <sz val="12"/>
      <color indexed="10"/>
      <name val="돋움"/>
      <family val="3"/>
      <charset val="129"/>
    </font>
    <font>
      <b/>
      <sz val="8"/>
      <color indexed="8"/>
      <name val="돋움"/>
      <family val="3"/>
      <charset val="129"/>
    </font>
    <font>
      <b/>
      <sz val="8"/>
      <name val="돋움"/>
      <family val="3"/>
      <charset val="129"/>
    </font>
    <font>
      <b/>
      <sz val="8"/>
      <color indexed="12"/>
      <name val="돋움"/>
      <family val="3"/>
      <charset val="129"/>
    </font>
    <font>
      <b/>
      <sz val="10"/>
      <color indexed="48"/>
      <name val="돋움"/>
      <family val="3"/>
      <charset val="129"/>
    </font>
    <font>
      <b/>
      <sz val="10"/>
      <color indexed="48"/>
      <name val="Arial"/>
      <family val="2"/>
    </font>
    <font>
      <sz val="9"/>
      <color indexed="63"/>
      <name val="Arial"/>
      <family val="2"/>
    </font>
    <font>
      <sz val="10"/>
      <color indexed="21"/>
      <name val="Arial"/>
      <family val="2"/>
    </font>
    <font>
      <sz val="10"/>
      <color indexed="23"/>
      <name val="돋움"/>
      <family val="3"/>
      <charset val="129"/>
    </font>
    <font>
      <sz val="10"/>
      <color indexed="23"/>
      <name val="Arial"/>
      <family val="2"/>
    </font>
    <font>
      <sz val="10"/>
      <color indexed="23"/>
      <name val="돋움"/>
      <family val="3"/>
      <charset val="129"/>
    </font>
    <font>
      <b/>
      <sz val="11"/>
      <color indexed="23"/>
      <name val="돋움"/>
      <family val="3"/>
      <charset val="129"/>
    </font>
    <font>
      <b/>
      <sz val="11"/>
      <color indexed="23"/>
      <name val="Arial"/>
      <family val="2"/>
    </font>
    <font>
      <b/>
      <sz val="10"/>
      <color indexed="23"/>
      <name val="돋움"/>
      <family val="3"/>
      <charset val="129"/>
    </font>
    <font>
      <b/>
      <sz val="10"/>
      <color indexed="23"/>
      <name val="돋움"/>
      <family val="3"/>
      <charset val="129"/>
    </font>
    <font>
      <b/>
      <sz val="10"/>
      <color indexed="23"/>
      <name val="Arial"/>
      <family val="2"/>
    </font>
    <font>
      <sz val="10"/>
      <color indexed="48"/>
      <name val="Arial"/>
      <family val="2"/>
    </font>
    <font>
      <sz val="10"/>
      <color indexed="48"/>
      <name val="돋움"/>
      <family val="3"/>
      <charset val="129"/>
    </font>
    <font>
      <b/>
      <sz val="10"/>
      <color indexed="21"/>
      <name val="돋움"/>
      <family val="3"/>
      <charset val="129"/>
    </font>
    <font>
      <b/>
      <sz val="10"/>
      <color indexed="30"/>
      <name val="돋움"/>
      <family val="3"/>
      <charset val="129"/>
    </font>
    <font>
      <sz val="10"/>
      <color indexed="30"/>
      <name val="돋움"/>
      <family val="3"/>
      <charset val="129"/>
    </font>
    <font>
      <b/>
      <sz val="10"/>
      <color indexed="30"/>
      <name val="Arial"/>
      <family val="2"/>
    </font>
    <font>
      <b/>
      <sz val="10"/>
      <color indexed="54"/>
      <name val="Arial"/>
      <family val="2"/>
    </font>
    <font>
      <b/>
      <i/>
      <sz val="10"/>
      <color indexed="10"/>
      <name val="Arial"/>
      <family val="2"/>
    </font>
    <font>
      <i/>
      <sz val="10"/>
      <name val="돋움"/>
      <family val="3"/>
      <charset val="129"/>
    </font>
    <font>
      <strike/>
      <sz val="10"/>
      <color indexed="57"/>
      <name val="돋움"/>
      <family val="3"/>
      <charset val="129"/>
    </font>
    <font>
      <sz val="9"/>
      <color indexed="63"/>
      <name val="돋움"/>
      <family val="3"/>
      <charset val="129"/>
    </font>
    <font>
      <sz val="10"/>
      <color indexed="21"/>
      <name val="돋움"/>
      <family val="3"/>
      <charset val="129"/>
    </font>
    <font>
      <b/>
      <sz val="10"/>
      <color indexed="21"/>
      <name val="Arial"/>
      <family val="2"/>
    </font>
    <font>
      <sz val="10"/>
      <color indexed="48"/>
      <name val="돋움"/>
      <family val="3"/>
      <charset val="129"/>
    </font>
    <font>
      <b/>
      <sz val="12"/>
      <color indexed="9"/>
      <name val="돋움"/>
      <family val="3"/>
      <charset val="129"/>
    </font>
    <font>
      <b/>
      <sz val="10"/>
      <color theme="8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rgb="FF5A5A5A"/>
      <name val="Arial"/>
      <family val="2"/>
    </font>
    <font>
      <b/>
      <sz val="9"/>
      <color rgb="FF222222"/>
      <name val="돋움"/>
      <family val="3"/>
      <charset val="129"/>
    </font>
    <font>
      <sz val="10"/>
      <color theme="4"/>
      <name val="Arial"/>
      <family val="2"/>
    </font>
    <font>
      <sz val="10"/>
      <color theme="1"/>
      <name val="Arial"/>
      <family val="2"/>
    </font>
    <font>
      <b/>
      <sz val="10"/>
      <color rgb="FFFF0000"/>
      <name val="돋움"/>
      <family val="3"/>
      <charset val="129"/>
    </font>
    <font>
      <sz val="10"/>
      <color rgb="FFFF0000"/>
      <name val="Arial"/>
      <family val="2"/>
    </font>
    <font>
      <sz val="9"/>
      <color rgb="FF222222"/>
      <name val="Arial"/>
      <family val="2"/>
    </font>
    <font>
      <b/>
      <sz val="12"/>
      <color rgb="FFF46600"/>
      <name val="Arial"/>
      <family val="2"/>
    </font>
    <font>
      <sz val="10"/>
      <color rgb="FF0070C0"/>
      <name val="돋움"/>
      <family val="3"/>
      <charset val="129"/>
    </font>
    <font>
      <b/>
      <sz val="10"/>
      <color indexed="8"/>
      <name val="돋움"/>
      <family val="3"/>
      <charset val="129"/>
    </font>
    <font>
      <sz val="10"/>
      <color rgb="FF0070C0"/>
      <name val="Arial"/>
      <family val="2"/>
    </font>
    <font>
      <sz val="11"/>
      <color rgb="FFFF000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10"/>
      <color rgb="FFFF0000"/>
      <name val="돋움"/>
      <family val="3"/>
      <charset val="129"/>
    </font>
    <font>
      <b/>
      <sz val="10"/>
      <color theme="1"/>
      <name val="돋움"/>
      <family val="3"/>
      <charset val="129"/>
    </font>
    <font>
      <b/>
      <sz val="10"/>
      <color rgb="FF0070C0"/>
      <name val="돋움"/>
      <family val="3"/>
      <charset val="129"/>
    </font>
    <font>
      <b/>
      <sz val="12"/>
      <color rgb="FFFF0000"/>
      <name val="돋움"/>
      <family val="3"/>
      <charset val="129"/>
    </font>
    <font>
      <b/>
      <sz val="12"/>
      <color rgb="FF0070C0"/>
      <name val="돋움"/>
      <family val="3"/>
      <charset val="129"/>
    </font>
    <font>
      <b/>
      <sz val="16"/>
      <color rgb="FFFF0000"/>
      <name val="돋움"/>
      <family val="3"/>
      <charset val="129"/>
    </font>
    <font>
      <b/>
      <sz val="10"/>
      <color rgb="FF00B050"/>
      <name val="돋움"/>
      <family val="3"/>
      <charset val="129"/>
    </font>
    <font>
      <sz val="10"/>
      <color rgb="FF00B050"/>
      <name val="돋움"/>
      <family val="3"/>
      <charset val="129"/>
    </font>
    <font>
      <sz val="10"/>
      <color rgb="FFFF0000"/>
      <name val="Arial"/>
      <family val="3"/>
      <charset val="129"/>
    </font>
    <font>
      <b/>
      <sz val="12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40"/>
        <bgColor indexed="49"/>
      </patternFill>
    </fill>
    <fill>
      <patternFill patternType="solid">
        <fgColor indexed="13"/>
        <bgColor indexed="34"/>
      </patternFill>
    </fill>
    <fill>
      <patternFill patternType="solid">
        <fgColor indexed="50"/>
        <bgColor indexed="51"/>
      </patternFill>
    </fill>
    <fill>
      <patternFill patternType="solid">
        <fgColor indexed="51"/>
        <bgColor indexed="13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49"/>
      </patternFill>
    </fill>
    <fill>
      <patternFill patternType="solid">
        <fgColor theme="0" tint="-0.499984740745262"/>
        <bgColor indexed="6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indexed="60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ck">
        <color indexed="8"/>
      </right>
      <top/>
      <bottom/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</borders>
  <cellStyleXfs count="2">
    <xf numFmtId="0" fontId="0" fillId="0" borderId="0"/>
    <xf numFmtId="0" fontId="1" fillId="0" borderId="0"/>
  </cellStyleXfs>
  <cellXfs count="360">
    <xf numFmtId="0" fontId="0" fillId="0" borderId="0" xfId="0"/>
    <xf numFmtId="0" fontId="2" fillId="0" borderId="0" xfId="1" applyFont="1"/>
    <xf numFmtId="0" fontId="3" fillId="0" borderId="0" xfId="1" applyFont="1"/>
    <xf numFmtId="0" fontId="0" fillId="0" borderId="0" xfId="1" applyFont="1"/>
    <xf numFmtId="0" fontId="4" fillId="0" borderId="0" xfId="1" applyFont="1" applyAlignment="1">
      <alignment horizontal="center"/>
    </xf>
    <xf numFmtId="0" fontId="5" fillId="0" borderId="1" xfId="1" applyFont="1" applyBorder="1"/>
    <xf numFmtId="0" fontId="5" fillId="0" borderId="1" xfId="1" applyFont="1" applyBorder="1" applyAlignment="1">
      <alignment horizontal="center"/>
    </xf>
    <xf numFmtId="0" fontId="6" fillId="0" borderId="1" xfId="1" applyFont="1" applyBorder="1" applyAlignment="1">
      <alignment horizontal="center"/>
    </xf>
    <xf numFmtId="0" fontId="7" fillId="0" borderId="1" xfId="1" applyFont="1" applyBorder="1" applyAlignment="1">
      <alignment horizontal="center"/>
    </xf>
    <xf numFmtId="0" fontId="0" fillId="0" borderId="1" xfId="1" applyFont="1" applyBorder="1"/>
    <xf numFmtId="0" fontId="9" fillId="2" borderId="1" xfId="1" applyFont="1" applyFill="1" applyBorder="1"/>
    <xf numFmtId="176" fontId="8" fillId="0" borderId="1" xfId="1" applyNumberFormat="1" applyFont="1" applyBorder="1"/>
    <xf numFmtId="176" fontId="0" fillId="3" borderId="1" xfId="1" applyNumberFormat="1" applyFont="1" applyFill="1" applyBorder="1"/>
    <xf numFmtId="0" fontId="0" fillId="3" borderId="1" xfId="1" applyFont="1" applyFill="1" applyBorder="1"/>
    <xf numFmtId="0" fontId="9" fillId="0" borderId="1" xfId="1" applyFont="1" applyBorder="1"/>
    <xf numFmtId="177" fontId="9" fillId="0" borderId="1" xfId="1" applyNumberFormat="1" applyFont="1" applyBorder="1" applyAlignment="1">
      <alignment vertical="center"/>
    </xf>
    <xf numFmtId="176" fontId="8" fillId="4" borderId="1" xfId="1" applyNumberFormat="1" applyFont="1" applyFill="1" applyBorder="1"/>
    <xf numFmtId="178" fontId="0" fillId="4" borderId="1" xfId="1" applyNumberFormat="1" applyFont="1" applyFill="1" applyBorder="1"/>
    <xf numFmtId="0" fontId="0" fillId="4" borderId="1" xfId="1" applyFont="1" applyFill="1" applyBorder="1"/>
    <xf numFmtId="177" fontId="6" fillId="0" borderId="1" xfId="1" applyNumberFormat="1" applyFont="1" applyBorder="1" applyAlignment="1">
      <alignment vertical="center"/>
    </xf>
    <xf numFmtId="0" fontId="9" fillId="0" borderId="1" xfId="1" applyFont="1" applyBorder="1" applyAlignment="1">
      <alignment wrapText="1"/>
    </xf>
    <xf numFmtId="0" fontId="6" fillId="0" borderId="2" xfId="1" applyFont="1" applyBorder="1" applyAlignment="1">
      <alignment horizontal="center" wrapText="1"/>
    </xf>
    <xf numFmtId="0" fontId="9" fillId="0" borderId="3" xfId="1" applyFont="1" applyBorder="1" applyAlignment="1">
      <alignment wrapText="1"/>
    </xf>
    <xf numFmtId="0" fontId="6" fillId="0" borderId="0" xfId="1" applyFont="1" applyAlignment="1">
      <alignment horizontal="center" wrapText="1"/>
    </xf>
    <xf numFmtId="0" fontId="6" fillId="0" borderId="1" xfId="1" applyFont="1" applyBorder="1" applyAlignment="1">
      <alignment vertical="center"/>
    </xf>
    <xf numFmtId="0" fontId="9" fillId="4" borderId="1" xfId="1" applyFont="1" applyFill="1" applyBorder="1"/>
    <xf numFmtId="0" fontId="12" fillId="0" borderId="1" xfId="1" applyFont="1" applyBorder="1"/>
    <xf numFmtId="178" fontId="0" fillId="5" borderId="1" xfId="1" applyNumberFormat="1" applyFont="1" applyFill="1" applyBorder="1"/>
    <xf numFmtId="0" fontId="0" fillId="5" borderId="1" xfId="1" applyFont="1" applyFill="1" applyBorder="1"/>
    <xf numFmtId="176" fontId="8" fillId="5" borderId="1" xfId="1" applyNumberFormat="1" applyFont="1" applyFill="1" applyBorder="1"/>
    <xf numFmtId="0" fontId="9" fillId="5" borderId="1" xfId="1" applyFont="1" applyFill="1" applyBorder="1"/>
    <xf numFmtId="176" fontId="13" fillId="0" borderId="1" xfId="1" applyNumberFormat="1" applyFont="1" applyBorder="1"/>
    <xf numFmtId="0" fontId="6" fillId="0" borderId="1" xfId="1" applyFont="1" applyBorder="1"/>
    <xf numFmtId="178" fontId="0" fillId="0" borderId="1" xfId="1" applyNumberFormat="1" applyFont="1" applyBorder="1"/>
    <xf numFmtId="177" fontId="8" fillId="0" borderId="1" xfId="1" applyNumberFormat="1" applyFont="1" applyBorder="1"/>
    <xf numFmtId="0" fontId="4" fillId="0" borderId="1" xfId="1" applyFont="1" applyBorder="1" applyAlignment="1">
      <alignment horizontal="center"/>
    </xf>
    <xf numFmtId="0" fontId="9" fillId="0" borderId="1" xfId="1" applyFont="1" applyBorder="1" applyAlignment="1">
      <alignment horizontal="right"/>
    </xf>
    <xf numFmtId="176" fontId="2" fillId="0" borderId="1" xfId="1" applyNumberFormat="1" applyFont="1" applyBorder="1"/>
    <xf numFmtId="0" fontId="9" fillId="0" borderId="0" xfId="1" applyFont="1" applyAlignment="1">
      <alignment horizontal="right"/>
    </xf>
    <xf numFmtId="176" fontId="14" fillId="0" borderId="0" xfId="1" applyNumberFormat="1" applyFont="1"/>
    <xf numFmtId="176" fontId="8" fillId="0" borderId="0" xfId="1" applyNumberFormat="1" applyFont="1"/>
    <xf numFmtId="0" fontId="6" fillId="0" borderId="0" xfId="1" applyFont="1" applyAlignment="1">
      <alignment horizontal="center"/>
    </xf>
    <xf numFmtId="178" fontId="0" fillId="0" borderId="0" xfId="1" applyNumberFormat="1" applyFont="1"/>
    <xf numFmtId="0" fontId="15" fillId="0" borderId="4" xfId="1" applyFont="1" applyBorder="1"/>
    <xf numFmtId="0" fontId="15" fillId="0" borderId="5" xfId="1" applyFont="1" applyBorder="1"/>
    <xf numFmtId="0" fontId="15" fillId="0" borderId="0" xfId="1" applyFont="1" applyAlignment="1">
      <alignment horizontal="center"/>
    </xf>
    <xf numFmtId="177" fontId="16" fillId="0" borderId="0" xfId="1" applyNumberFormat="1" applyFont="1"/>
    <xf numFmtId="0" fontId="9" fillId="0" borderId="0" xfId="1" applyFont="1"/>
    <xf numFmtId="0" fontId="8" fillId="0" borderId="6" xfId="1" applyFont="1" applyBorder="1"/>
    <xf numFmtId="177" fontId="8" fillId="0" borderId="7" xfId="1" applyNumberFormat="1" applyFont="1" applyBorder="1"/>
    <xf numFmtId="177" fontId="4" fillId="0" borderId="0" xfId="1" applyNumberFormat="1" applyFont="1" applyAlignment="1">
      <alignment horizontal="center"/>
    </xf>
    <xf numFmtId="176" fontId="17" fillId="0" borderId="0" xfId="1" applyNumberFormat="1" applyFont="1"/>
    <xf numFmtId="177" fontId="0" fillId="0" borderId="0" xfId="1" applyNumberFormat="1" applyFont="1" applyAlignment="1">
      <alignment horizontal="right"/>
    </xf>
    <xf numFmtId="177" fontId="0" fillId="0" borderId="0" xfId="1" applyNumberFormat="1" applyFont="1"/>
    <xf numFmtId="3" fontId="18" fillId="0" borderId="0" xfId="1" applyNumberFormat="1" applyFont="1"/>
    <xf numFmtId="0" fontId="0" fillId="0" borderId="0" xfId="1" applyFont="1" applyAlignment="1">
      <alignment horizontal="right"/>
    </xf>
    <xf numFmtId="177" fontId="8" fillId="0" borderId="8" xfId="1" applyNumberFormat="1" applyFont="1" applyBorder="1"/>
    <xf numFmtId="178" fontId="19" fillId="0" borderId="9" xfId="1" applyNumberFormat="1" applyFont="1" applyBorder="1"/>
    <xf numFmtId="0" fontId="0" fillId="0" borderId="10" xfId="1" applyFont="1" applyBorder="1"/>
    <xf numFmtId="0" fontId="20" fillId="0" borderId="0" xfId="1" applyFont="1"/>
    <xf numFmtId="178" fontId="1" fillId="0" borderId="10" xfId="1" applyNumberFormat="1" applyBorder="1"/>
    <xf numFmtId="0" fontId="9" fillId="0" borderId="10" xfId="1" applyFont="1" applyBorder="1"/>
    <xf numFmtId="0" fontId="21" fillId="0" borderId="0" xfId="1" applyFont="1"/>
    <xf numFmtId="0" fontId="8" fillId="0" borderId="0" xfId="1" applyFont="1"/>
    <xf numFmtId="178" fontId="8" fillId="0" borderId="10" xfId="1" applyNumberFormat="1" applyFont="1" applyBorder="1"/>
    <xf numFmtId="0" fontId="9" fillId="0" borderId="10" xfId="1" applyFont="1" applyBorder="1" applyAlignment="1">
      <alignment horizontal="left"/>
    </xf>
    <xf numFmtId="0" fontId="9" fillId="0" borderId="6" xfId="1" applyFont="1" applyBorder="1"/>
    <xf numFmtId="0" fontId="9" fillId="0" borderId="11" xfId="1" applyFont="1" applyBorder="1"/>
    <xf numFmtId="177" fontId="13" fillId="0" borderId="12" xfId="1" applyNumberFormat="1" applyFont="1" applyBorder="1"/>
    <xf numFmtId="177" fontId="4" fillId="0" borderId="0" xfId="1" applyNumberFormat="1" applyFont="1"/>
    <xf numFmtId="0" fontId="8" fillId="3" borderId="0" xfId="1" applyFont="1" applyFill="1"/>
    <xf numFmtId="177" fontId="24" fillId="0" borderId="0" xfId="1" applyNumberFormat="1" applyFont="1" applyAlignment="1">
      <alignment horizontal="right"/>
    </xf>
    <xf numFmtId="177" fontId="9" fillId="0" borderId="0" xfId="1" applyNumberFormat="1" applyFont="1" applyAlignment="1">
      <alignment horizontal="right"/>
    </xf>
    <xf numFmtId="177" fontId="25" fillId="0" borderId="0" xfId="1" applyNumberFormat="1" applyFont="1"/>
    <xf numFmtId="0" fontId="21" fillId="0" borderId="0" xfId="1" applyFont="1" applyAlignment="1">
      <alignment horizontal="right"/>
    </xf>
    <xf numFmtId="177" fontId="1" fillId="0" borderId="0" xfId="1" applyNumberFormat="1"/>
    <xf numFmtId="178" fontId="8" fillId="0" borderId="0" xfId="1" applyNumberFormat="1" applyFont="1" applyAlignment="1">
      <alignment horizontal="left"/>
    </xf>
    <xf numFmtId="0" fontId="26" fillId="0" borderId="0" xfId="1" applyFont="1" applyAlignment="1">
      <alignment horizontal="left"/>
    </xf>
    <xf numFmtId="177" fontId="1" fillId="0" borderId="1" xfId="1" applyNumberFormat="1" applyBorder="1"/>
    <xf numFmtId="0" fontId="6" fillId="2" borderId="1" xfId="1" applyFont="1" applyFill="1" applyBorder="1" applyAlignment="1">
      <alignment horizontal="center"/>
    </xf>
    <xf numFmtId="14" fontId="0" fillId="0" borderId="0" xfId="1" applyNumberFormat="1" applyFont="1" applyAlignment="1">
      <alignment horizontal="right"/>
    </xf>
    <xf numFmtId="0" fontId="27" fillId="0" borderId="0" xfId="1" applyFont="1"/>
    <xf numFmtId="178" fontId="28" fillId="0" borderId="0" xfId="1" applyNumberFormat="1" applyFont="1"/>
    <xf numFmtId="0" fontId="29" fillId="0" borderId="0" xfId="1" applyFont="1"/>
    <xf numFmtId="177" fontId="30" fillId="0" borderId="0" xfId="1" applyNumberFormat="1" applyFont="1"/>
    <xf numFmtId="0" fontId="31" fillId="0" borderId="0" xfId="1" applyFont="1" applyAlignment="1">
      <alignment vertical="center"/>
    </xf>
    <xf numFmtId="0" fontId="0" fillId="0" borderId="0" xfId="1" applyFont="1" applyAlignment="1">
      <alignment vertical="center"/>
    </xf>
    <xf numFmtId="0" fontId="32" fillId="0" borderId="0" xfId="1" applyFont="1" applyAlignment="1">
      <alignment vertical="center"/>
    </xf>
    <xf numFmtId="0" fontId="33" fillId="0" borderId="0" xfId="1" applyFont="1" applyAlignment="1">
      <alignment vertical="center"/>
    </xf>
    <xf numFmtId="0" fontId="34" fillId="0" borderId="0" xfId="1" applyFont="1" applyAlignment="1">
      <alignment vertical="center"/>
    </xf>
    <xf numFmtId="0" fontId="35" fillId="0" borderId="0" xfId="1" applyFont="1"/>
    <xf numFmtId="0" fontId="36" fillId="0" borderId="0" xfId="1" applyFont="1"/>
    <xf numFmtId="0" fontId="14" fillId="0" borderId="0" xfId="1" applyFont="1" applyAlignment="1">
      <alignment horizontal="center"/>
    </xf>
    <xf numFmtId="0" fontId="1" fillId="0" borderId="0" xfId="1" applyAlignment="1">
      <alignment horizontal="right"/>
    </xf>
    <xf numFmtId="3" fontId="8" fillId="0" borderId="0" xfId="1" applyNumberFormat="1" applyFont="1"/>
    <xf numFmtId="0" fontId="2" fillId="0" borderId="7" xfId="1" applyFont="1" applyBorder="1"/>
    <xf numFmtId="0" fontId="24" fillId="0" borderId="1" xfId="1" applyFont="1" applyBorder="1" applyAlignment="1">
      <alignment horizontal="center"/>
    </xf>
    <xf numFmtId="3" fontId="37" fillId="0" borderId="0" xfId="1" applyNumberFormat="1" applyFont="1"/>
    <xf numFmtId="0" fontId="24" fillId="0" borderId="7" xfId="1" applyFont="1" applyBorder="1" applyAlignment="1">
      <alignment horizontal="right"/>
    </xf>
    <xf numFmtId="177" fontId="1" fillId="0" borderId="7" xfId="1" applyNumberFormat="1" applyBorder="1"/>
    <xf numFmtId="0" fontId="9" fillId="0" borderId="7" xfId="1" applyFont="1" applyBorder="1" applyAlignment="1">
      <alignment horizontal="right"/>
    </xf>
    <xf numFmtId="177" fontId="38" fillId="0" borderId="7" xfId="1" applyNumberFormat="1" applyFont="1" applyBorder="1"/>
    <xf numFmtId="0" fontId="21" fillId="0" borderId="7" xfId="1" applyFont="1" applyBorder="1" applyAlignment="1">
      <alignment horizontal="right"/>
    </xf>
    <xf numFmtId="177" fontId="22" fillId="0" borderId="7" xfId="1" applyNumberFormat="1" applyFont="1" applyBorder="1"/>
    <xf numFmtId="0" fontId="1" fillId="0" borderId="0" xfId="1"/>
    <xf numFmtId="177" fontId="1" fillId="0" borderId="12" xfId="1" applyNumberFormat="1" applyBorder="1"/>
    <xf numFmtId="0" fontId="25" fillId="0" borderId="0" xfId="1" applyFont="1"/>
    <xf numFmtId="0" fontId="39" fillId="0" borderId="0" xfId="1" applyFont="1"/>
    <xf numFmtId="177" fontId="40" fillId="0" borderId="0" xfId="1" applyNumberFormat="1" applyFont="1"/>
    <xf numFmtId="0" fontId="41" fillId="0" borderId="0" xfId="1" applyFont="1"/>
    <xf numFmtId="178" fontId="35" fillId="0" borderId="0" xfId="1" applyNumberFormat="1" applyFont="1" applyAlignment="1">
      <alignment horizontal="left"/>
    </xf>
    <xf numFmtId="0" fontId="42" fillId="0" borderId="0" xfId="1" applyFont="1"/>
    <xf numFmtId="178" fontId="14" fillId="0" borderId="0" xfId="1" applyNumberFormat="1" applyFont="1"/>
    <xf numFmtId="0" fontId="0" fillId="0" borderId="0" xfId="1" applyFont="1" applyAlignment="1">
      <alignment horizontal="center"/>
    </xf>
    <xf numFmtId="0" fontId="44" fillId="0" borderId="0" xfId="1" applyFont="1"/>
    <xf numFmtId="0" fontId="45" fillId="0" borderId="0" xfId="1" applyFont="1"/>
    <xf numFmtId="177" fontId="38" fillId="0" borderId="1" xfId="1" applyNumberFormat="1" applyFont="1" applyBorder="1"/>
    <xf numFmtId="177" fontId="47" fillId="0" borderId="1" xfId="1" applyNumberFormat="1" applyFont="1" applyBorder="1"/>
    <xf numFmtId="177" fontId="22" fillId="0" borderId="1" xfId="1" applyNumberFormat="1" applyFont="1" applyBorder="1"/>
    <xf numFmtId="177" fontId="19" fillId="0" borderId="1" xfId="1" applyNumberFormat="1" applyFont="1" applyBorder="1"/>
    <xf numFmtId="177" fontId="14" fillId="0" borderId="0" xfId="1" applyNumberFormat="1" applyFont="1"/>
    <xf numFmtId="0" fontId="48" fillId="0" borderId="0" xfId="1" applyFont="1"/>
    <xf numFmtId="0" fontId="14" fillId="0" borderId="0" xfId="1" applyFont="1"/>
    <xf numFmtId="0" fontId="49" fillId="0" borderId="0" xfId="1" applyFont="1"/>
    <xf numFmtId="178" fontId="9" fillId="0" borderId="10" xfId="1" applyNumberFormat="1" applyFont="1" applyBorder="1" applyAlignment="1">
      <alignment horizontal="left"/>
    </xf>
    <xf numFmtId="177" fontId="9" fillId="0" borderId="0" xfId="1" applyNumberFormat="1" applyFont="1"/>
    <xf numFmtId="0" fontId="2" fillId="0" borderId="1" xfId="1" applyFont="1" applyBorder="1" applyAlignment="1">
      <alignment horizontal="center"/>
    </xf>
    <xf numFmtId="178" fontId="8" fillId="0" borderId="9" xfId="1" applyNumberFormat="1" applyFont="1" applyBorder="1"/>
    <xf numFmtId="0" fontId="20" fillId="0" borderId="0" xfId="1" applyFont="1" applyAlignment="1">
      <alignment horizontal="right"/>
    </xf>
    <xf numFmtId="178" fontId="9" fillId="0" borderId="10" xfId="1" applyNumberFormat="1" applyFont="1" applyBorder="1" applyAlignment="1">
      <alignment horizontal="center"/>
    </xf>
    <xf numFmtId="0" fontId="4" fillId="0" borderId="0" xfId="1" applyFont="1"/>
    <xf numFmtId="0" fontId="6" fillId="0" borderId="0" xfId="1" applyFont="1"/>
    <xf numFmtId="0" fontId="50" fillId="0" borderId="0" xfId="1" applyFont="1"/>
    <xf numFmtId="177" fontId="8" fillId="4" borderId="1" xfId="1" applyNumberFormat="1" applyFont="1" applyFill="1" applyBorder="1" applyAlignment="1">
      <alignment horizontal="right"/>
    </xf>
    <xf numFmtId="177" fontId="8" fillId="4" borderId="1" xfId="1" applyNumberFormat="1" applyFont="1" applyFill="1" applyBorder="1"/>
    <xf numFmtId="0" fontId="8" fillId="6" borderId="1" xfId="1" applyFont="1" applyFill="1" applyBorder="1" applyAlignment="1">
      <alignment horizontal="right"/>
    </xf>
    <xf numFmtId="177" fontId="8" fillId="6" borderId="1" xfId="1" applyNumberFormat="1" applyFont="1" applyFill="1" applyBorder="1"/>
    <xf numFmtId="0" fontId="8" fillId="4" borderId="1" xfId="1" applyFont="1" applyFill="1" applyBorder="1" applyAlignment="1">
      <alignment horizontal="right"/>
    </xf>
    <xf numFmtId="177" fontId="51" fillId="0" borderId="0" xfId="1" applyNumberFormat="1" applyFont="1"/>
    <xf numFmtId="0" fontId="13" fillId="0" borderId="0" xfId="1" applyFont="1"/>
    <xf numFmtId="0" fontId="10" fillId="0" borderId="1" xfId="1" applyFont="1" applyBorder="1" applyAlignment="1">
      <alignment wrapText="1"/>
    </xf>
    <xf numFmtId="0" fontId="52" fillId="0" borderId="0" xfId="1" applyFont="1"/>
    <xf numFmtId="0" fontId="9" fillId="0" borderId="0" xfId="1" applyFont="1" applyAlignment="1">
      <alignment wrapText="1"/>
    </xf>
    <xf numFmtId="178" fontId="8" fillId="0" borderId="9" xfId="1" applyNumberFormat="1" applyFont="1" applyBorder="1" applyAlignment="1">
      <alignment wrapText="1"/>
    </xf>
    <xf numFmtId="176" fontId="9" fillId="0" borderId="1" xfId="1" applyNumberFormat="1" applyFont="1" applyBorder="1"/>
    <xf numFmtId="178" fontId="9" fillId="0" borderId="0" xfId="1" applyNumberFormat="1" applyFont="1"/>
    <xf numFmtId="179" fontId="8" fillId="0" borderId="0" xfId="1" applyNumberFormat="1" applyFont="1" applyAlignment="1">
      <alignment horizontal="right"/>
    </xf>
    <xf numFmtId="0" fontId="9" fillId="0" borderId="10" xfId="1" applyFont="1" applyBorder="1" applyAlignment="1">
      <alignment horizontal="center"/>
    </xf>
    <xf numFmtId="178" fontId="19" fillId="0" borderId="9" xfId="1" applyNumberFormat="1" applyFont="1" applyBorder="1" applyAlignment="1">
      <alignment wrapText="1"/>
    </xf>
    <xf numFmtId="177" fontId="0" fillId="0" borderId="0" xfId="1" applyNumberFormat="1" applyFont="1" applyAlignment="1">
      <alignment horizontal="center"/>
    </xf>
    <xf numFmtId="178" fontId="0" fillId="0" borderId="0" xfId="1" applyNumberFormat="1" applyFont="1" applyAlignment="1">
      <alignment horizontal="center"/>
    </xf>
    <xf numFmtId="0" fontId="13" fillId="0" borderId="1" xfId="1" applyFont="1" applyBorder="1" applyAlignment="1">
      <alignment horizontal="center"/>
    </xf>
    <xf numFmtId="0" fontId="6" fillId="0" borderId="13" xfId="1" applyFont="1" applyBorder="1" applyAlignment="1">
      <alignment horizontal="center"/>
    </xf>
    <xf numFmtId="0" fontId="13" fillId="0" borderId="14" xfId="1" applyFont="1" applyBorder="1" applyAlignment="1">
      <alignment horizontal="center"/>
    </xf>
    <xf numFmtId="0" fontId="8" fillId="0" borderId="13" xfId="1" applyFont="1" applyBorder="1"/>
    <xf numFmtId="0" fontId="8" fillId="0" borderId="15" xfId="1" applyFont="1" applyBorder="1"/>
    <xf numFmtId="0" fontId="8" fillId="0" borderId="16" xfId="1" applyFont="1" applyBorder="1"/>
    <xf numFmtId="0" fontId="9" fillId="0" borderId="1" xfId="1" applyFont="1" applyBorder="1" applyAlignment="1">
      <alignment horizontal="center"/>
    </xf>
    <xf numFmtId="14" fontId="22" fillId="4" borderId="1" xfId="1" applyNumberFormat="1" applyFont="1" applyFill="1" applyBorder="1"/>
    <xf numFmtId="177" fontId="9" fillId="4" borderId="1" xfId="1" applyNumberFormat="1" applyFont="1" applyFill="1" applyBorder="1" applyAlignment="1">
      <alignment horizontal="center"/>
    </xf>
    <xf numFmtId="177" fontId="0" fillId="4" borderId="1" xfId="1" applyNumberFormat="1" applyFont="1" applyFill="1" applyBorder="1"/>
    <xf numFmtId="177" fontId="0" fillId="4" borderId="1" xfId="1" applyNumberFormat="1" applyFont="1" applyFill="1" applyBorder="1" applyAlignment="1">
      <alignment vertical="top"/>
    </xf>
    <xf numFmtId="177" fontId="9" fillId="4" borderId="1" xfId="1" applyNumberFormat="1" applyFont="1" applyFill="1" applyBorder="1"/>
    <xf numFmtId="14" fontId="8" fillId="4" borderId="1" xfId="1" applyNumberFormat="1" applyFont="1" applyFill="1" applyBorder="1"/>
    <xf numFmtId="14" fontId="8" fillId="0" borderId="1" xfId="1" applyNumberFormat="1" applyFont="1" applyBorder="1"/>
    <xf numFmtId="177" fontId="8" fillId="0" borderId="1" xfId="1" applyNumberFormat="1" applyFont="1" applyBorder="1" applyAlignment="1">
      <alignment horizontal="center"/>
    </xf>
    <xf numFmtId="177" fontId="8" fillId="0" borderId="1" xfId="1" applyNumberFormat="1" applyFont="1" applyBorder="1" applyAlignment="1">
      <alignment horizontal="right"/>
    </xf>
    <xf numFmtId="177" fontId="9" fillId="0" borderId="1" xfId="1" applyNumberFormat="1" applyFont="1" applyBorder="1"/>
    <xf numFmtId="178" fontId="1" fillId="0" borderId="9" xfId="1" applyNumberFormat="1" applyBorder="1"/>
    <xf numFmtId="178" fontId="1" fillId="0" borderId="0" xfId="1" applyNumberFormat="1"/>
    <xf numFmtId="177" fontId="9" fillId="0" borderId="1" xfId="1" applyNumberFormat="1" applyFont="1" applyBorder="1" applyAlignment="1">
      <alignment horizontal="center"/>
    </xf>
    <xf numFmtId="177" fontId="19" fillId="0" borderId="0" xfId="1" applyNumberFormat="1" applyFont="1" applyAlignment="1">
      <alignment horizontal="right"/>
    </xf>
    <xf numFmtId="177" fontId="53" fillId="0" borderId="1" xfId="1" applyNumberFormat="1" applyFont="1" applyBorder="1"/>
    <xf numFmtId="0" fontId="14" fillId="0" borderId="0" xfId="1" applyFont="1" applyAlignment="1">
      <alignment horizontal="right"/>
    </xf>
    <xf numFmtId="0" fontId="0" fillId="4" borderId="0" xfId="1" applyFont="1" applyFill="1"/>
    <xf numFmtId="0" fontId="9" fillId="4" borderId="1" xfId="1" applyFont="1" applyFill="1" applyBorder="1" applyAlignment="1">
      <alignment horizontal="right"/>
    </xf>
    <xf numFmtId="0" fontId="9" fillId="4" borderId="1" xfId="1" applyFont="1" applyFill="1" applyBorder="1" applyAlignment="1">
      <alignment horizontal="center"/>
    </xf>
    <xf numFmtId="0" fontId="9" fillId="4" borderId="0" xfId="1" applyFont="1" applyFill="1"/>
    <xf numFmtId="3" fontId="8" fillId="4" borderId="1" xfId="1" applyNumberFormat="1" applyFont="1" applyFill="1" applyBorder="1"/>
    <xf numFmtId="0" fontId="8" fillId="4" borderId="1" xfId="1" applyFont="1" applyFill="1" applyBorder="1" applyAlignment="1">
      <alignment horizontal="center"/>
    </xf>
    <xf numFmtId="3" fontId="19" fillId="4" borderId="1" xfId="1" applyNumberFormat="1" applyFont="1" applyFill="1" applyBorder="1"/>
    <xf numFmtId="177" fontId="54" fillId="0" borderId="1" xfId="1" applyNumberFormat="1" applyFont="1" applyBorder="1"/>
    <xf numFmtId="0" fontId="55" fillId="0" borderId="0" xfId="1" applyFont="1"/>
    <xf numFmtId="178" fontId="9" fillId="0" borderId="9" xfId="1" applyNumberFormat="1" applyFont="1" applyBorder="1"/>
    <xf numFmtId="178" fontId="10" fillId="0" borderId="9" xfId="1" applyNumberFormat="1" applyFont="1" applyBorder="1"/>
    <xf numFmtId="0" fontId="11" fillId="0" borderId="0" xfId="1" applyFont="1"/>
    <xf numFmtId="0" fontId="10" fillId="0" borderId="0" xfId="1" applyFont="1"/>
    <xf numFmtId="0" fontId="22" fillId="0" borderId="0" xfId="1" applyFont="1"/>
    <xf numFmtId="177" fontId="1" fillId="0" borderId="1" xfId="1" applyNumberFormat="1" applyBorder="1" applyAlignment="1">
      <alignment wrapText="1"/>
    </xf>
    <xf numFmtId="178" fontId="56" fillId="0" borderId="0" xfId="1" applyNumberFormat="1" applyFont="1"/>
    <xf numFmtId="178" fontId="22" fillId="0" borderId="10" xfId="1" applyNumberFormat="1" applyFont="1" applyBorder="1"/>
    <xf numFmtId="178" fontId="38" fillId="0" borderId="10" xfId="1" applyNumberFormat="1" applyFont="1" applyBorder="1"/>
    <xf numFmtId="0" fontId="47" fillId="0" borderId="0" xfId="1" applyFont="1"/>
    <xf numFmtId="0" fontId="0" fillId="0" borderId="17" xfId="1" applyFont="1" applyBorder="1"/>
    <xf numFmtId="0" fontId="9" fillId="0" borderId="17" xfId="1" applyFont="1" applyBorder="1"/>
    <xf numFmtId="0" fontId="9" fillId="0" borderId="17" xfId="1" applyFont="1" applyBorder="1" applyAlignment="1">
      <alignment horizontal="left"/>
    </xf>
    <xf numFmtId="178" fontId="37" fillId="0" borderId="17" xfId="1" applyNumberFormat="1" applyFont="1" applyBorder="1"/>
    <xf numFmtId="178" fontId="8" fillId="0" borderId="17" xfId="1" applyNumberFormat="1" applyFont="1" applyBorder="1"/>
    <xf numFmtId="0" fontId="6" fillId="0" borderId="17" xfId="1" applyFont="1" applyBorder="1" applyAlignment="1">
      <alignment horizontal="left"/>
    </xf>
    <xf numFmtId="0" fontId="10" fillId="0" borderId="17" xfId="1" applyFont="1" applyBorder="1" applyAlignment="1">
      <alignment horizontal="left"/>
    </xf>
    <xf numFmtId="178" fontId="22" fillId="0" borderId="17" xfId="1" applyNumberFormat="1" applyFont="1" applyBorder="1"/>
    <xf numFmtId="0" fontId="9" fillId="0" borderId="0" xfId="1" applyFont="1" applyAlignment="1">
      <alignment horizontal="center"/>
    </xf>
    <xf numFmtId="178" fontId="57" fillId="0" borderId="0" xfId="1" applyNumberFormat="1" applyFont="1"/>
    <xf numFmtId="0" fontId="58" fillId="0" borderId="0" xfId="1" applyFont="1"/>
    <xf numFmtId="178" fontId="38" fillId="0" borderId="17" xfId="1" applyNumberFormat="1" applyFont="1" applyBorder="1"/>
    <xf numFmtId="0" fontId="19" fillId="0" borderId="0" xfId="1" applyFont="1"/>
    <xf numFmtId="178" fontId="13" fillId="0" borderId="17" xfId="1" applyNumberFormat="1" applyFont="1" applyBorder="1"/>
    <xf numFmtId="176" fontId="8" fillId="3" borderId="1" xfId="1" applyNumberFormat="1" applyFont="1" applyFill="1" applyBorder="1"/>
    <xf numFmtId="178" fontId="59" fillId="0" borderId="0" xfId="1" applyNumberFormat="1" applyFont="1"/>
    <xf numFmtId="0" fontId="60" fillId="0" borderId="0" xfId="1" applyFont="1"/>
    <xf numFmtId="178" fontId="30" fillId="0" borderId="17" xfId="1" applyNumberFormat="1" applyFont="1" applyBorder="1"/>
    <xf numFmtId="177" fontId="21" fillId="0" borderId="0" xfId="1" applyNumberFormat="1" applyFont="1"/>
    <xf numFmtId="177" fontId="10" fillId="0" borderId="0" xfId="1" applyNumberFormat="1" applyFont="1"/>
    <xf numFmtId="0" fontId="63" fillId="0" borderId="0" xfId="1" applyFont="1"/>
    <xf numFmtId="3" fontId="2" fillId="0" borderId="0" xfId="1" applyNumberFormat="1" applyFont="1"/>
    <xf numFmtId="178" fontId="2" fillId="0" borderId="0" xfId="1" applyNumberFormat="1" applyFont="1"/>
    <xf numFmtId="3" fontId="0" fillId="0" borderId="0" xfId="1" applyNumberFormat="1" applyFont="1"/>
    <xf numFmtId="3" fontId="64" fillId="0" borderId="0" xfId="0" applyNumberFormat="1" applyFont="1"/>
    <xf numFmtId="3" fontId="65" fillId="0" borderId="0" xfId="0" applyNumberFormat="1" applyFont="1"/>
    <xf numFmtId="0" fontId="58" fillId="0" borderId="0" xfId="1" quotePrefix="1" applyFont="1"/>
    <xf numFmtId="177" fontId="66" fillId="0" borderId="1" xfId="1" applyNumberFormat="1" applyFont="1" applyBorder="1"/>
    <xf numFmtId="177" fontId="67" fillId="0" borderId="1" xfId="1" applyNumberFormat="1" applyFont="1" applyBorder="1"/>
    <xf numFmtId="3" fontId="25" fillId="0" borderId="0" xfId="1" applyNumberFormat="1" applyFont="1" applyAlignment="1">
      <alignment horizontal="left"/>
    </xf>
    <xf numFmtId="177" fontId="10" fillId="0" borderId="0" xfId="1" quotePrefix="1" applyNumberFormat="1" applyFont="1"/>
    <xf numFmtId="178" fontId="68" fillId="0" borderId="0" xfId="1" applyNumberFormat="1" applyFont="1"/>
    <xf numFmtId="0" fontId="24" fillId="7" borderId="1" xfId="1" applyFont="1" applyFill="1" applyBorder="1" applyAlignment="1">
      <alignment horizontal="center"/>
    </xf>
    <xf numFmtId="177" fontId="1" fillId="7" borderId="1" xfId="1" applyNumberFormat="1" applyFill="1" applyBorder="1"/>
    <xf numFmtId="177" fontId="22" fillId="7" borderId="1" xfId="1" applyNumberFormat="1" applyFont="1" applyFill="1" applyBorder="1"/>
    <xf numFmtId="178" fontId="69" fillId="8" borderId="0" xfId="1" applyNumberFormat="1" applyFont="1" applyFill="1" applyAlignment="1">
      <alignment horizontal="left"/>
    </xf>
    <xf numFmtId="0" fontId="0" fillId="0" borderId="17" xfId="1" applyFont="1" applyBorder="1" applyAlignment="1">
      <alignment horizontal="left"/>
    </xf>
    <xf numFmtId="0" fontId="0" fillId="0" borderId="0" xfId="1" quotePrefix="1" applyFont="1"/>
    <xf numFmtId="0" fontId="70" fillId="0" borderId="0" xfId="0" applyFont="1"/>
    <xf numFmtId="177" fontId="68" fillId="0" borderId="19" xfId="1" applyNumberFormat="1" applyFont="1" applyBorder="1"/>
    <xf numFmtId="0" fontId="68" fillId="0" borderId="18" xfId="1" applyFont="1" applyBorder="1"/>
    <xf numFmtId="0" fontId="72" fillId="0" borderId="0" xfId="1" applyFont="1"/>
    <xf numFmtId="0" fontId="73" fillId="0" borderId="0" xfId="1" applyFont="1"/>
    <xf numFmtId="0" fontId="9" fillId="9" borderId="1" xfId="1" applyFont="1" applyFill="1" applyBorder="1"/>
    <xf numFmtId="176" fontId="8" fillId="9" borderId="1" xfId="1" applyNumberFormat="1" applyFont="1" applyFill="1" applyBorder="1"/>
    <xf numFmtId="178" fontId="74" fillId="0" borderId="10" xfId="1" applyNumberFormat="1" applyFont="1" applyBorder="1"/>
    <xf numFmtId="177" fontId="68" fillId="0" borderId="18" xfId="1" applyNumberFormat="1" applyFont="1" applyBorder="1"/>
    <xf numFmtId="0" fontId="68" fillId="0" borderId="0" xfId="1" quotePrefix="1" applyFont="1"/>
    <xf numFmtId="0" fontId="75" fillId="0" borderId="0" xfId="0" applyFont="1"/>
    <xf numFmtId="178" fontId="8" fillId="0" borderId="17" xfId="1" applyNumberFormat="1" applyFont="1" applyBorder="1" applyAlignment="1">
      <alignment wrapText="1"/>
    </xf>
    <xf numFmtId="0" fontId="76" fillId="0" borderId="0" xfId="0" applyFont="1"/>
    <xf numFmtId="0" fontId="78" fillId="0" borderId="0" xfId="1" quotePrefix="1" applyFont="1"/>
    <xf numFmtId="0" fontId="78" fillId="0" borderId="0" xfId="1" applyFont="1"/>
    <xf numFmtId="180" fontId="0" fillId="0" borderId="0" xfId="1" applyNumberFormat="1" applyFont="1"/>
    <xf numFmtId="0" fontId="8" fillId="8" borderId="0" xfId="1" applyFont="1" applyFill="1"/>
    <xf numFmtId="177" fontId="4" fillId="0" borderId="1" xfId="1" applyNumberFormat="1" applyFont="1" applyBorder="1" applyAlignment="1">
      <alignment vertical="center"/>
    </xf>
    <xf numFmtId="0" fontId="4" fillId="0" borderId="2" xfId="1" applyFont="1" applyBorder="1" applyAlignment="1">
      <alignment horizontal="center" wrapText="1"/>
    </xf>
    <xf numFmtId="0" fontId="4" fillId="0" borderId="0" xfId="1" applyFont="1" applyAlignment="1">
      <alignment horizontal="center" wrapText="1"/>
    </xf>
    <xf numFmtId="0" fontId="4" fillId="0" borderId="1" xfId="1" applyFont="1" applyBorder="1" applyAlignment="1">
      <alignment vertical="center"/>
    </xf>
    <xf numFmtId="0" fontId="4" fillId="0" borderId="1" xfId="1" applyFont="1" applyBorder="1"/>
    <xf numFmtId="0" fontId="8" fillId="10" borderId="0" xfId="1" applyFont="1" applyFill="1"/>
    <xf numFmtId="177" fontId="2" fillId="0" borderId="0" xfId="1" applyNumberFormat="1" applyFont="1" applyAlignment="1">
      <alignment horizontal="right"/>
    </xf>
    <xf numFmtId="0" fontId="4" fillId="2" borderId="1" xfId="1" applyFont="1" applyFill="1" applyBorder="1" applyAlignment="1">
      <alignment horizontal="center"/>
    </xf>
    <xf numFmtId="0" fontId="2" fillId="0" borderId="7" xfId="1" applyFont="1" applyBorder="1" applyAlignment="1">
      <alignment horizontal="right"/>
    </xf>
    <xf numFmtId="0" fontId="14" fillId="0" borderId="7" xfId="1" applyFont="1" applyBorder="1" applyAlignment="1">
      <alignment horizontal="right"/>
    </xf>
    <xf numFmtId="0" fontId="4" fillId="0" borderId="17" xfId="1" applyFont="1" applyBorder="1" applyAlignment="1">
      <alignment horizontal="left"/>
    </xf>
    <xf numFmtId="37" fontId="8" fillId="0" borderId="10" xfId="1" applyNumberFormat="1" applyFont="1" applyBorder="1"/>
    <xf numFmtId="177" fontId="58" fillId="0" borderId="0" xfId="1" quotePrefix="1" applyNumberFormat="1" applyFont="1"/>
    <xf numFmtId="0" fontId="0" fillId="0" borderId="1" xfId="1" applyFont="1" applyBorder="1" applyAlignment="1">
      <alignment vertical="center" wrapText="1"/>
    </xf>
    <xf numFmtId="0" fontId="9" fillId="0" borderId="1" xfId="1" applyFont="1" applyBorder="1" applyAlignment="1">
      <alignment vertical="center"/>
    </xf>
    <xf numFmtId="0" fontId="0" fillId="0" borderId="3" xfId="1" applyFont="1" applyBorder="1" applyAlignment="1">
      <alignment vertical="center" wrapText="1"/>
    </xf>
    <xf numFmtId="0" fontId="9" fillId="11" borderId="1" xfId="1" applyFont="1" applyFill="1" applyBorder="1"/>
    <xf numFmtId="0" fontId="5" fillId="0" borderId="1" xfId="1" applyFont="1" applyBorder="1" applyAlignment="1">
      <alignment vertical="center"/>
    </xf>
    <xf numFmtId="0" fontId="9" fillId="11" borderId="1" xfId="1" applyFont="1" applyFill="1" applyBorder="1" applyAlignment="1">
      <alignment vertical="center"/>
    </xf>
    <xf numFmtId="0" fontId="0" fillId="0" borderId="1" xfId="1" applyFont="1" applyBorder="1" applyAlignment="1">
      <alignment vertical="center"/>
    </xf>
    <xf numFmtId="0" fontId="9" fillId="0" borderId="1" xfId="1" applyFont="1" applyBorder="1" applyAlignment="1">
      <alignment horizontal="right" vertical="center"/>
    </xf>
    <xf numFmtId="0" fontId="9" fillId="0" borderId="0" xfId="1" applyFont="1" applyAlignment="1">
      <alignment horizontal="right" vertical="center"/>
    </xf>
    <xf numFmtId="0" fontId="15" fillId="0" borderId="5" xfId="1" applyFont="1" applyBorder="1" applyAlignment="1">
      <alignment vertical="center"/>
    </xf>
    <xf numFmtId="177" fontId="8" fillId="0" borderId="7" xfId="1" applyNumberFormat="1" applyFont="1" applyBorder="1" applyAlignment="1">
      <alignment vertical="center"/>
    </xf>
    <xf numFmtId="6" fontId="8" fillId="0" borderId="10" xfId="1" applyNumberFormat="1" applyFont="1" applyBorder="1"/>
    <xf numFmtId="6" fontId="0" fillId="0" borderId="0" xfId="1" applyNumberFormat="1" applyFont="1"/>
    <xf numFmtId="0" fontId="9" fillId="12" borderId="1" xfId="1" applyFont="1" applyFill="1" applyBorder="1" applyAlignment="1">
      <alignment vertical="center"/>
    </xf>
    <xf numFmtId="0" fontId="9" fillId="13" borderId="1" xfId="1" applyFont="1" applyFill="1" applyBorder="1" applyAlignment="1">
      <alignment vertical="center"/>
    </xf>
    <xf numFmtId="177" fontId="80" fillId="0" borderId="0" xfId="1" applyNumberFormat="1" applyFont="1" applyAlignment="1">
      <alignment horizontal="right"/>
    </xf>
    <xf numFmtId="0" fontId="9" fillId="8" borderId="1" xfId="1" applyFont="1" applyFill="1" applyBorder="1" applyAlignment="1">
      <alignment vertical="center" wrapText="1"/>
    </xf>
    <xf numFmtId="0" fontId="0" fillId="8" borderId="1" xfId="1" applyFont="1" applyFill="1" applyBorder="1" applyAlignment="1">
      <alignment vertical="center" wrapText="1"/>
    </xf>
    <xf numFmtId="177" fontId="78" fillId="0" borderId="0" xfId="1" applyNumberFormat="1" applyFont="1" applyAlignment="1">
      <alignment horizontal="right"/>
    </xf>
    <xf numFmtId="6" fontId="2" fillId="0" borderId="0" xfId="1" applyNumberFormat="1" applyFont="1"/>
    <xf numFmtId="6" fontId="25" fillId="0" borderId="0" xfId="1" applyNumberFormat="1" applyFont="1"/>
    <xf numFmtId="6" fontId="0" fillId="0" borderId="1" xfId="1" applyNumberFormat="1" applyFont="1" applyBorder="1"/>
    <xf numFmtId="0" fontId="2" fillId="0" borderId="20" xfId="1" applyFont="1" applyBorder="1"/>
    <xf numFmtId="0" fontId="78" fillId="0" borderId="22" xfId="1" applyFont="1" applyBorder="1"/>
    <xf numFmtId="6" fontId="35" fillId="0" borderId="23" xfId="1" applyNumberFormat="1" applyFont="1" applyBorder="1"/>
    <xf numFmtId="0" fontId="2" fillId="0" borderId="19" xfId="1" applyFont="1" applyBorder="1"/>
    <xf numFmtId="0" fontId="73" fillId="0" borderId="19" xfId="1" applyFont="1" applyBorder="1"/>
    <xf numFmtId="0" fontId="73" fillId="0" borderId="20" xfId="1" applyFont="1" applyBorder="1"/>
    <xf numFmtId="0" fontId="80" fillId="0" borderId="20" xfId="1" applyFont="1" applyBorder="1"/>
    <xf numFmtId="0" fontId="73" fillId="0" borderId="22" xfId="1" applyFont="1" applyBorder="1"/>
    <xf numFmtId="6" fontId="2" fillId="0" borderId="25" xfId="1" applyNumberFormat="1" applyFont="1" applyBorder="1"/>
    <xf numFmtId="6" fontId="2" fillId="0" borderId="26" xfId="1" applyNumberFormat="1" applyFont="1" applyBorder="1"/>
    <xf numFmtId="6" fontId="1" fillId="0" borderId="26" xfId="1" applyNumberFormat="1" applyBorder="1"/>
    <xf numFmtId="6" fontId="35" fillId="0" borderId="26" xfId="1" applyNumberFormat="1" applyFont="1" applyBorder="1"/>
    <xf numFmtId="6" fontId="2" fillId="0" borderId="27" xfId="1" applyNumberFormat="1" applyFont="1" applyBorder="1"/>
    <xf numFmtId="0" fontId="24" fillId="0" borderId="0" xfId="1" applyFont="1" applyAlignment="1">
      <alignment horizontal="center"/>
    </xf>
    <xf numFmtId="177" fontId="22" fillId="0" borderId="0" xfId="1" applyNumberFormat="1" applyFont="1"/>
    <xf numFmtId="6" fontId="2" fillId="0" borderId="18" xfId="1" applyNumberFormat="1" applyFont="1" applyBorder="1"/>
    <xf numFmtId="0" fontId="73" fillId="0" borderId="18" xfId="1" applyFont="1" applyBorder="1"/>
    <xf numFmtId="181" fontId="73" fillId="0" borderId="21" xfId="1" applyNumberFormat="1" applyFont="1" applyBorder="1"/>
    <xf numFmtId="181" fontId="68" fillId="0" borderId="21" xfId="1" applyNumberFormat="1" applyFont="1" applyBorder="1"/>
    <xf numFmtId="181" fontId="73" fillId="0" borderId="24" xfId="1" applyNumberFormat="1" applyFont="1" applyBorder="1"/>
    <xf numFmtId="14" fontId="2" fillId="0" borderId="0" xfId="1" applyNumberFormat="1" applyFont="1"/>
    <xf numFmtId="177" fontId="73" fillId="0" borderId="0" xfId="1" applyNumberFormat="1" applyFont="1"/>
    <xf numFmtId="177" fontId="73" fillId="0" borderId="24" xfId="1" applyNumberFormat="1" applyFont="1" applyBorder="1"/>
    <xf numFmtId="177" fontId="80" fillId="0" borderId="0" xfId="1" applyNumberFormat="1" applyFont="1"/>
    <xf numFmtId="177" fontId="73" fillId="0" borderId="21" xfId="1" applyNumberFormat="1" applyFont="1" applyBorder="1"/>
    <xf numFmtId="181" fontId="73" fillId="0" borderId="0" xfId="1" applyNumberFormat="1" applyFont="1"/>
    <xf numFmtId="0" fontId="68" fillId="0" borderId="0" xfId="1" applyFont="1"/>
    <xf numFmtId="0" fontId="72" fillId="0" borderId="22" xfId="1" applyFont="1" applyBorder="1"/>
    <xf numFmtId="0" fontId="83" fillId="0" borderId="0" xfId="1" applyFont="1"/>
    <xf numFmtId="0" fontId="73" fillId="0" borderId="28" xfId="1" applyFont="1" applyBorder="1"/>
    <xf numFmtId="177" fontId="73" fillId="0" borderId="20" xfId="1" applyNumberFormat="1" applyFont="1" applyBorder="1"/>
    <xf numFmtId="0" fontId="73" fillId="0" borderId="29" xfId="1" applyFont="1" applyBorder="1"/>
    <xf numFmtId="177" fontId="73" fillId="0" borderId="22" xfId="1" applyNumberFormat="1" applyFont="1" applyBorder="1"/>
    <xf numFmtId="0" fontId="73" fillId="0" borderId="23" xfId="1" applyFont="1" applyBorder="1"/>
    <xf numFmtId="177" fontId="73" fillId="0" borderId="19" xfId="1" applyNumberFormat="1" applyFont="1" applyBorder="1"/>
    <xf numFmtId="181" fontId="73" fillId="0" borderId="28" xfId="1" applyNumberFormat="1" applyFont="1" applyBorder="1"/>
    <xf numFmtId="181" fontId="73" fillId="0" borderId="29" xfId="1" applyNumberFormat="1" applyFont="1" applyBorder="1"/>
    <xf numFmtId="0" fontId="2" fillId="0" borderId="21" xfId="1" applyFont="1" applyBorder="1"/>
    <xf numFmtId="0" fontId="73" fillId="0" borderId="21" xfId="1" applyFont="1" applyBorder="1"/>
    <xf numFmtId="0" fontId="2" fillId="0" borderId="22" xfId="1" applyFont="1" applyBorder="1"/>
    <xf numFmtId="181" fontId="73" fillId="0" borderId="23" xfId="1" applyNumberFormat="1" applyFont="1" applyBorder="1"/>
    <xf numFmtId="0" fontId="2" fillId="0" borderId="24" xfId="1" applyFont="1" applyBorder="1"/>
    <xf numFmtId="0" fontId="73" fillId="0" borderId="24" xfId="1" applyFont="1" applyBorder="1"/>
    <xf numFmtId="0" fontId="2" fillId="0" borderId="18" xfId="1" applyFont="1" applyBorder="1"/>
    <xf numFmtId="177" fontId="2" fillId="0" borderId="18" xfId="1" applyNumberFormat="1" applyFont="1" applyBorder="1"/>
    <xf numFmtId="14" fontId="2" fillId="0" borderId="18" xfId="1" applyNumberFormat="1" applyFont="1" applyBorder="1"/>
    <xf numFmtId="0" fontId="2" fillId="0" borderId="18" xfId="1" applyFont="1" applyBorder="1" applyAlignment="1">
      <alignment horizontal="center"/>
    </xf>
    <xf numFmtId="177" fontId="84" fillId="0" borderId="0" xfId="1" quotePrefix="1" applyNumberFormat="1" applyFont="1"/>
    <xf numFmtId="0" fontId="85" fillId="0" borderId="0" xfId="1" applyFont="1"/>
    <xf numFmtId="177" fontId="73" fillId="0" borderId="18" xfId="1" applyNumberFormat="1" applyFont="1" applyBorder="1"/>
    <xf numFmtId="6" fontId="2" fillId="0" borderId="18" xfId="1" applyNumberFormat="1" applyFont="1" applyBorder="1" applyAlignment="1">
      <alignment horizontal="center"/>
    </xf>
    <xf numFmtId="177" fontId="2" fillId="0" borderId="18" xfId="1" applyNumberFormat="1" applyFont="1" applyBorder="1" applyAlignment="1">
      <alignment horizontal="center"/>
    </xf>
    <xf numFmtId="22" fontId="0" fillId="0" borderId="0" xfId="1" applyNumberFormat="1" applyFont="1"/>
    <xf numFmtId="176" fontId="8" fillId="0" borderId="1" xfId="1" applyNumberFormat="1" applyFont="1" applyBorder="1" applyAlignment="1">
      <alignment vertical="center"/>
    </xf>
    <xf numFmtId="176" fontId="8" fillId="4" borderId="1" xfId="1" applyNumberFormat="1" applyFont="1" applyFill="1" applyBorder="1" applyAlignment="1">
      <alignment vertical="center"/>
    </xf>
    <xf numFmtId="0" fontId="6" fillId="0" borderId="1" xfId="1" applyFont="1" applyBorder="1" applyAlignment="1">
      <alignment horizontal="center" vertical="center"/>
    </xf>
    <xf numFmtId="178" fontId="0" fillId="4" borderId="1" xfId="1" applyNumberFormat="1" applyFont="1" applyFill="1" applyBorder="1" applyAlignment="1">
      <alignment vertical="center"/>
    </xf>
    <xf numFmtId="0" fontId="0" fillId="4" borderId="1" xfId="1" applyFont="1" applyFill="1" applyBorder="1" applyAlignment="1">
      <alignment vertical="center"/>
    </xf>
    <xf numFmtId="0" fontId="2" fillId="0" borderId="0" xfId="1" applyFont="1" applyAlignment="1">
      <alignment vertical="center"/>
    </xf>
    <xf numFmtId="0" fontId="6" fillId="0" borderId="2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9" fillId="0" borderId="1" xfId="1" applyFont="1" applyBorder="1" applyAlignment="1">
      <alignment vertical="center" wrapText="1"/>
    </xf>
    <xf numFmtId="177" fontId="69" fillId="0" borderId="1" xfId="1" applyNumberFormat="1" applyFont="1" applyBorder="1"/>
    <xf numFmtId="0" fontId="68" fillId="0" borderId="1" xfId="1" applyFont="1" applyBorder="1" applyAlignment="1">
      <alignment horizontal="center"/>
    </xf>
    <xf numFmtId="0" fontId="86" fillId="0" borderId="0" xfId="1" applyFont="1"/>
    <xf numFmtId="0" fontId="69" fillId="0" borderId="0" xfId="1" applyFont="1"/>
    <xf numFmtId="177" fontId="68" fillId="0" borderId="0" xfId="1" applyNumberFormat="1" applyFont="1" applyAlignment="1">
      <alignment horizontal="right"/>
    </xf>
    <xf numFmtId="178" fontId="86" fillId="0" borderId="0" xfId="1" applyNumberFormat="1" applyFont="1"/>
    <xf numFmtId="177" fontId="87" fillId="0" borderId="1" xfId="1" applyNumberFormat="1" applyFont="1" applyBorder="1"/>
    <xf numFmtId="178" fontId="87" fillId="0" borderId="0" xfId="1" applyNumberFormat="1" applyFont="1"/>
    <xf numFmtId="178" fontId="69" fillId="0" borderId="0" xfId="1" applyNumberFormat="1" applyFont="1"/>
    <xf numFmtId="0" fontId="25" fillId="0" borderId="1" xfId="1" applyFont="1" applyBorder="1" applyAlignment="1">
      <alignment horizontal="center"/>
    </xf>
    <xf numFmtId="0" fontId="61" fillId="2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/>
    </xf>
    <xf numFmtId="6" fontId="80" fillId="0" borderId="23" xfId="1" applyNumberFormat="1" applyFont="1" applyBorder="1" applyAlignment="1">
      <alignment horizontal="center"/>
    </xf>
    <xf numFmtId="6" fontId="80" fillId="0" borderId="24" xfId="1" applyNumberFormat="1" applyFont="1" applyBorder="1" applyAlignment="1">
      <alignment horizontal="center"/>
    </xf>
    <xf numFmtId="6" fontId="80" fillId="0" borderId="19" xfId="1" applyNumberFormat="1" applyFont="1" applyBorder="1" applyAlignment="1">
      <alignment horizontal="center"/>
    </xf>
  </cellXfs>
  <cellStyles count="2">
    <cellStyle name="Excel Built-in Normal" xfId="1" xr:uid="{00000000-0005-0000-0000-000000000000}"/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70C0"/>
      <rgbColor rgb="00C0C0C0"/>
      <rgbColor rgb="007F7F7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2F5496"/>
      <rgbColor rgb="004E473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8"/>
  <sheetViews>
    <sheetView workbookViewId="0">
      <selection activeCell="E60" sqref="E60"/>
    </sheetView>
  </sheetViews>
  <sheetFormatPr defaultColWidth="16" defaultRowHeight="15" customHeight="1" x14ac:dyDescent="0.15"/>
  <cols>
    <col min="1" max="1" width="50.83203125" style="1" customWidth="1"/>
    <col min="2" max="2" width="144.5" style="1" customWidth="1"/>
    <col min="3" max="3" width="30" style="1" customWidth="1"/>
    <col min="4" max="4" width="37.6640625" style="1" customWidth="1"/>
    <col min="5" max="5" width="29.1640625" style="1" customWidth="1"/>
    <col min="6" max="6" width="19.5" style="1" customWidth="1"/>
    <col min="7" max="7" width="29.5" style="1" customWidth="1"/>
    <col min="8" max="8" width="19" style="1" customWidth="1"/>
    <col min="9" max="9" width="34.83203125" style="1" customWidth="1"/>
    <col min="10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34</v>
      </c>
      <c r="G33" s="57">
        <v>1000000</v>
      </c>
      <c r="H33" s="58" t="s">
        <v>35</v>
      </c>
      <c r="I33" s="59" t="s">
        <v>36</v>
      </c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47" t="s">
        <v>39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48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50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54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57</v>
      </c>
      <c r="C45" s="3"/>
      <c r="D45" s="3"/>
      <c r="E45" s="3"/>
      <c r="F45" s="3"/>
      <c r="G45" s="64">
        <f>D55</f>
        <v>720000</v>
      </c>
      <c r="H45" s="58" t="s">
        <v>58</v>
      </c>
      <c r="I45" s="42">
        <f>G43+G45</f>
        <v>720000</v>
      </c>
      <c r="J45" s="47" t="s">
        <v>59</v>
      </c>
    </row>
    <row r="46" spans="1:12" ht="14.25" customHeight="1" x14ac:dyDescent="0.2">
      <c r="A46" s="47" t="s">
        <v>60</v>
      </c>
      <c r="B46" s="59" t="s">
        <v>61</v>
      </c>
      <c r="C46" s="3"/>
      <c r="D46" s="3"/>
      <c r="E46" s="3"/>
      <c r="F46" s="3"/>
      <c r="G46" s="64">
        <v>0</v>
      </c>
      <c r="H46" s="61" t="s">
        <v>62</v>
      </c>
      <c r="I46" s="71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64</v>
      </c>
      <c r="B47" s="59" t="s">
        <v>65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9000000</v>
      </c>
    </row>
    <row r="48" spans="1:12" ht="14.25" customHeight="1" x14ac:dyDescent="0.2">
      <c r="A48" s="47" t="s">
        <v>68</v>
      </c>
      <c r="B48" s="59" t="s">
        <v>69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8"/>
      <c r="K48" s="47" t="s">
        <v>72</v>
      </c>
      <c r="L48" s="75">
        <v>4500000</v>
      </c>
    </row>
    <row r="49" spans="1:12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>
        <f>G49</f>
        <v>280000</v>
      </c>
      <c r="K49" s="47" t="s">
        <v>74</v>
      </c>
      <c r="L49" s="75">
        <v>4500000</v>
      </c>
    </row>
    <row r="50" spans="1:12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42"/>
      <c r="H50" s="47"/>
      <c r="I50" s="77" t="s">
        <v>77</v>
      </c>
    </row>
    <row r="51" spans="1:12" ht="12.75" customHeight="1" x14ac:dyDescent="0.2">
      <c r="A51" s="47"/>
      <c r="B51" s="3"/>
      <c r="C51" s="3">
        <v>16</v>
      </c>
      <c r="D51" s="78">
        <v>0</v>
      </c>
      <c r="E51" s="7" t="s">
        <v>78</v>
      </c>
      <c r="F51" s="47" t="s">
        <v>79</v>
      </c>
      <c r="G51" s="3"/>
      <c r="H51" s="3"/>
      <c r="I51" s="3"/>
    </row>
    <row r="52" spans="1:12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</row>
    <row r="53" spans="1:12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</row>
    <row r="54" spans="1:12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2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2" ht="15.75" customHeight="1" x14ac:dyDescent="0.25">
      <c r="A56" s="3"/>
      <c r="B56" s="3"/>
      <c r="C56" s="83">
        <f>C53-5</f>
        <v>19</v>
      </c>
      <c r="D56" s="84">
        <f>C56*25000</f>
        <v>475000</v>
      </c>
      <c r="E56" s="4"/>
      <c r="F56" s="63" t="s">
        <v>83</v>
      </c>
      <c r="G56" s="3"/>
      <c r="H56" s="3"/>
      <c r="I56" s="3"/>
    </row>
    <row r="57" spans="1:12" ht="12.75" customHeight="1" x14ac:dyDescent="0.2">
      <c r="A57" s="47"/>
      <c r="B57" s="3"/>
      <c r="C57" s="3"/>
      <c r="D57" s="84">
        <f>D56+350000+100000+150000</f>
        <v>1075000</v>
      </c>
      <c r="E57" s="4"/>
      <c r="F57" s="63" t="s">
        <v>84</v>
      </c>
      <c r="G57" s="3"/>
      <c r="H57" s="3"/>
      <c r="I57" s="3"/>
    </row>
    <row r="58" spans="1:12" ht="12.75" customHeight="1" x14ac:dyDescent="0.15">
      <c r="A58" s="3"/>
      <c r="B58" s="3"/>
      <c r="C58" s="3"/>
      <c r="D58" s="42">
        <f>G33-D57</f>
        <v>-75000</v>
      </c>
      <c r="E58" s="4"/>
      <c r="F58" s="3"/>
      <c r="G58" s="3"/>
      <c r="H58" s="3"/>
      <c r="I58" s="3"/>
    </row>
    <row r="59" spans="1:12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12" ht="12.75" customHeight="1" x14ac:dyDescent="0.15">
      <c r="A60" s="3"/>
      <c r="B60" s="3"/>
      <c r="C60" s="3"/>
      <c r="D60" s="3"/>
      <c r="E60" s="4"/>
      <c r="F60" s="3"/>
      <c r="G60" s="3"/>
      <c r="H60" s="3"/>
      <c r="I60" s="3"/>
    </row>
    <row r="61" spans="1:12" ht="12.75" customHeight="1" x14ac:dyDescent="0.15">
      <c r="A61" s="3"/>
      <c r="B61" s="3"/>
      <c r="C61" s="3"/>
      <c r="D61" s="3"/>
      <c r="E61" s="4"/>
      <c r="F61" s="3"/>
      <c r="G61" s="3"/>
      <c r="H61" s="3"/>
      <c r="I61" s="3"/>
    </row>
    <row r="62" spans="1:12" ht="12.75" customHeight="1" x14ac:dyDescent="0.15">
      <c r="A62" s="3"/>
      <c r="B62" s="3"/>
      <c r="C62" s="3"/>
      <c r="D62" s="3"/>
      <c r="E62" s="4"/>
      <c r="F62" s="3"/>
      <c r="G62" s="3"/>
      <c r="H62" s="3"/>
      <c r="I62" s="3"/>
    </row>
    <row r="63" spans="1:12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2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205"/>
  <sheetViews>
    <sheetView workbookViewId="0"/>
  </sheetViews>
  <sheetFormatPr defaultColWidth="16" defaultRowHeight="15" customHeight="1" x14ac:dyDescent="0.15"/>
  <cols>
    <col min="1" max="1" width="115.1640625" style="1" customWidth="1"/>
    <col min="2" max="6" width="0" style="1" hidden="1" customWidth="1"/>
    <col min="7" max="11" width="18.83203125" style="1" customWidth="1"/>
    <col min="12" max="16384" width="16" style="1"/>
  </cols>
  <sheetData>
    <row r="1" spans="2:4" ht="12.75" customHeight="1" x14ac:dyDescent="0.15"/>
    <row r="2" spans="2:4" ht="14.25" customHeight="1" x14ac:dyDescent="0.15">
      <c r="B2" s="85" t="s">
        <v>85</v>
      </c>
      <c r="C2" s="85"/>
      <c r="D2" s="86"/>
    </row>
    <row r="3" spans="2:4" ht="12.75" customHeight="1" x14ac:dyDescent="0.15">
      <c r="B3" s="87" t="s">
        <v>86</v>
      </c>
      <c r="C3" s="88"/>
      <c r="D3" s="86"/>
    </row>
    <row r="4" spans="2:4" ht="12.75" customHeight="1" x14ac:dyDescent="0.15">
      <c r="B4" s="87" t="s">
        <v>87</v>
      </c>
      <c r="C4" s="88"/>
      <c r="D4" s="86"/>
    </row>
    <row r="5" spans="2:4" ht="12.75" customHeight="1" x14ac:dyDescent="0.15">
      <c r="B5" s="89" t="s">
        <v>88</v>
      </c>
      <c r="C5" s="88"/>
      <c r="D5" s="86"/>
    </row>
    <row r="6" spans="2:4" ht="12.75" customHeight="1" x14ac:dyDescent="0.15">
      <c r="B6" s="89"/>
      <c r="C6" s="88"/>
      <c r="D6" s="86"/>
    </row>
    <row r="7" spans="2:4" ht="12.75" customHeight="1" x14ac:dyDescent="0.15"/>
    <row r="8" spans="2:4" ht="12.75" customHeight="1" x14ac:dyDescent="0.15"/>
    <row r="9" spans="2:4" ht="12.75" customHeight="1" x14ac:dyDescent="0.15"/>
    <row r="10" spans="2:4" ht="12.75" customHeight="1" x14ac:dyDescent="0.15"/>
    <row r="11" spans="2:4" ht="12.75" customHeight="1" x14ac:dyDescent="0.15"/>
    <row r="12" spans="2:4" ht="12.75" customHeight="1" x14ac:dyDescent="0.15"/>
    <row r="13" spans="2:4" ht="12.75" customHeight="1" x14ac:dyDescent="0.15"/>
    <row r="14" spans="2:4" ht="12.75" customHeight="1" x14ac:dyDescent="0.15"/>
    <row r="15" spans="2:4" ht="12.75" customHeight="1" x14ac:dyDescent="0.15"/>
    <row r="16" spans="2:4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</sheetData>
  <sheetProtection selectLockedCells="1" selectUnlockedCells="1"/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60"/>
  <sheetViews>
    <sheetView workbookViewId="0"/>
  </sheetViews>
  <sheetFormatPr defaultColWidth="16" defaultRowHeight="15" customHeight="1" x14ac:dyDescent="0.15"/>
  <cols>
    <col min="1" max="1" width="67" style="1" customWidth="1"/>
    <col min="2" max="2" width="0" style="1" hidden="1" customWidth="1"/>
    <col min="3" max="3" width="58.5" style="1" customWidth="1"/>
    <col min="4" max="4" width="71" style="1" customWidth="1"/>
    <col min="5" max="5" width="62.33203125" style="1" customWidth="1"/>
    <col min="6" max="6" width="63.83203125" style="1" customWidth="1"/>
    <col min="7" max="7" width="56.33203125" style="1" customWidth="1"/>
    <col min="8" max="8" width="72.5" style="1" customWidth="1"/>
    <col min="9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89</v>
      </c>
      <c r="G33" s="57">
        <v>2993937</v>
      </c>
      <c r="H33" s="58" t="s">
        <v>35</v>
      </c>
      <c r="I33" s="59" t="s">
        <v>36</v>
      </c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47" t="s">
        <v>39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2993937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50000</v>
      </c>
      <c r="H45" s="58" t="s">
        <v>58</v>
      </c>
      <c r="I45" s="42">
        <f>G43+G45</f>
        <v>50000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10500000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50000</v>
      </c>
      <c r="H48" s="58" t="s">
        <v>71</v>
      </c>
      <c r="I48" s="3"/>
      <c r="K48" s="47" t="s">
        <v>72</v>
      </c>
      <c r="L48" s="75">
        <v>4500000</v>
      </c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2943937</v>
      </c>
      <c r="H49" s="61" t="s">
        <v>73</v>
      </c>
      <c r="I49" s="76">
        <f>G49-2000000</f>
        <v>943937</v>
      </c>
      <c r="J49" s="90"/>
      <c r="K49" s="47" t="s">
        <v>74</v>
      </c>
      <c r="L49" s="75">
        <v>6000000</v>
      </c>
      <c r="M49" s="62" t="s">
        <v>100</v>
      </c>
      <c r="N49" s="91" t="s">
        <v>101</v>
      </c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42"/>
      <c r="H50" s="47"/>
      <c r="I50" s="92"/>
      <c r="L50" s="93" t="s">
        <v>102</v>
      </c>
    </row>
    <row r="51" spans="1:14" ht="12.75" customHeight="1" x14ac:dyDescent="0.2">
      <c r="A51" s="47"/>
      <c r="B51" s="3"/>
      <c r="C51" s="3">
        <v>18</v>
      </c>
      <c r="D51" s="78">
        <v>0</v>
      </c>
      <c r="E51" s="7" t="s">
        <v>78</v>
      </c>
      <c r="F51" s="47" t="s">
        <v>79</v>
      </c>
      <c r="G51" s="3"/>
      <c r="H51" s="3"/>
      <c r="I51" s="3"/>
      <c r="L51" s="47" t="s">
        <v>103</v>
      </c>
    </row>
    <row r="52" spans="1:14" ht="12.75" customHeight="1" x14ac:dyDescent="0.2">
      <c r="A52" s="3"/>
      <c r="B52" s="3"/>
      <c r="C52" s="3"/>
      <c r="D52" s="78">
        <v>20000</v>
      </c>
      <c r="E52" s="79" t="s">
        <v>80</v>
      </c>
      <c r="F52" s="47"/>
      <c r="G52" s="3"/>
      <c r="H52" s="3"/>
      <c r="I52" s="3"/>
    </row>
    <row r="53" spans="1:14" ht="15.75" customHeight="1" x14ac:dyDescent="0.25">
      <c r="A53" s="94">
        <v>336000</v>
      </c>
      <c r="B53" s="80"/>
      <c r="C53" s="81">
        <v>1</v>
      </c>
      <c r="D53" s="78">
        <v>30000</v>
      </c>
      <c r="E53" s="7" t="s">
        <v>81</v>
      </c>
      <c r="F53" s="3"/>
      <c r="G53" s="3"/>
      <c r="H53" s="3"/>
      <c r="I53" s="3"/>
    </row>
    <row r="54" spans="1:14" ht="12.75" customHeight="1" x14ac:dyDescent="0.2">
      <c r="A54" s="3">
        <v>1000000</v>
      </c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94">
        <f>SUM(A53:A54)</f>
        <v>1336000</v>
      </c>
      <c r="B55" s="3"/>
      <c r="C55" s="3"/>
      <c r="D55" s="78">
        <f>SUM(D51:D54)</f>
        <v>50000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>
        <f>C53-5</f>
        <v>-4</v>
      </c>
      <c r="D56" s="84">
        <f>C56*25000</f>
        <v>-100000</v>
      </c>
      <c r="E56" s="4"/>
      <c r="F56" s="63" t="s">
        <v>83</v>
      </c>
      <c r="G56" s="3"/>
      <c r="H56" s="3"/>
      <c r="I56" s="3"/>
    </row>
    <row r="57" spans="1:14" ht="12.75" customHeight="1" x14ac:dyDescent="0.2">
      <c r="A57" s="47"/>
      <c r="B57" s="3"/>
      <c r="C57" s="3"/>
      <c r="D57" s="84">
        <f>D56+350000+100000+150000</f>
        <v>500000</v>
      </c>
      <c r="E57" s="4"/>
      <c r="F57" s="63" t="s">
        <v>84</v>
      </c>
      <c r="G57" s="3"/>
      <c r="H57" s="3"/>
      <c r="I57" s="47" t="s">
        <v>104</v>
      </c>
      <c r="K57" s="95"/>
      <c r="L57" s="96" t="s">
        <v>105</v>
      </c>
    </row>
    <row r="58" spans="1:14" ht="12.75" customHeight="1" x14ac:dyDescent="0.2">
      <c r="A58" s="97">
        <v>403823</v>
      </c>
      <c r="B58" s="3"/>
      <c r="C58" s="3"/>
      <c r="D58" s="42">
        <f>G33-D57</f>
        <v>2493937</v>
      </c>
      <c r="E58" s="4"/>
      <c r="F58" s="3"/>
      <c r="G58" s="3"/>
      <c r="H58" s="3"/>
      <c r="I58" s="3"/>
      <c r="K58" s="98" t="s">
        <v>106</v>
      </c>
      <c r="L58" s="99">
        <v>45537306</v>
      </c>
    </row>
    <row r="59" spans="1:14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 t="s">
        <v>72</v>
      </c>
      <c r="L59" s="99">
        <v>4500000</v>
      </c>
    </row>
    <row r="60" spans="1:14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 t="s">
        <v>107</v>
      </c>
      <c r="L60" s="101">
        <v>4000000</v>
      </c>
    </row>
    <row r="61" spans="1:14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 t="s">
        <v>108</v>
      </c>
      <c r="L61" s="103">
        <v>2000000</v>
      </c>
      <c r="M61" s="104" t="s">
        <v>109</v>
      </c>
      <c r="N61" s="104" t="s">
        <v>110</v>
      </c>
    </row>
    <row r="62" spans="1:14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 t="s">
        <v>42</v>
      </c>
      <c r="L62" s="105">
        <f>SUM(L58:L61)</f>
        <v>56037306</v>
      </c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58"/>
  <sheetViews>
    <sheetView workbookViewId="0"/>
  </sheetViews>
  <sheetFormatPr defaultColWidth="16" defaultRowHeight="15" customHeight="1" x14ac:dyDescent="0.15"/>
  <cols>
    <col min="1" max="1" width="65.33203125" style="1" customWidth="1"/>
    <col min="2" max="2" width="0" style="1" hidden="1" customWidth="1"/>
    <col min="3" max="3" width="66.83203125" style="1" customWidth="1"/>
    <col min="4" max="4" width="65.33203125" style="1" customWidth="1"/>
    <col min="5" max="5" width="45.6640625" style="1" customWidth="1"/>
    <col min="6" max="15" width="64.5" style="1" customWidth="1"/>
    <col min="16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5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3104242</v>
      </c>
      <c r="H33" s="58" t="s">
        <v>35</v>
      </c>
      <c r="I33" s="59"/>
    </row>
    <row r="34" spans="1:15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47" t="s">
        <v>111</v>
      </c>
      <c r="J34" s="62"/>
    </row>
    <row r="35" spans="1:15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3104242</v>
      </c>
      <c r="H35" s="65" t="s">
        <v>42</v>
      </c>
      <c r="I35" s="3"/>
    </row>
    <row r="36" spans="1:15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5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5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5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48</v>
      </c>
    </row>
    <row r="40" spans="1:15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5" ht="12.75" customHeight="1" x14ac:dyDescent="0.2">
      <c r="A41" s="47" t="s">
        <v>50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5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5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5" ht="14.25" customHeight="1" x14ac:dyDescent="0.2">
      <c r="A44" s="47"/>
      <c r="B44" s="3"/>
      <c r="C44" s="70" t="s">
        <v>54</v>
      </c>
      <c r="D44" s="70"/>
      <c r="E44" s="3"/>
      <c r="F44" s="42"/>
      <c r="G44" s="60">
        <v>0</v>
      </c>
      <c r="H44" s="61" t="s">
        <v>55</v>
      </c>
      <c r="I44" s="3"/>
    </row>
    <row r="45" spans="1:15" ht="14.25" customHeight="1" x14ac:dyDescent="0.2">
      <c r="A45" s="47" t="s">
        <v>56</v>
      </c>
      <c r="B45" s="47" t="s">
        <v>57</v>
      </c>
      <c r="C45" s="3"/>
      <c r="D45" s="3"/>
      <c r="E45" s="3"/>
      <c r="F45" s="3"/>
      <c r="G45" s="64">
        <f>D55</f>
        <v>30000</v>
      </c>
      <c r="H45" s="58" t="s">
        <v>58</v>
      </c>
      <c r="I45" s="42">
        <f>G43+G45</f>
        <v>30000</v>
      </c>
      <c r="J45" s="47" t="s">
        <v>59</v>
      </c>
    </row>
    <row r="46" spans="1:15" ht="14.25" customHeight="1" x14ac:dyDescent="0.2">
      <c r="A46" s="47" t="s">
        <v>60</v>
      </c>
      <c r="B46" s="59" t="s">
        <v>61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5" ht="14.25" customHeight="1" x14ac:dyDescent="0.2">
      <c r="A47" s="47" t="s">
        <v>64</v>
      </c>
      <c r="B47" s="59" t="s">
        <v>65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v>0</v>
      </c>
    </row>
    <row r="48" spans="1:15" ht="14.25" customHeight="1" x14ac:dyDescent="0.2">
      <c r="A48" s="47" t="s">
        <v>68</v>
      </c>
      <c r="B48" s="59" t="s">
        <v>69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3"/>
      <c r="J48" s="106"/>
      <c r="K48" s="107" t="s">
        <v>72</v>
      </c>
      <c r="L48" s="108">
        <v>4500000</v>
      </c>
      <c r="M48" s="109"/>
      <c r="N48" s="109"/>
      <c r="O48" s="109"/>
    </row>
    <row r="49" spans="1:15" ht="14.25" customHeight="1" x14ac:dyDescent="0.25">
      <c r="A49" s="3"/>
      <c r="B49" s="3"/>
      <c r="C49" s="3"/>
      <c r="D49" s="3"/>
      <c r="E49" s="3"/>
      <c r="F49" s="3"/>
      <c r="G49" s="64">
        <f>G35-G48</f>
        <v>3074242</v>
      </c>
      <c r="H49" s="61" t="s">
        <v>73</v>
      </c>
      <c r="I49" s="110"/>
      <c r="K49" s="107" t="s">
        <v>74</v>
      </c>
      <c r="L49" s="108">
        <v>3000000</v>
      </c>
      <c r="M49" s="111" t="s">
        <v>112</v>
      </c>
      <c r="N49" s="109"/>
      <c r="O49" s="109"/>
    </row>
    <row r="50" spans="1:15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K50" s="109"/>
      <c r="L50" s="114"/>
      <c r="M50" s="108">
        <v>2000000</v>
      </c>
      <c r="N50" s="115" t="s">
        <v>113</v>
      </c>
      <c r="O50" s="109"/>
    </row>
    <row r="51" spans="1:15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K51" s="109"/>
      <c r="L51" s="114"/>
      <c r="M51" s="108">
        <v>1000000</v>
      </c>
      <c r="N51" s="115" t="s">
        <v>114</v>
      </c>
      <c r="O51" s="109"/>
    </row>
    <row r="52" spans="1:15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K52" s="109"/>
      <c r="L52" s="109"/>
      <c r="M52" s="108">
        <v>1800000</v>
      </c>
      <c r="N52" s="115" t="s">
        <v>115</v>
      </c>
      <c r="O52" s="109"/>
    </row>
    <row r="53" spans="1:15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5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5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5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5" ht="12.75" customHeight="1" x14ac:dyDescent="0.2">
      <c r="A57" s="47"/>
      <c r="B57" s="3"/>
      <c r="C57" s="3"/>
      <c r="D57" s="84"/>
      <c r="E57" s="4"/>
      <c r="F57" s="3"/>
      <c r="G57" s="3"/>
      <c r="H57" s="3"/>
      <c r="I57" s="3"/>
      <c r="K57" s="95"/>
      <c r="L57" s="96" t="s">
        <v>105</v>
      </c>
      <c r="M57" s="96" t="s">
        <v>116</v>
      </c>
    </row>
    <row r="58" spans="1:15" ht="12.75" customHeight="1" x14ac:dyDescent="0.2">
      <c r="A58" s="3"/>
      <c r="B58" s="3"/>
      <c r="C58" s="3"/>
      <c r="D58" s="42"/>
      <c r="E58" s="4"/>
      <c r="F58" s="3"/>
      <c r="G58" s="3"/>
      <c r="H58" s="3"/>
      <c r="I58" s="3"/>
      <c r="K58" s="98" t="s">
        <v>106</v>
      </c>
      <c r="L58" s="78">
        <v>45427657</v>
      </c>
      <c r="M58" s="78">
        <f>L58-190000</f>
        <v>45237657</v>
      </c>
    </row>
    <row r="59" spans="1:15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 t="s">
        <v>72</v>
      </c>
      <c r="L59" s="78">
        <v>4500000</v>
      </c>
      <c r="M59" s="78">
        <v>0</v>
      </c>
      <c r="N59" s="106"/>
    </row>
    <row r="60" spans="1:15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 t="s">
        <v>107</v>
      </c>
      <c r="L60" s="116">
        <v>4000000</v>
      </c>
      <c r="M60" s="78">
        <v>0</v>
      </c>
    </row>
    <row r="61" spans="1:15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 t="s">
        <v>108</v>
      </c>
      <c r="L61" s="117">
        <v>2000000</v>
      </c>
      <c r="M61" s="118">
        <v>8000000</v>
      </c>
      <c r="N61" s="106"/>
      <c r="O61" s="104"/>
    </row>
    <row r="62" spans="1:15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 t="s">
        <v>42</v>
      </c>
      <c r="L62" s="78">
        <f>SUM(L58:L61)</f>
        <v>55927657</v>
      </c>
      <c r="M62" s="78">
        <f>SUM(M58:M61)</f>
        <v>53237657</v>
      </c>
    </row>
    <row r="63" spans="1:15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5" ht="12.75" customHeight="1" x14ac:dyDescent="0.2">
      <c r="A64" s="3"/>
      <c r="B64" s="3"/>
      <c r="C64" s="3"/>
      <c r="D64" s="3"/>
      <c r="E64" s="4"/>
      <c r="F64" s="3"/>
      <c r="G64" s="3"/>
      <c r="H64" s="3"/>
      <c r="I64" s="3"/>
      <c r="M64" s="104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8"/>
  <sheetViews>
    <sheetView workbookViewId="0"/>
  </sheetViews>
  <sheetFormatPr defaultColWidth="16" defaultRowHeight="15" customHeight="1" x14ac:dyDescent="0.15"/>
  <cols>
    <col min="1" max="1" width="23.33203125" style="1" customWidth="1"/>
    <col min="2" max="2" width="22" style="1" customWidth="1"/>
    <col min="3" max="3" width="18.6640625" style="1" customWidth="1"/>
    <col min="4" max="4" width="18.1640625" style="1" customWidth="1"/>
    <col min="5" max="5" width="10.1640625" style="1" customWidth="1"/>
    <col min="6" max="6" width="14.5" style="1" customWidth="1"/>
    <col min="7" max="7" width="19.5" style="1" customWidth="1"/>
    <col min="8" max="8" width="14" style="1" customWidth="1"/>
    <col min="9" max="9" width="14.83203125" style="1" customWidth="1"/>
    <col min="10" max="10" width="8.83203125" style="1" customWidth="1"/>
    <col min="11" max="11" width="13" style="1" customWidth="1"/>
    <col min="12" max="12" width="18.1640625" style="1" customWidth="1"/>
    <col min="13" max="13" width="19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119">
        <v>120000</v>
      </c>
      <c r="D16" s="119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742790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47" t="s">
        <v>117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742790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2" ht="13.5" customHeight="1" x14ac:dyDescent="0.2">
      <c r="A42" s="63" t="s">
        <v>118</v>
      </c>
      <c r="B42" s="3"/>
      <c r="C42" s="3">
        <f>336000+156000</f>
        <v>492000</v>
      </c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0</v>
      </c>
      <c r="H45" s="58" t="s">
        <v>58</v>
      </c>
      <c r="I45" s="42">
        <f>G43+G45</f>
        <v>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3"/>
      <c r="K48" s="47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742790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3"/>
      <c r="H57" s="3"/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3"/>
      <c r="G58" s="3"/>
      <c r="H58" s="3"/>
      <c r="I58" s="3"/>
      <c r="K58" s="98" t="s">
        <v>106</v>
      </c>
      <c r="L58" s="78">
        <v>45237657</v>
      </c>
      <c r="M58" s="78">
        <f>L58-190000</f>
        <v>45047657</v>
      </c>
    </row>
    <row r="59" spans="1:14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 t="s">
        <v>72</v>
      </c>
      <c r="L59" s="78">
        <v>5000000</v>
      </c>
      <c r="M59" s="118">
        <v>3000000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 t="s">
        <v>107</v>
      </c>
      <c r="L60" s="116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 t="s">
        <v>108</v>
      </c>
      <c r="L61" s="118">
        <v>8000000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 t="s">
        <v>42</v>
      </c>
      <c r="L62" s="78">
        <f>SUM(L58:L61)</f>
        <v>58237657</v>
      </c>
      <c r="M62" s="78">
        <f>SUM(M58:M61)</f>
        <v>48047657</v>
      </c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55"/>
  <sheetViews>
    <sheetView topLeftCell="D19" workbookViewId="0">
      <selection activeCell="E60" sqref="E60"/>
    </sheetView>
  </sheetViews>
  <sheetFormatPr defaultColWidth="16" defaultRowHeight="15" customHeight="1" x14ac:dyDescent="0.15"/>
  <cols>
    <col min="1" max="1" width="23.33203125" style="1" customWidth="1"/>
    <col min="2" max="2" width="22" style="1" customWidth="1"/>
    <col min="3" max="3" width="18.6640625" style="1" customWidth="1"/>
    <col min="4" max="4" width="18.1640625" style="1" customWidth="1"/>
    <col min="5" max="5" width="10.1640625" style="1" customWidth="1"/>
    <col min="6" max="6" width="14.5" style="1" customWidth="1"/>
    <col min="7" max="7" width="19.5" style="1" customWidth="1"/>
    <col min="8" max="8" width="14" style="1" customWidth="1"/>
    <col min="9" max="9" width="14.83203125" style="1" customWidth="1"/>
    <col min="10" max="10" width="8.83203125" style="1" customWidth="1"/>
    <col min="11" max="11" width="13" style="1" customWidth="1"/>
    <col min="12" max="12" width="18.1640625" style="1" customWidth="1"/>
    <col min="13" max="13" width="19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400000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119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110000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65000</v>
      </c>
      <c r="D12" s="11">
        <v>65000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275000</v>
      </c>
      <c r="G13" s="30" t="s">
        <v>21</v>
      </c>
      <c r="H13" s="31">
        <f>SUM(F9,F13)</f>
        <v>938670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119">
        <v>0</v>
      </c>
      <c r="D16" s="119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1338670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4200000</v>
      </c>
      <c r="H34" s="61" t="s">
        <v>120</v>
      </c>
      <c r="I34" s="47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5200000</v>
      </c>
      <c r="H35" s="124">
        <f>SUM(G35)</f>
        <v>5200000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15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55"/>
    </row>
    <row r="40" spans="1:12" ht="13.5" customHeight="1" x14ac:dyDescent="0.2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47" t="s">
        <v>121</v>
      </c>
      <c r="J40" s="104" t="s">
        <v>122</v>
      </c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1338670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60">
        <v>1000000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780000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 t="s">
        <v>123</v>
      </c>
      <c r="J46" s="71"/>
      <c r="K46" s="72"/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125" t="s">
        <v>124</v>
      </c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3118670</v>
      </c>
      <c r="H48" s="58" t="s">
        <v>71</v>
      </c>
      <c r="I48" s="3"/>
      <c r="K48" s="47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2081330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300000</v>
      </c>
      <c r="E52" s="79" t="s">
        <v>125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C53*20000</f>
        <v>480000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780000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3"/>
      <c r="H57" s="3"/>
      <c r="I57" s="3"/>
      <c r="K57" s="95"/>
      <c r="L57" s="96"/>
      <c r="M57" s="126"/>
    </row>
    <row r="58" spans="1:14" ht="12.75" customHeight="1" x14ac:dyDescent="0.2">
      <c r="A58" s="3"/>
      <c r="B58" s="3"/>
      <c r="C58" s="3"/>
      <c r="D58" s="42"/>
      <c r="E58" s="4"/>
      <c r="F58" s="3"/>
      <c r="G58" s="3"/>
      <c r="H58" s="3"/>
      <c r="I58" s="3"/>
      <c r="K58" s="98"/>
      <c r="L58" s="78"/>
      <c r="M58" s="78"/>
    </row>
    <row r="59" spans="1:14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/>
      <c r="L59" s="78"/>
      <c r="M59" s="118"/>
      <c r="N59" s="106"/>
    </row>
    <row r="60" spans="1:14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/>
      <c r="L60" s="116"/>
      <c r="M60" s="78"/>
    </row>
    <row r="61" spans="1:14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/>
      <c r="L61" s="118"/>
      <c r="M61" s="118"/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/>
      <c r="L62" s="78"/>
      <c r="M62" s="78"/>
    </row>
    <row r="63" spans="1:14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5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55"/>
  <sheetViews>
    <sheetView topLeftCell="B1" workbookViewId="0"/>
  </sheetViews>
  <sheetFormatPr defaultColWidth="16" defaultRowHeight="15" customHeight="1" x14ac:dyDescent="0.15"/>
  <cols>
    <col min="1" max="1" width="0" style="1" hidden="1" customWidth="1"/>
    <col min="2" max="2" width="41" style="1" customWidth="1"/>
    <col min="3" max="3" width="229.33203125" style="1" customWidth="1"/>
    <col min="4" max="4" width="249" style="1" customWidth="1"/>
    <col min="5" max="5" width="157.5" style="1" customWidth="1"/>
    <col min="6" max="6" width="205.83203125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340000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119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53000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649000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110000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65000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275000</v>
      </c>
      <c r="G13" s="30" t="s">
        <v>21</v>
      </c>
      <c r="H13" s="31">
        <f>SUM(F9,F13)</f>
        <v>924000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1264000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27">
        <v>2000000</v>
      </c>
      <c r="H33" s="58" t="s">
        <v>35</v>
      </c>
      <c r="I33" s="127"/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5800000</v>
      </c>
      <c r="H34" s="61" t="s">
        <v>120</v>
      </c>
      <c r="I34" s="128"/>
      <c r="J34" s="62"/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7800000</v>
      </c>
      <c r="H35" s="129">
        <f>SUM(G35)</f>
        <v>7800000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4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4" ht="12.75" customHeight="1" x14ac:dyDescent="0.15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"/>
    </row>
    <row r="40" spans="1:14" ht="12.75" customHeight="1" x14ac:dyDescent="0.2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47" t="s">
        <v>126</v>
      </c>
      <c r="J40" s="70" t="s">
        <v>127</v>
      </c>
      <c r="K40" s="70"/>
      <c r="L40" s="70"/>
      <c r="M40" s="70"/>
      <c r="N40" s="70"/>
    </row>
    <row r="41" spans="1:14" ht="12.75" customHeight="1" x14ac:dyDescent="0.2">
      <c r="A41" s="47" t="s">
        <v>50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4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4" ht="14.25" customHeight="1" x14ac:dyDescent="0.2">
      <c r="A43" s="47"/>
      <c r="B43" s="3"/>
      <c r="C43" s="3"/>
      <c r="D43" s="3"/>
      <c r="E43" s="3"/>
      <c r="F43" s="3"/>
      <c r="G43" s="64">
        <f>D28</f>
        <v>1264000</v>
      </c>
      <c r="H43" s="58" t="s">
        <v>53</v>
      </c>
      <c r="I43" s="3"/>
    </row>
    <row r="44" spans="1:14" ht="14.25" customHeight="1" x14ac:dyDescent="0.2">
      <c r="A44" s="47"/>
      <c r="B44" s="3"/>
      <c r="C44" s="70" t="s">
        <v>92</v>
      </c>
      <c r="D44" s="70"/>
      <c r="E44" s="3"/>
      <c r="F44" s="3"/>
      <c r="G44" s="64">
        <v>1500000</v>
      </c>
      <c r="H44" s="61" t="s">
        <v>55</v>
      </c>
      <c r="I44" s="3"/>
    </row>
    <row r="45" spans="1:14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1700000</v>
      </c>
      <c r="H45" s="58" t="s">
        <v>58</v>
      </c>
      <c r="I45" s="3"/>
    </row>
    <row r="46" spans="1:14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1400000</v>
      </c>
      <c r="H46" s="61" t="s">
        <v>62</v>
      </c>
      <c r="I46" s="71" t="s">
        <v>123</v>
      </c>
      <c r="J46" s="47"/>
    </row>
    <row r="47" spans="1:14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38" t="s">
        <v>128</v>
      </c>
    </row>
    <row r="48" spans="1:14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5864000</v>
      </c>
      <c r="H48" s="58" t="s">
        <v>71</v>
      </c>
      <c r="I48" s="3"/>
    </row>
    <row r="49" spans="1:10" ht="14.25" customHeight="1" x14ac:dyDescent="0.2">
      <c r="A49" s="3"/>
      <c r="B49" s="3"/>
      <c r="C49" s="3"/>
      <c r="D49" s="3"/>
      <c r="E49" s="3"/>
      <c r="F49" s="3"/>
      <c r="G49" s="64">
        <f>G35-G48</f>
        <v>1936000</v>
      </c>
      <c r="H49" s="61" t="s">
        <v>73</v>
      </c>
      <c r="I49" s="3"/>
    </row>
    <row r="50" spans="1:10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42"/>
      <c r="H50" s="47"/>
      <c r="I50" s="113"/>
    </row>
    <row r="51" spans="1:10" ht="12.75" customHeight="1" x14ac:dyDescent="0.2">
      <c r="A51" s="47"/>
      <c r="B51" s="3"/>
      <c r="C51" s="3"/>
      <c r="D51" s="34">
        <v>500000</v>
      </c>
      <c r="E51" s="7" t="s">
        <v>78</v>
      </c>
      <c r="F51" s="3"/>
      <c r="G51" s="3"/>
      <c r="H51" s="3"/>
      <c r="I51" s="3"/>
    </row>
    <row r="52" spans="1:10" ht="12.75" customHeight="1" x14ac:dyDescent="0.2">
      <c r="A52" s="3"/>
      <c r="B52" s="3"/>
      <c r="C52" s="3"/>
      <c r="D52" s="34">
        <v>300000</v>
      </c>
      <c r="E52" s="79" t="s">
        <v>125</v>
      </c>
      <c r="F52" s="47"/>
      <c r="G52" s="53"/>
      <c r="H52" s="47"/>
      <c r="I52" s="38"/>
      <c r="J52" s="55"/>
    </row>
    <row r="53" spans="1:10" ht="12.75" customHeight="1" x14ac:dyDescent="0.2">
      <c r="A53" s="3"/>
      <c r="B53" s="3"/>
      <c r="C53" s="3">
        <v>30</v>
      </c>
      <c r="D53" s="34">
        <v>900000</v>
      </c>
      <c r="E53" s="7" t="s">
        <v>81</v>
      </c>
      <c r="F53" s="3"/>
      <c r="G53" s="3"/>
      <c r="H53" s="3"/>
      <c r="I53" s="3"/>
    </row>
    <row r="54" spans="1:10" ht="12.75" customHeight="1" x14ac:dyDescent="0.2">
      <c r="A54" s="3"/>
      <c r="B54" s="3"/>
      <c r="C54" s="3"/>
      <c r="D54" s="34">
        <v>0</v>
      </c>
      <c r="E54" s="7" t="s">
        <v>82</v>
      </c>
      <c r="F54" s="3"/>
      <c r="G54" s="82"/>
      <c r="H54" s="3"/>
      <c r="I54" s="3"/>
    </row>
    <row r="55" spans="1:10" ht="12.75" customHeight="1" x14ac:dyDescent="0.2">
      <c r="A55" s="3"/>
      <c r="B55" s="3"/>
      <c r="C55" s="3"/>
      <c r="D55" s="34">
        <f>SUM(D51:D54)</f>
        <v>1700000</v>
      </c>
      <c r="E55" s="7" t="s">
        <v>42</v>
      </c>
      <c r="F55" s="3"/>
      <c r="G55" s="3"/>
      <c r="H55" s="3"/>
      <c r="I55" s="3"/>
    </row>
    <row r="56" spans="1:10" ht="12.75" customHeight="1" x14ac:dyDescent="0.15">
      <c r="A56" s="3"/>
      <c r="B56" s="3"/>
      <c r="C56" s="3"/>
      <c r="D56" s="3"/>
      <c r="E56" s="4"/>
      <c r="F56" s="3"/>
      <c r="G56" s="3"/>
      <c r="H56" s="3"/>
      <c r="I56" s="3"/>
    </row>
    <row r="57" spans="1:10" ht="12.75" customHeight="1" x14ac:dyDescent="0.15">
      <c r="A57" s="47"/>
      <c r="B57" s="3"/>
      <c r="C57" s="3"/>
      <c r="D57" s="3"/>
      <c r="E57" s="4"/>
      <c r="F57" s="3"/>
      <c r="G57" s="3"/>
      <c r="H57" s="3"/>
      <c r="I57" s="3"/>
    </row>
    <row r="58" spans="1:10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10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10" ht="12.75" customHeight="1" x14ac:dyDescent="0.15">
      <c r="A60" s="3"/>
      <c r="B60" s="3"/>
      <c r="C60" s="3"/>
      <c r="D60" s="3"/>
      <c r="E60" s="4"/>
      <c r="F60" s="3"/>
      <c r="G60" s="3"/>
      <c r="H60" s="3"/>
      <c r="I60" s="3"/>
    </row>
    <row r="61" spans="1:10" ht="12.75" customHeight="1" x14ac:dyDescent="0.15">
      <c r="A61" s="3"/>
      <c r="B61" s="3"/>
      <c r="C61" s="3"/>
      <c r="D61" s="3"/>
      <c r="E61" s="4"/>
      <c r="F61" s="3"/>
      <c r="G61" s="3"/>
      <c r="H61" s="3"/>
      <c r="I61" s="3"/>
    </row>
    <row r="62" spans="1:10" ht="12.75" customHeight="1" x14ac:dyDescent="0.15">
      <c r="A62" s="3"/>
      <c r="B62" s="3"/>
      <c r="C62" s="3"/>
      <c r="D62" s="3"/>
      <c r="E62" s="4"/>
      <c r="F62" s="3"/>
      <c r="G62" s="3"/>
      <c r="H62" s="3"/>
      <c r="I62" s="3"/>
    </row>
    <row r="63" spans="1:10" ht="12.75" customHeight="1" x14ac:dyDescent="0.15">
      <c r="A63" s="130"/>
      <c r="B63" s="3"/>
      <c r="C63" s="3"/>
      <c r="D63" s="3"/>
      <c r="E63" s="4"/>
      <c r="F63" s="3"/>
      <c r="G63" s="3"/>
      <c r="H63" s="3"/>
      <c r="I63" s="3"/>
    </row>
    <row r="64" spans="1:10" ht="12.75" customHeight="1" x14ac:dyDescent="0.15">
      <c r="A64" s="130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106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130"/>
      <c r="B66" s="3"/>
      <c r="D66" s="3"/>
      <c r="E66" s="4"/>
      <c r="F66" s="3"/>
      <c r="G66" s="3"/>
      <c r="H66" s="3"/>
      <c r="I66" s="3"/>
    </row>
    <row r="67" spans="1:9" ht="15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131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132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62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/>
    <row r="185" spans="1:9" ht="12.75" customHeight="1" x14ac:dyDescent="0.15"/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270000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65000</v>
      </c>
      <c r="G13" s="30" t="s">
        <v>21</v>
      </c>
      <c r="H13" s="31">
        <f>SUM(F9,F13)</f>
        <v>65000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65000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133" t="s">
        <v>131</v>
      </c>
      <c r="F32" s="134">
        <f>3170000-290000</f>
        <v>2880000</v>
      </c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135" t="s">
        <v>132</v>
      </c>
      <c r="F33" s="136">
        <f>3170000</f>
        <v>3170000</v>
      </c>
      <c r="G33" s="127">
        <v>4059308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137" t="s">
        <v>133</v>
      </c>
      <c r="F34" s="134">
        <f>3170000+290000</f>
        <v>3460000</v>
      </c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2.7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4059308</v>
      </c>
      <c r="H35" s="129">
        <f>SUM(G35)</f>
        <v>4059308</v>
      </c>
      <c r="I35" s="3"/>
    </row>
    <row r="36" spans="1:14" ht="12.7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136</v>
      </c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2.75" customHeight="1" x14ac:dyDescent="0.2">
      <c r="A39" s="47" t="s">
        <v>137</v>
      </c>
      <c r="B39" s="3"/>
      <c r="C39" s="3"/>
      <c r="D39" s="3"/>
      <c r="E39" s="42"/>
      <c r="F39" s="3"/>
      <c r="G39" s="42">
        <v>0</v>
      </c>
      <c r="H39" s="47" t="s">
        <v>138</v>
      </c>
      <c r="I39" s="3"/>
    </row>
    <row r="40" spans="1:14" ht="12.75" customHeight="1" x14ac:dyDescent="0.2">
      <c r="A40" s="47" t="s">
        <v>139</v>
      </c>
      <c r="B40" s="47" t="s">
        <v>140</v>
      </c>
      <c r="C40" s="3"/>
      <c r="D40" s="3"/>
      <c r="E40" s="3"/>
      <c r="F40" s="3"/>
      <c r="G40" s="64">
        <f>D28</f>
        <v>65000</v>
      </c>
      <c r="H40" s="58" t="s">
        <v>53</v>
      </c>
      <c r="I40" s="3"/>
    </row>
    <row r="41" spans="1:14" ht="12.75" customHeight="1" x14ac:dyDescent="0.2">
      <c r="A41" s="47" t="s">
        <v>141</v>
      </c>
      <c r="B41" s="47" t="s">
        <v>142</v>
      </c>
      <c r="C41" s="70" t="s">
        <v>143</v>
      </c>
      <c r="D41" s="70"/>
      <c r="E41" s="3"/>
      <c r="F41" s="3"/>
      <c r="G41" s="64">
        <v>0</v>
      </c>
      <c r="H41" s="61" t="s">
        <v>55</v>
      </c>
      <c r="I41" s="3"/>
    </row>
    <row r="42" spans="1:14" ht="12.75" customHeight="1" x14ac:dyDescent="0.2">
      <c r="A42" s="3"/>
      <c r="B42" s="3"/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2.7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2.7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5"/>
    </row>
    <row r="45" spans="1:14" ht="12.75" customHeight="1" x14ac:dyDescent="0.2">
      <c r="A45" s="3"/>
      <c r="B45" s="3"/>
      <c r="C45" s="3"/>
      <c r="D45" s="3"/>
      <c r="E45" s="3"/>
      <c r="F45" s="63" t="s">
        <v>70</v>
      </c>
      <c r="G45" s="64">
        <f>SUM(G36:G44)</f>
        <v>65000</v>
      </c>
      <c r="H45" s="58" t="s">
        <v>71</v>
      </c>
      <c r="I45" s="3"/>
    </row>
    <row r="46" spans="1:14" ht="12.75" customHeight="1" x14ac:dyDescent="0.2">
      <c r="A46" s="3"/>
      <c r="B46" s="3"/>
      <c r="C46" s="3"/>
      <c r="D46" s="3"/>
      <c r="E46" s="3"/>
      <c r="F46" s="3"/>
      <c r="G46" s="64">
        <f>G35-G45</f>
        <v>3994308</v>
      </c>
      <c r="H46" s="61" t="s">
        <v>73</v>
      </c>
      <c r="I46" s="3"/>
    </row>
    <row r="47" spans="1:14" ht="12.7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42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0" style="1" hidden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270000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65000</v>
      </c>
      <c r="G13" s="30" t="s">
        <v>21</v>
      </c>
      <c r="H13" s="31">
        <f>SUM(F9,F13)</f>
        <v>65000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65000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2.7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2.75" customHeight="1" x14ac:dyDescent="0.2">
      <c r="A33" s="48" t="s">
        <v>33</v>
      </c>
      <c r="B33" s="49">
        <v>100000</v>
      </c>
      <c r="C33" s="3"/>
      <c r="D33" s="3"/>
      <c r="E33" s="55"/>
      <c r="F33" s="53"/>
      <c r="G33" s="64">
        <v>3897114</v>
      </c>
      <c r="H33" s="58" t="s">
        <v>35</v>
      </c>
      <c r="I33" s="127">
        <v>3170000</v>
      </c>
    </row>
    <row r="34" spans="1:14" ht="12.7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2.75" customHeight="1" x14ac:dyDescent="0.2">
      <c r="A35" s="48" t="s">
        <v>40</v>
      </c>
      <c r="B35" s="49">
        <v>120000</v>
      </c>
      <c r="C35" s="3"/>
      <c r="D35" s="3"/>
      <c r="E35" s="3"/>
      <c r="F35" s="3"/>
      <c r="G35" s="64">
        <f>SUM(G33:G34)</f>
        <v>3897114</v>
      </c>
      <c r="H35" s="129">
        <f>SUM(G35)</f>
        <v>3897114</v>
      </c>
      <c r="I35" s="3"/>
    </row>
    <row r="36" spans="1:14" ht="12.7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2.7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138</v>
      </c>
      <c r="I39" s="3"/>
    </row>
    <row r="40" spans="1:14" ht="12.75" customHeight="1" x14ac:dyDescent="0.2">
      <c r="A40" s="47"/>
      <c r="B40" s="3"/>
      <c r="C40" s="3"/>
      <c r="D40" s="3"/>
      <c r="E40" s="3"/>
      <c r="F40" s="3"/>
      <c r="G40" s="64">
        <f>D28</f>
        <v>65000</v>
      </c>
      <c r="H40" s="58" t="s">
        <v>53</v>
      </c>
      <c r="I40" s="3"/>
    </row>
    <row r="41" spans="1:14" ht="12.7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2.7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2.7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2.7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5"/>
    </row>
    <row r="45" spans="1:14" ht="12.7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65000</v>
      </c>
      <c r="H45" s="58" t="s">
        <v>71</v>
      </c>
      <c r="I45" s="3"/>
    </row>
    <row r="46" spans="1:14" ht="12.75" customHeight="1" x14ac:dyDescent="0.2">
      <c r="A46" s="3"/>
      <c r="B46" s="3"/>
      <c r="C46" s="3"/>
      <c r="D46" s="3"/>
      <c r="E46" s="3"/>
      <c r="F46" s="3"/>
      <c r="G46" s="64">
        <f>G35-G45</f>
        <v>3832114</v>
      </c>
      <c r="H46" s="61" t="s">
        <v>73</v>
      </c>
      <c r="I46" s="3"/>
    </row>
    <row r="47" spans="1:14" ht="12.7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65000</v>
      </c>
      <c r="G13" s="30" t="s">
        <v>21</v>
      </c>
      <c r="H13" s="31">
        <f>SUM(F9,F13)</f>
        <v>65000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65000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27">
        <v>561668</v>
      </c>
      <c r="H33" s="61" t="s">
        <v>167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561668</v>
      </c>
      <c r="H35" s="129">
        <f>SUM(G35)</f>
        <v>561668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65000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5"/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65000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496668</v>
      </c>
      <c r="H46" s="61" t="s">
        <v>73</v>
      </c>
      <c r="I46" s="3"/>
    </row>
    <row r="47" spans="1:14" ht="14.2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64">
        <f>G46+240000</f>
        <v>736668</v>
      </c>
      <c r="H47" s="47"/>
      <c r="I47" s="113"/>
    </row>
    <row r="48" spans="1:14" ht="13.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600000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447312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447312</v>
      </c>
      <c r="H35" s="129">
        <f>SUM(G35)</f>
        <v>447312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4" ht="12.75" customHeight="1" x14ac:dyDescent="0.2">
      <c r="A37" s="67" t="s">
        <v>42</v>
      </c>
      <c r="B37" s="68">
        <f>SUM(B30:B36)</f>
        <v>1020000</v>
      </c>
      <c r="C37" s="3"/>
      <c r="D37" s="3"/>
      <c r="E37" s="3"/>
      <c r="F37" s="3"/>
      <c r="G37" s="42"/>
      <c r="H37" s="3"/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5"/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447312</v>
      </c>
      <c r="H46" s="61" t="s">
        <v>73</v>
      </c>
      <c r="I46" s="3"/>
    </row>
    <row r="47" spans="1:14" ht="13.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63" t="s">
        <v>168</v>
      </c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508000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508000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508000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27">
        <v>2098116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2098116</v>
      </c>
      <c r="H35" s="129">
        <f>SUM(G35)</f>
        <v>2098116</v>
      </c>
      <c r="I35" s="42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508000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5"/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SUM(G36:G44)</f>
        <v>508000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1590116</v>
      </c>
      <c r="H46" s="61" t="s">
        <v>73</v>
      </c>
      <c r="I46" s="3"/>
    </row>
    <row r="47" spans="1:14" ht="13.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C50*10000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42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65000</v>
      </c>
      <c r="G13" s="30" t="s">
        <v>21</v>
      </c>
      <c r="H13" s="31">
        <f>SUM(F9,F13)</f>
        <v>65000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65000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27">
        <v>1536703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1536703</v>
      </c>
      <c r="H35" s="129">
        <f>SUM(G35)</f>
        <v>1536703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145">
        <v>0</v>
      </c>
      <c r="H37" s="47" t="s">
        <v>45</v>
      </c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170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65000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2">
        <v>3000000</v>
      </c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SUM(G36:G44)</f>
        <v>65000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1471703</v>
      </c>
      <c r="H46" s="61" t="s">
        <v>73</v>
      </c>
      <c r="I46" s="3"/>
    </row>
    <row r="47" spans="1:14" ht="13.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24.75" customHeight="1" x14ac:dyDescent="0.2">
      <c r="A5" s="9"/>
      <c r="B5" s="20" t="s">
        <v>129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42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42"/>
      <c r="K31" s="42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712032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/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712032</v>
      </c>
      <c r="H35" s="129">
        <f>SUM(G35)</f>
        <v>712032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145">
        <v>0</v>
      </c>
      <c r="H37" s="47" t="s">
        <v>45</v>
      </c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52">
        <v>3000000</v>
      </c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SUM(G36:G44)</f>
        <v>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712032</v>
      </c>
      <c r="H46" s="61" t="s">
        <v>73</v>
      </c>
      <c r="I46" s="3"/>
    </row>
    <row r="47" spans="1:14" ht="13.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C50*15000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70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904433</v>
      </c>
      <c r="H33" s="58" t="s">
        <v>35</v>
      </c>
      <c r="I33" s="127">
        <v>3170000</v>
      </c>
    </row>
    <row r="34" spans="1:14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/>
      <c r="H34" s="61" t="s">
        <v>120</v>
      </c>
      <c r="I34" s="128" t="s">
        <v>134</v>
      </c>
      <c r="J34" s="62" t="s">
        <v>135</v>
      </c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904433</v>
      </c>
      <c r="H35" s="129">
        <f>SUM(G35)</f>
        <v>904433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4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126</v>
      </c>
      <c r="J38" s="70" t="s">
        <v>127</v>
      </c>
      <c r="K38" s="70"/>
      <c r="L38" s="70"/>
      <c r="M38" s="70"/>
      <c r="N38" s="70"/>
    </row>
    <row r="39" spans="1:14" ht="13.5" customHeight="1" x14ac:dyDescent="0.2">
      <c r="A39" s="47" t="s">
        <v>166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4" ht="14.25" customHeight="1" x14ac:dyDescent="0.2">
      <c r="A40" s="47"/>
      <c r="B40" s="3"/>
      <c r="C40" s="3"/>
      <c r="D40" s="3"/>
      <c r="E40" s="3"/>
      <c r="F40" s="3"/>
      <c r="G40" s="64">
        <f>D28</f>
        <v>0</v>
      </c>
      <c r="H40" s="58" t="s">
        <v>53</v>
      </c>
      <c r="I40" s="3"/>
    </row>
    <row r="41" spans="1:14" ht="14.25" customHeight="1" x14ac:dyDescent="0.2">
      <c r="A41" s="47"/>
      <c r="B41" s="3"/>
      <c r="C41" s="70" t="s">
        <v>54</v>
      </c>
      <c r="D41" s="70"/>
      <c r="E41" s="3"/>
      <c r="F41" s="3"/>
      <c r="G41" s="64">
        <v>0</v>
      </c>
      <c r="H41" s="61" t="s">
        <v>55</v>
      </c>
      <c r="I41" s="3"/>
    </row>
    <row r="42" spans="1:14" ht="14.25" customHeight="1" x14ac:dyDescent="0.2">
      <c r="A42" s="47" t="s">
        <v>56</v>
      </c>
      <c r="B42" s="47" t="s">
        <v>57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4" ht="14.25" customHeight="1" x14ac:dyDescent="0.2">
      <c r="A43" s="47" t="s">
        <v>60</v>
      </c>
      <c r="B43" s="59" t="s">
        <v>61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4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146">
        <v>-1000000</v>
      </c>
    </row>
    <row r="45" spans="1:14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0</v>
      </c>
      <c r="H45" s="58" t="s">
        <v>71</v>
      </c>
      <c r="I45" s="3"/>
    </row>
    <row r="46" spans="1:14" ht="14.25" customHeight="1" x14ac:dyDescent="0.2">
      <c r="A46" s="3"/>
      <c r="B46" s="3"/>
      <c r="C46" s="3"/>
      <c r="D46" s="3"/>
      <c r="E46" s="3"/>
      <c r="F46" s="3"/>
      <c r="G46" s="64">
        <f>G35-G45</f>
        <v>904433</v>
      </c>
      <c r="H46" s="61" t="s">
        <v>73</v>
      </c>
      <c r="I46" s="3"/>
    </row>
    <row r="47" spans="1:14" ht="13.5" customHeight="1" x14ac:dyDescent="0.2">
      <c r="A47" s="63" t="s">
        <v>145</v>
      </c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4" ht="12.75" customHeight="1" x14ac:dyDescent="0.2">
      <c r="A48" s="47" t="s">
        <v>146</v>
      </c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63" t="s">
        <v>147</v>
      </c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63" t="s">
        <v>149</v>
      </c>
      <c r="B50" s="3"/>
      <c r="C50" s="3">
        <v>0</v>
      </c>
      <c r="D50" s="34">
        <f>C50*10000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63" t="s">
        <v>150</v>
      </c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63" t="s">
        <v>151</v>
      </c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2">
      <c r="A53" s="63" t="s">
        <v>145</v>
      </c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 t="s">
        <v>152</v>
      </c>
      <c r="B54" s="3"/>
      <c r="C54" s="3"/>
      <c r="D54" s="3"/>
      <c r="E54" s="4"/>
      <c r="F54" s="3"/>
      <c r="G54" s="3"/>
      <c r="H54" s="3"/>
      <c r="I54" s="3"/>
    </row>
    <row r="55" spans="1:9" ht="12.75" customHeight="1" x14ac:dyDescent="0.2">
      <c r="A55" s="63" t="s">
        <v>147</v>
      </c>
      <c r="B55" s="3"/>
      <c r="C55" s="3"/>
      <c r="D55" s="3"/>
      <c r="E55" s="4"/>
      <c r="F55" s="3"/>
      <c r="G55" s="3"/>
      <c r="H55" s="3"/>
      <c r="I55" s="3"/>
    </row>
    <row r="56" spans="1:9" ht="12.75" customHeight="1" x14ac:dyDescent="0.2">
      <c r="A56" s="63" t="s">
        <v>153</v>
      </c>
      <c r="B56" s="3"/>
      <c r="C56" s="3"/>
      <c r="D56" s="3"/>
      <c r="E56" s="4"/>
      <c r="F56" s="3"/>
      <c r="G56" s="3"/>
      <c r="H56" s="3"/>
      <c r="I56" s="3"/>
    </row>
    <row r="57" spans="1:9" ht="12.75" customHeight="1" x14ac:dyDescent="0.2">
      <c r="A57" s="63" t="s">
        <v>150</v>
      </c>
      <c r="B57" s="3"/>
      <c r="C57" s="3"/>
      <c r="D57" s="3"/>
      <c r="E57" s="4"/>
      <c r="F57" s="3"/>
      <c r="G57" s="3"/>
      <c r="H57" s="3"/>
      <c r="I57" s="3"/>
    </row>
    <row r="58" spans="1:9" ht="12.75" customHeight="1" x14ac:dyDescent="0.2">
      <c r="A58" s="63" t="s">
        <v>154</v>
      </c>
      <c r="B58" s="3"/>
      <c r="C58" s="3"/>
      <c r="D58" s="3"/>
      <c r="E58" s="4"/>
      <c r="F58" s="3"/>
      <c r="G58" s="3"/>
      <c r="H58" s="3"/>
      <c r="I58" s="3"/>
    </row>
    <row r="59" spans="1:9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139" t="s">
        <v>155</v>
      </c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2">
      <c r="A61" s="139" t="s">
        <v>156</v>
      </c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2">
      <c r="A62" s="106" t="s">
        <v>157</v>
      </c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2">
      <c r="A63" s="139" t="s">
        <v>145</v>
      </c>
      <c r="B63" s="140" t="s">
        <v>158</v>
      </c>
      <c r="C63" s="104" t="s">
        <v>122</v>
      </c>
      <c r="D63" s="3"/>
      <c r="E63" s="4"/>
      <c r="F63" s="3"/>
      <c r="G63" s="3"/>
      <c r="H63" s="3"/>
      <c r="I63" s="3"/>
    </row>
    <row r="64" spans="1:9" ht="15.75" customHeight="1" x14ac:dyDescent="0.2">
      <c r="A64" s="131" t="s">
        <v>159</v>
      </c>
      <c r="B64" s="140" t="s">
        <v>160</v>
      </c>
      <c r="C64" s="63" t="s">
        <v>161</v>
      </c>
      <c r="D64" s="3"/>
      <c r="E64" s="4"/>
      <c r="F64" s="3"/>
      <c r="G64" s="3"/>
      <c r="H64" s="3"/>
      <c r="I64" s="3"/>
    </row>
    <row r="65" spans="1:9" ht="12.75" customHeight="1" x14ac:dyDescent="0.2">
      <c r="A65" s="131" t="s">
        <v>162</v>
      </c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2">
      <c r="A66" s="141" t="s">
        <v>163</v>
      </c>
      <c r="B66" s="20"/>
      <c r="C66" s="3"/>
      <c r="D66" s="3"/>
      <c r="E66" s="4"/>
      <c r="F66" s="3"/>
      <c r="G66" s="3"/>
      <c r="H66" s="3"/>
      <c r="I66" s="3"/>
    </row>
    <row r="67" spans="1:9" ht="12.75" customHeight="1" x14ac:dyDescent="0.2">
      <c r="A67" s="63" t="s">
        <v>164</v>
      </c>
      <c r="B67" s="142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2">
      <c r="A69" s="62" t="s">
        <v>165</v>
      </c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2">
      <c r="A70" s="63" t="s">
        <v>145</v>
      </c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/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252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0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27">
        <v>215176</v>
      </c>
      <c r="H33" s="58" t="s">
        <v>35</v>
      </c>
      <c r="I33" s="127">
        <v>3170000</v>
      </c>
    </row>
    <row r="34" spans="1:10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/>
      <c r="H34" s="61" t="s">
        <v>120</v>
      </c>
      <c r="I34" s="128" t="s">
        <v>134</v>
      </c>
      <c r="J34" s="62" t="s">
        <v>135</v>
      </c>
    </row>
    <row r="35" spans="1:10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215176</v>
      </c>
      <c r="H35" s="129">
        <f>SUM(G35)</f>
        <v>215176</v>
      </c>
      <c r="I35" s="3"/>
    </row>
    <row r="36" spans="1:10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0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0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121</v>
      </c>
    </row>
    <row r="39" spans="1:10" ht="13.5" customHeight="1" x14ac:dyDescent="0.2">
      <c r="A39" s="47" t="s">
        <v>171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0" ht="14.25" customHeight="1" x14ac:dyDescent="0.2">
      <c r="A40" s="47"/>
      <c r="B40" s="3"/>
      <c r="C40" s="3"/>
      <c r="D40" s="3"/>
      <c r="E40" s="3"/>
      <c r="F40" s="3"/>
      <c r="G40" s="64">
        <f>D28</f>
        <v>0</v>
      </c>
      <c r="H40" s="58" t="s">
        <v>53</v>
      </c>
      <c r="I40" s="3"/>
    </row>
    <row r="41" spans="1:10" ht="14.25" customHeight="1" x14ac:dyDescent="0.2">
      <c r="A41" s="47"/>
      <c r="B41" s="3"/>
      <c r="C41" s="3"/>
      <c r="D41" s="3"/>
      <c r="E41" s="3"/>
      <c r="F41" s="3"/>
      <c r="G41" s="64">
        <v>0</v>
      </c>
      <c r="H41" s="61" t="s">
        <v>55</v>
      </c>
      <c r="I41" s="3"/>
    </row>
    <row r="42" spans="1:10" ht="14.25" customHeight="1" x14ac:dyDescent="0.2">
      <c r="A42" s="47" t="s">
        <v>56</v>
      </c>
      <c r="B42" s="47" t="s">
        <v>93</v>
      </c>
      <c r="C42" s="3"/>
      <c r="D42" s="3"/>
      <c r="E42" s="3"/>
      <c r="F42" s="3"/>
      <c r="G42" s="64">
        <f>D52</f>
        <v>300000</v>
      </c>
      <c r="H42" s="58" t="s">
        <v>58</v>
      </c>
      <c r="I42" s="3"/>
    </row>
    <row r="43" spans="1:10" ht="14.25" customHeight="1" x14ac:dyDescent="0.2">
      <c r="A43" s="47" t="s">
        <v>94</v>
      </c>
      <c r="B43" s="59" t="s">
        <v>95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0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146">
        <v>2000000</v>
      </c>
    </row>
    <row r="45" spans="1:10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300000</v>
      </c>
      <c r="H45" s="58" t="s">
        <v>71</v>
      </c>
      <c r="I45" s="3"/>
    </row>
    <row r="46" spans="1:10" ht="14.25" customHeight="1" x14ac:dyDescent="0.2">
      <c r="A46" s="3"/>
      <c r="B46" s="3"/>
      <c r="C46" s="3"/>
      <c r="D46" s="3"/>
      <c r="E46" s="3"/>
      <c r="F46" s="3"/>
      <c r="G46" s="64">
        <f>G35-G45</f>
        <v>-84824</v>
      </c>
      <c r="H46" s="61" t="s">
        <v>73</v>
      </c>
      <c r="I46" s="3"/>
    </row>
    <row r="47" spans="1:10" ht="13.5" customHeight="1" x14ac:dyDescent="0.2">
      <c r="A47" s="3"/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0" ht="12.75" customHeight="1" x14ac:dyDescent="0.2">
      <c r="A48" s="47"/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3"/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3"/>
      <c r="B50" s="3"/>
      <c r="C50" s="3">
        <v>30</v>
      </c>
      <c r="D50" s="34">
        <v>300000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3"/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3"/>
      <c r="B52" s="3"/>
      <c r="C52" s="3"/>
      <c r="D52" s="34">
        <f>SUM(D48:D51)</f>
        <v>300000</v>
      </c>
      <c r="E52" s="7" t="s">
        <v>42</v>
      </c>
      <c r="F52" s="3"/>
      <c r="G52" s="3"/>
      <c r="H52" s="3"/>
      <c r="I52" s="3"/>
    </row>
    <row r="53" spans="1:9" ht="12.75" customHeight="1" x14ac:dyDescent="0.15">
      <c r="A53" s="3"/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47"/>
      <c r="B54" s="3"/>
      <c r="C54" s="3"/>
      <c r="D54" s="3"/>
      <c r="E54" s="4"/>
      <c r="F54" s="3"/>
      <c r="G54" s="3"/>
      <c r="H54" s="40"/>
      <c r="I54" s="3"/>
    </row>
    <row r="55" spans="1:9" ht="12.75" customHeight="1" x14ac:dyDescent="0.2">
      <c r="A55" s="3"/>
      <c r="B55" s="3"/>
      <c r="C55" s="3"/>
      <c r="D55" s="3"/>
      <c r="E55" s="4"/>
      <c r="F55" s="3"/>
      <c r="G55" s="3"/>
      <c r="H55" s="40"/>
      <c r="I55" s="3"/>
    </row>
    <row r="56" spans="1:9" ht="12.75" customHeight="1" x14ac:dyDescent="0.2">
      <c r="A56" s="3"/>
      <c r="B56" s="3"/>
      <c r="C56" s="3"/>
      <c r="D56" s="3"/>
      <c r="E56" s="4"/>
      <c r="F56" s="3"/>
      <c r="G56" s="3"/>
      <c r="H56" s="40"/>
      <c r="I56" s="3"/>
    </row>
    <row r="57" spans="1:9" ht="12.75" customHeight="1" x14ac:dyDescent="0.2">
      <c r="A57" s="3"/>
      <c r="B57" s="3"/>
      <c r="C57" s="3"/>
      <c r="D57" s="3"/>
      <c r="E57" s="4"/>
      <c r="F57" s="3"/>
      <c r="G57" s="3"/>
      <c r="H57" s="40"/>
      <c r="I57" s="3"/>
    </row>
    <row r="58" spans="1:9" ht="12.75" customHeight="1" x14ac:dyDescent="0.2">
      <c r="A58" s="3"/>
      <c r="B58" s="3"/>
      <c r="C58" s="3"/>
      <c r="D58" s="3"/>
      <c r="E58" s="4"/>
      <c r="F58" s="3"/>
      <c r="G58" s="3"/>
      <c r="H58" s="40"/>
      <c r="I58" s="3"/>
    </row>
    <row r="59" spans="1:9" ht="12.75" customHeight="1" x14ac:dyDescent="0.2">
      <c r="A59" s="3"/>
      <c r="B59" s="3"/>
      <c r="C59" s="3"/>
      <c r="D59" s="3"/>
      <c r="E59" s="4"/>
      <c r="F59" s="3"/>
      <c r="G59" s="3"/>
      <c r="H59" s="40"/>
      <c r="I59" s="3"/>
    </row>
    <row r="60" spans="1:9" ht="12.75" customHeight="1" x14ac:dyDescent="0.2">
      <c r="A60" s="130"/>
      <c r="B60" s="3"/>
      <c r="C60" s="3"/>
      <c r="D60" s="3"/>
      <c r="E60" s="4"/>
      <c r="F60" s="3"/>
      <c r="G60" s="3"/>
      <c r="H60" s="40"/>
      <c r="I60" s="3"/>
    </row>
    <row r="61" spans="1:9" ht="12.75" customHeight="1" x14ac:dyDescent="0.2">
      <c r="A61" s="130"/>
      <c r="B61" s="3"/>
      <c r="C61" s="3"/>
      <c r="D61" s="3"/>
      <c r="E61" s="4"/>
      <c r="F61" s="3"/>
      <c r="G61" s="3"/>
      <c r="H61" s="40"/>
      <c r="I61" s="3"/>
    </row>
    <row r="62" spans="1:9" ht="12.75" customHeight="1" x14ac:dyDescent="0.2">
      <c r="A62" s="106"/>
      <c r="B62" s="3"/>
      <c r="C62" s="3"/>
      <c r="D62" s="3"/>
      <c r="E62" s="4"/>
      <c r="F62" s="3"/>
      <c r="G62" s="3"/>
      <c r="H62" s="40"/>
      <c r="I62" s="3"/>
    </row>
    <row r="63" spans="1:9" ht="12.75" customHeight="1" x14ac:dyDescent="0.2">
      <c r="A63" s="130"/>
      <c r="B63" s="3"/>
      <c r="D63" s="3"/>
      <c r="E63" s="4"/>
      <c r="F63" s="3"/>
      <c r="G63" s="3"/>
      <c r="H63" s="40"/>
      <c r="I63" s="3"/>
    </row>
    <row r="64" spans="1:9" ht="15.75" customHeight="1" x14ac:dyDescent="0.2">
      <c r="A64" s="131"/>
      <c r="B64" s="3"/>
      <c r="C64" s="3"/>
      <c r="D64" s="3"/>
      <c r="E64" s="4"/>
      <c r="F64" s="3"/>
      <c r="G64" s="3"/>
      <c r="H64" s="40"/>
      <c r="I64" s="3"/>
    </row>
    <row r="65" spans="1:9" ht="12.75" customHeight="1" x14ac:dyDescent="0.15">
      <c r="A65" s="131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132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62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/>
    <row r="182" spans="1:9" ht="12.75" customHeight="1" x14ac:dyDescent="0.15"/>
    <row r="183" spans="1:9" ht="12.75" customHeight="1" x14ac:dyDescent="0.15"/>
    <row r="184" spans="1:9" ht="12.75" customHeight="1" x14ac:dyDescent="0.15"/>
    <row r="185" spans="1:9" ht="12.75" customHeight="1" x14ac:dyDescent="0.15"/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252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42"/>
    </row>
    <row r="33" spans="1:10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1868272</v>
      </c>
      <c r="H33" s="58" t="s">
        <v>35</v>
      </c>
      <c r="I33" s="127">
        <v>3170000</v>
      </c>
    </row>
    <row r="34" spans="1:10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4"/>
      <c r="H34" s="61" t="s">
        <v>120</v>
      </c>
      <c r="I34" s="128"/>
      <c r="J34" s="62"/>
    </row>
    <row r="35" spans="1:10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1868272</v>
      </c>
      <c r="H35" s="129">
        <f>SUM(G35)</f>
        <v>1868272</v>
      </c>
      <c r="I35" s="3"/>
    </row>
    <row r="36" spans="1:10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0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0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121</v>
      </c>
    </row>
    <row r="39" spans="1:10" ht="13.5" customHeight="1" x14ac:dyDescent="0.2">
      <c r="A39" s="47" t="s">
        <v>171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0" ht="14.25" customHeight="1" x14ac:dyDescent="0.2">
      <c r="A40" s="47"/>
      <c r="B40" s="3"/>
      <c r="C40" s="3"/>
      <c r="D40" s="3"/>
      <c r="E40" s="3"/>
      <c r="F40" s="3"/>
      <c r="G40" s="64">
        <f>D28</f>
        <v>0</v>
      </c>
      <c r="H40" s="58" t="s">
        <v>53</v>
      </c>
      <c r="I40" s="3"/>
    </row>
    <row r="41" spans="1:10" ht="14.25" customHeight="1" x14ac:dyDescent="0.2">
      <c r="A41" s="47"/>
      <c r="B41" s="3"/>
      <c r="C41" s="3"/>
      <c r="D41" s="3"/>
      <c r="E41" s="3"/>
      <c r="F41" s="3"/>
      <c r="G41" s="64">
        <v>0</v>
      </c>
      <c r="H41" s="61" t="s">
        <v>55</v>
      </c>
      <c r="I41" s="3"/>
    </row>
    <row r="42" spans="1:10" ht="14.25" customHeight="1" x14ac:dyDescent="0.2">
      <c r="A42" s="47" t="s">
        <v>56</v>
      </c>
      <c r="B42" s="47" t="s">
        <v>93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0" ht="14.25" customHeight="1" x14ac:dyDescent="0.2">
      <c r="A43" s="47" t="s">
        <v>94</v>
      </c>
      <c r="B43" s="59" t="s">
        <v>95</v>
      </c>
      <c r="C43" s="3"/>
      <c r="D43" s="3"/>
      <c r="E43" s="3"/>
      <c r="F43" s="3"/>
      <c r="G43" s="64">
        <v>0</v>
      </c>
      <c r="H43" s="61" t="s">
        <v>62</v>
      </c>
      <c r="I43" s="138"/>
      <c r="J43" s="47"/>
    </row>
    <row r="44" spans="1:10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146">
        <v>2000000</v>
      </c>
      <c r="J44" s="47" t="s">
        <v>172</v>
      </c>
    </row>
    <row r="45" spans="1:10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0</v>
      </c>
      <c r="H45" s="58" t="s">
        <v>71</v>
      </c>
      <c r="I45" s="3"/>
    </row>
    <row r="46" spans="1:10" ht="14.25" customHeight="1" x14ac:dyDescent="0.2">
      <c r="A46" s="3"/>
      <c r="B46" s="3"/>
      <c r="C46" s="3"/>
      <c r="D46" s="3"/>
      <c r="E46" s="3"/>
      <c r="F46" s="3"/>
      <c r="G46" s="64">
        <f>G35-G45</f>
        <v>1868272</v>
      </c>
      <c r="H46" s="61" t="s">
        <v>73</v>
      </c>
      <c r="I46" s="3"/>
    </row>
    <row r="47" spans="1:10" ht="13.5" customHeight="1" x14ac:dyDescent="0.2">
      <c r="A47" s="3"/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0" ht="12.75" customHeight="1" x14ac:dyDescent="0.2">
      <c r="A48" s="3"/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3"/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3"/>
      <c r="B50" s="3"/>
      <c r="C50" s="3">
        <v>0</v>
      </c>
      <c r="D50" s="34">
        <f>C50*20000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3"/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3"/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15">
      <c r="A53" s="3"/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3"/>
      <c r="B54" s="3"/>
      <c r="C54" s="3"/>
      <c r="D54" s="3"/>
      <c r="E54" s="4"/>
      <c r="F54" s="3"/>
      <c r="G54" s="3"/>
      <c r="H54" s="40"/>
      <c r="I54" s="3"/>
    </row>
    <row r="55" spans="1:9" ht="12.75" customHeight="1" x14ac:dyDescent="0.2">
      <c r="A55" s="3"/>
      <c r="B55" s="3"/>
      <c r="C55" s="3"/>
      <c r="D55" s="3"/>
      <c r="E55" s="4"/>
      <c r="F55" s="3"/>
      <c r="G55" s="3"/>
      <c r="H55" s="40"/>
      <c r="I55" s="3"/>
    </row>
    <row r="56" spans="1:9" ht="12.75" customHeight="1" x14ac:dyDescent="0.2">
      <c r="A56" s="3"/>
      <c r="B56" s="3"/>
      <c r="C56" s="3"/>
      <c r="D56" s="3"/>
      <c r="E56" s="4"/>
      <c r="F56" s="3"/>
      <c r="G56" s="3"/>
      <c r="H56" s="40"/>
      <c r="I56" s="3"/>
    </row>
    <row r="57" spans="1:9" ht="12.75" customHeight="1" x14ac:dyDescent="0.2">
      <c r="A57" s="3"/>
      <c r="B57" s="3"/>
      <c r="C57" s="3"/>
      <c r="D57" s="3"/>
      <c r="E57" s="4"/>
      <c r="F57" s="3"/>
      <c r="G57" s="3"/>
      <c r="H57" s="40"/>
      <c r="I57" s="3"/>
    </row>
    <row r="58" spans="1:9" ht="12.75" customHeight="1" x14ac:dyDescent="0.2">
      <c r="A58" s="3"/>
      <c r="B58" s="3"/>
      <c r="C58" s="3"/>
      <c r="D58" s="3"/>
      <c r="E58" s="4"/>
      <c r="F58" s="3"/>
      <c r="G58" s="3"/>
      <c r="H58" s="40"/>
      <c r="I58" s="3"/>
    </row>
    <row r="59" spans="1:9" ht="12.75" customHeight="1" x14ac:dyDescent="0.2">
      <c r="A59" s="3"/>
      <c r="B59" s="3"/>
      <c r="C59" s="3"/>
      <c r="D59" s="3"/>
      <c r="E59" s="4"/>
      <c r="F59" s="3"/>
      <c r="G59" s="3"/>
      <c r="H59" s="40"/>
      <c r="I59" s="3"/>
    </row>
    <row r="60" spans="1:9" ht="12.75" customHeight="1" x14ac:dyDescent="0.2">
      <c r="A60" s="3"/>
      <c r="B60" s="3"/>
      <c r="C60" s="3"/>
      <c r="D60" s="3"/>
      <c r="E60" s="4"/>
      <c r="F60" s="3"/>
      <c r="G60" s="3"/>
      <c r="H60" s="40"/>
      <c r="I60" s="3"/>
    </row>
    <row r="61" spans="1:9" ht="12.75" customHeight="1" x14ac:dyDescent="0.2">
      <c r="A61" s="3"/>
      <c r="B61" s="3"/>
      <c r="C61" s="3"/>
      <c r="D61" s="3"/>
      <c r="E61" s="4"/>
      <c r="F61" s="3"/>
      <c r="G61" s="3"/>
      <c r="H61" s="40"/>
      <c r="I61" s="3"/>
    </row>
    <row r="62" spans="1:9" ht="12.75" customHeight="1" x14ac:dyDescent="0.2">
      <c r="A62" s="3"/>
      <c r="B62" s="3"/>
      <c r="C62" s="3"/>
      <c r="D62" s="3"/>
      <c r="E62" s="4"/>
      <c r="F62" s="3"/>
      <c r="G62" s="3"/>
      <c r="H62" s="40"/>
      <c r="I62" s="3"/>
    </row>
    <row r="63" spans="1:9" ht="12.75" customHeight="1" x14ac:dyDescent="0.2">
      <c r="A63" s="3"/>
      <c r="B63" s="3"/>
      <c r="C63" s="3"/>
      <c r="D63" s="3"/>
      <c r="E63" s="4"/>
      <c r="F63" s="3"/>
      <c r="G63" s="3"/>
      <c r="H63" s="40"/>
      <c r="I63" s="3"/>
    </row>
    <row r="64" spans="1:9" ht="15.75" customHeight="1" x14ac:dyDescent="0.2">
      <c r="A64" s="3"/>
      <c r="B64" s="3"/>
      <c r="C64" s="3"/>
      <c r="D64" s="3"/>
      <c r="E64" s="4"/>
      <c r="F64" s="3"/>
      <c r="G64" s="3"/>
      <c r="H64" s="40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/>
    <row r="182" spans="1:9" ht="12.75" customHeight="1" x14ac:dyDescent="0.15"/>
    <row r="183" spans="1:9" ht="12.75" customHeight="1" x14ac:dyDescent="0.15"/>
    <row r="184" spans="1:9" ht="12.75" customHeight="1" x14ac:dyDescent="0.15"/>
    <row r="185" spans="1:9" ht="12.75" customHeight="1" x14ac:dyDescent="0.15"/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52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98.3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65000</v>
      </c>
      <c r="G13" s="30" t="s">
        <v>21</v>
      </c>
      <c r="H13" s="31">
        <f>SUM(F9,F13)</f>
        <v>65000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65000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0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1637855</v>
      </c>
      <c r="H33" s="58" t="s">
        <v>35</v>
      </c>
      <c r="I33" s="127">
        <v>3170000</v>
      </c>
    </row>
    <row r="34" spans="1:10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/>
      <c r="H34" s="61" t="s">
        <v>120</v>
      </c>
      <c r="I34" s="128"/>
      <c r="J34" s="62"/>
    </row>
    <row r="35" spans="1:10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1637855</v>
      </c>
      <c r="H35" s="129">
        <f>SUM(G35)</f>
        <v>1637855</v>
      </c>
      <c r="I35" s="3"/>
    </row>
    <row r="36" spans="1:10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3"/>
    </row>
    <row r="37" spans="1:10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0" ht="24.75" customHeight="1" x14ac:dyDescent="0.2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47" t="s">
        <v>121</v>
      </c>
    </row>
    <row r="39" spans="1:10" ht="13.5" customHeight="1" x14ac:dyDescent="0.2">
      <c r="A39" s="47" t="s">
        <v>171</v>
      </c>
      <c r="B39" s="3"/>
      <c r="C39" s="3"/>
      <c r="D39" s="3"/>
      <c r="E39" s="42"/>
      <c r="F39" s="3"/>
      <c r="G39" s="42">
        <v>0</v>
      </c>
      <c r="H39" s="47" t="s">
        <v>51</v>
      </c>
      <c r="I39" s="3"/>
    </row>
    <row r="40" spans="1:10" ht="14.25" customHeight="1" x14ac:dyDescent="0.2">
      <c r="A40" s="47"/>
      <c r="B40" s="3"/>
      <c r="C40" s="3"/>
      <c r="D40" s="3"/>
      <c r="E40" s="3"/>
      <c r="F40" s="3"/>
      <c r="G40" s="64">
        <f>D28</f>
        <v>65000</v>
      </c>
      <c r="H40" s="58" t="s">
        <v>53</v>
      </c>
      <c r="I40" s="3"/>
    </row>
    <row r="41" spans="1:10" ht="14.25" customHeight="1" x14ac:dyDescent="0.2">
      <c r="A41" s="47"/>
      <c r="B41" s="3"/>
      <c r="C41" s="3"/>
      <c r="D41" s="3"/>
      <c r="E41" s="3"/>
      <c r="F41" s="3"/>
      <c r="G41" s="64">
        <v>0</v>
      </c>
      <c r="H41" s="61" t="s">
        <v>55</v>
      </c>
      <c r="I41" s="3"/>
    </row>
    <row r="42" spans="1:10" ht="14.25" customHeight="1" x14ac:dyDescent="0.2">
      <c r="A42" s="47" t="s">
        <v>56</v>
      </c>
      <c r="B42" s="47" t="s">
        <v>93</v>
      </c>
      <c r="C42" s="3"/>
      <c r="D42" s="3"/>
      <c r="E42" s="3"/>
      <c r="F42" s="3"/>
      <c r="G42" s="64">
        <f>D52</f>
        <v>0</v>
      </c>
      <c r="H42" s="58" t="s">
        <v>58</v>
      </c>
      <c r="I42" s="3"/>
    </row>
    <row r="43" spans="1:10" ht="14.25" customHeight="1" x14ac:dyDescent="0.2">
      <c r="A43" s="47" t="s">
        <v>94</v>
      </c>
      <c r="B43" s="59" t="s">
        <v>95</v>
      </c>
      <c r="C43" s="3"/>
      <c r="D43" s="3"/>
      <c r="E43" s="3"/>
      <c r="F43" s="3"/>
      <c r="G43" s="64">
        <v>0</v>
      </c>
      <c r="H43" s="61" t="s">
        <v>62</v>
      </c>
      <c r="I43" s="146"/>
      <c r="J43" s="47"/>
    </row>
    <row r="44" spans="1:10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/>
      <c r="H44" s="61" t="s">
        <v>144</v>
      </c>
      <c r="I44" s="146">
        <v>3000000</v>
      </c>
      <c r="J44" s="47" t="s">
        <v>172</v>
      </c>
    </row>
    <row r="45" spans="1:10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65000</v>
      </c>
      <c r="H45" s="58" t="s">
        <v>71</v>
      </c>
      <c r="I45" s="3"/>
    </row>
    <row r="46" spans="1:10" ht="14.25" customHeight="1" x14ac:dyDescent="0.2">
      <c r="A46" s="3"/>
      <c r="B46" s="3"/>
      <c r="C46" s="3"/>
      <c r="D46" s="3"/>
      <c r="E46" s="3"/>
      <c r="F46" s="3"/>
      <c r="G46" s="64">
        <f>G35-G45</f>
        <v>1572855</v>
      </c>
      <c r="H46" s="61" t="s">
        <v>73</v>
      </c>
      <c r="I46" s="3"/>
    </row>
    <row r="47" spans="1:10" ht="13.5" customHeight="1" x14ac:dyDescent="0.2">
      <c r="A47" s="3"/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0" ht="12.75" customHeight="1" x14ac:dyDescent="0.2">
      <c r="A48" s="3"/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3"/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3"/>
      <c r="B50" s="3"/>
      <c r="C50" s="3">
        <v>0</v>
      </c>
      <c r="D50" s="34">
        <f>C50*20000</f>
        <v>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3"/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3"/>
      <c r="B52" s="3"/>
      <c r="C52" s="3"/>
      <c r="D52" s="34">
        <f>SUM(D48:D51)</f>
        <v>0</v>
      </c>
      <c r="E52" s="7" t="s">
        <v>42</v>
      </c>
      <c r="F52" s="3"/>
      <c r="G52" s="3"/>
      <c r="H52" s="3"/>
      <c r="I52" s="3"/>
    </row>
    <row r="53" spans="1:9" ht="12.75" customHeight="1" x14ac:dyDescent="0.15">
      <c r="A53" s="3"/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3"/>
      <c r="B54" s="3"/>
      <c r="C54" s="3"/>
      <c r="D54" s="3"/>
      <c r="E54" s="4"/>
      <c r="F54" s="3"/>
      <c r="G54" s="3"/>
      <c r="H54" s="40"/>
      <c r="I54" s="3"/>
    </row>
    <row r="55" spans="1:9" ht="12.75" customHeight="1" x14ac:dyDescent="0.2">
      <c r="A55" s="3"/>
      <c r="B55" s="3"/>
      <c r="C55" s="3"/>
      <c r="D55" s="3"/>
      <c r="E55" s="4"/>
      <c r="F55" s="3"/>
      <c r="G55" s="3"/>
      <c r="H55" s="40"/>
      <c r="I55" s="3"/>
    </row>
    <row r="56" spans="1:9" ht="12.75" customHeight="1" x14ac:dyDescent="0.2">
      <c r="A56" s="3"/>
      <c r="B56" s="3"/>
      <c r="C56" s="3"/>
      <c r="D56" s="3"/>
      <c r="E56" s="4"/>
      <c r="F56" s="3"/>
      <c r="G56" s="3"/>
      <c r="H56" s="40"/>
      <c r="I56" s="3"/>
    </row>
    <row r="57" spans="1:9" ht="12.75" customHeight="1" x14ac:dyDescent="0.2">
      <c r="A57" s="3"/>
      <c r="B57" s="3"/>
      <c r="C57" s="3"/>
      <c r="D57" s="3"/>
      <c r="E57" s="4"/>
      <c r="F57" s="3"/>
      <c r="G57" s="3"/>
      <c r="H57" s="40"/>
      <c r="I57" s="3"/>
    </row>
    <row r="58" spans="1:9" ht="12.75" customHeight="1" x14ac:dyDescent="0.2">
      <c r="A58" s="3"/>
      <c r="B58" s="3"/>
      <c r="C58" s="3"/>
      <c r="D58" s="3"/>
      <c r="E58" s="4"/>
      <c r="F58" s="3"/>
      <c r="G58" s="3"/>
      <c r="H58" s="40"/>
      <c r="I58" s="3"/>
    </row>
    <row r="59" spans="1:9" ht="12.75" customHeight="1" x14ac:dyDescent="0.2">
      <c r="A59" s="3"/>
      <c r="B59" s="3"/>
      <c r="C59" s="3"/>
      <c r="D59" s="3"/>
      <c r="E59" s="4"/>
      <c r="F59" s="3"/>
      <c r="G59" s="3"/>
      <c r="H59" s="40"/>
      <c r="I59" s="3"/>
    </row>
    <row r="60" spans="1:9" ht="12.75" customHeight="1" x14ac:dyDescent="0.2">
      <c r="A60" s="3"/>
      <c r="B60" s="3"/>
      <c r="C60" s="3"/>
      <c r="D60" s="3"/>
      <c r="E60" s="4"/>
      <c r="F60" s="3"/>
      <c r="G60" s="3"/>
      <c r="H60" s="40"/>
      <c r="I60" s="3"/>
    </row>
    <row r="61" spans="1:9" ht="12.75" customHeight="1" x14ac:dyDescent="0.2">
      <c r="A61" s="3"/>
      <c r="B61" s="3"/>
      <c r="C61" s="3"/>
      <c r="D61" s="3"/>
      <c r="E61" s="4"/>
      <c r="F61" s="3"/>
      <c r="G61" s="3"/>
      <c r="H61" s="40"/>
      <c r="I61" s="3"/>
    </row>
    <row r="62" spans="1:9" ht="12.75" customHeight="1" x14ac:dyDescent="0.2">
      <c r="A62" s="3"/>
      <c r="B62" s="3"/>
      <c r="C62" s="3"/>
      <c r="D62" s="3"/>
      <c r="E62" s="4"/>
      <c r="F62" s="3"/>
      <c r="G62" s="3"/>
      <c r="H62" s="40"/>
      <c r="I62" s="3"/>
    </row>
    <row r="63" spans="1:9" ht="12.75" customHeight="1" x14ac:dyDescent="0.2">
      <c r="A63" s="3"/>
      <c r="B63" s="3"/>
      <c r="C63" s="3"/>
      <c r="D63" s="3"/>
      <c r="E63" s="4"/>
      <c r="F63" s="3"/>
      <c r="G63" s="3"/>
      <c r="H63" s="40"/>
      <c r="I63" s="3"/>
    </row>
    <row r="64" spans="1:9" ht="15.75" customHeight="1" x14ac:dyDescent="0.2">
      <c r="A64" s="3"/>
      <c r="B64" s="3"/>
      <c r="C64" s="3"/>
      <c r="D64" s="3"/>
      <c r="E64" s="4"/>
      <c r="F64" s="3"/>
      <c r="G64" s="3"/>
      <c r="H64" s="40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/>
    <row r="182" spans="1:9" ht="12.75" customHeight="1" x14ac:dyDescent="0.15"/>
    <row r="183" spans="1:9" ht="12.75" customHeight="1" x14ac:dyDescent="0.15"/>
    <row r="184" spans="1:9" ht="12.75" customHeight="1" x14ac:dyDescent="0.15"/>
    <row r="185" spans="1:9" ht="12.75" customHeight="1" x14ac:dyDescent="0.15"/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252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130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120000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</row>
    <row r="33" spans="1:10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3">
        <v>31939</v>
      </c>
      <c r="H33" s="58" t="s">
        <v>35</v>
      </c>
      <c r="I33" s="127">
        <v>3170000</v>
      </c>
    </row>
    <row r="34" spans="1:10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/>
      <c r="H34" s="61" t="s">
        <v>120</v>
      </c>
      <c r="I34" s="128"/>
      <c r="J34" s="62"/>
    </row>
    <row r="35" spans="1:10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31939</v>
      </c>
      <c r="H35" s="147"/>
      <c r="I35" s="127" t="s">
        <v>173</v>
      </c>
    </row>
    <row r="36" spans="1:10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3"/>
      <c r="H36" s="3"/>
      <c r="I36" s="63" t="s">
        <v>174</v>
      </c>
    </row>
    <row r="37" spans="1:10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/>
      <c r="H37" s="3"/>
      <c r="I37" s="3"/>
    </row>
    <row r="38" spans="1:10" ht="12" customHeight="1" x14ac:dyDescent="0.15">
      <c r="A38" s="3"/>
      <c r="B38" s="3"/>
      <c r="C38" s="3"/>
      <c r="D38" s="3"/>
      <c r="E38" s="42"/>
      <c r="F38" s="3"/>
      <c r="G38" s="42">
        <v>0</v>
      </c>
      <c r="H38" s="47" t="s">
        <v>49</v>
      </c>
      <c r="I38" s="3"/>
    </row>
    <row r="39" spans="1:10" ht="13.5" customHeight="1" x14ac:dyDescent="0.2">
      <c r="A39" s="47" t="s">
        <v>171</v>
      </c>
      <c r="B39" s="3"/>
      <c r="C39" s="3"/>
      <c r="D39" s="3"/>
      <c r="E39" s="42"/>
      <c r="F39" s="3"/>
      <c r="G39" s="11">
        <v>0</v>
      </c>
      <c r="H39" s="47" t="s">
        <v>51</v>
      </c>
      <c r="I39" s="3"/>
    </row>
    <row r="40" spans="1:10" ht="14.25" customHeight="1" x14ac:dyDescent="0.2">
      <c r="A40" s="47"/>
      <c r="B40" s="3"/>
      <c r="C40" s="3"/>
      <c r="D40" s="3"/>
      <c r="E40" s="42"/>
      <c r="F40" s="3"/>
      <c r="G40" s="64">
        <f>D28</f>
        <v>0</v>
      </c>
      <c r="H40" s="58" t="s">
        <v>53</v>
      </c>
      <c r="I40" s="3"/>
    </row>
    <row r="41" spans="1:10" ht="14.25" customHeight="1" x14ac:dyDescent="0.2">
      <c r="A41" s="47"/>
      <c r="B41" s="3"/>
      <c r="C41" s="3"/>
      <c r="D41" s="3"/>
      <c r="E41" s="3"/>
      <c r="F41" s="3"/>
      <c r="G41" s="64">
        <v>0</v>
      </c>
      <c r="H41" s="61" t="s">
        <v>55</v>
      </c>
      <c r="I41" s="3"/>
    </row>
    <row r="42" spans="1:10" ht="14.25" customHeight="1" x14ac:dyDescent="0.2">
      <c r="A42" s="47" t="s">
        <v>56</v>
      </c>
      <c r="B42" s="47" t="s">
        <v>93</v>
      </c>
      <c r="C42" s="3"/>
      <c r="D42" s="3"/>
      <c r="E42" s="3"/>
      <c r="F42" s="3"/>
      <c r="G42" s="64">
        <f>D52</f>
        <v>60000</v>
      </c>
      <c r="H42" s="58" t="s">
        <v>58</v>
      </c>
      <c r="I42" s="3"/>
    </row>
    <row r="43" spans="1:10" ht="14.25" customHeight="1" x14ac:dyDescent="0.2">
      <c r="A43" s="47" t="s">
        <v>94</v>
      </c>
      <c r="B43" s="59" t="s">
        <v>95</v>
      </c>
      <c r="C43" s="3"/>
      <c r="D43" s="3"/>
      <c r="E43" s="3"/>
      <c r="F43" s="3"/>
      <c r="G43" s="64">
        <v>0</v>
      </c>
      <c r="H43" s="61" t="s">
        <v>62</v>
      </c>
      <c r="I43" s="146"/>
      <c r="J43" s="47"/>
    </row>
    <row r="44" spans="1:10" ht="14.25" customHeight="1" x14ac:dyDescent="0.2">
      <c r="A44" s="47" t="s">
        <v>96</v>
      </c>
      <c r="B44" s="59" t="s">
        <v>97</v>
      </c>
      <c r="C44" s="3"/>
      <c r="D44" s="3"/>
      <c r="E44" s="3"/>
      <c r="F44" s="42"/>
      <c r="G44" s="64">
        <v>0</v>
      </c>
      <c r="H44" s="61" t="s">
        <v>144</v>
      </c>
      <c r="I44" s="146">
        <v>5000000</v>
      </c>
      <c r="J44" s="47" t="s">
        <v>172</v>
      </c>
    </row>
    <row r="45" spans="1:10" ht="14.25" customHeight="1" x14ac:dyDescent="0.2">
      <c r="A45" s="47" t="s">
        <v>98</v>
      </c>
      <c r="B45" s="59" t="s">
        <v>99</v>
      </c>
      <c r="C45" s="3"/>
      <c r="D45" s="3"/>
      <c r="E45" s="3"/>
      <c r="F45" s="63" t="s">
        <v>70</v>
      </c>
      <c r="G45" s="64">
        <f>SUM(G38:G44)</f>
        <v>60000</v>
      </c>
      <c r="H45" s="58" t="s">
        <v>71</v>
      </c>
      <c r="I45" s="3"/>
    </row>
    <row r="46" spans="1:10" ht="14.25" customHeight="1" x14ac:dyDescent="0.2">
      <c r="A46" s="3"/>
      <c r="B46" s="3"/>
      <c r="C46" s="3"/>
      <c r="D46" s="3"/>
      <c r="E46" s="3"/>
      <c r="F46" s="3"/>
      <c r="G46" s="64">
        <f>G35-G45</f>
        <v>-28061</v>
      </c>
      <c r="H46" s="61" t="s">
        <v>73</v>
      </c>
      <c r="I46" s="3"/>
    </row>
    <row r="47" spans="1:10" ht="13.5" customHeight="1" x14ac:dyDescent="0.2">
      <c r="A47" s="3"/>
      <c r="B47" s="3"/>
      <c r="C47" s="3"/>
      <c r="D47" s="354" t="s">
        <v>75</v>
      </c>
      <c r="E47" s="354"/>
      <c r="F47" s="63" t="s">
        <v>76</v>
      </c>
      <c r="G47" s="42"/>
      <c r="H47" s="47"/>
      <c r="I47" s="113"/>
    </row>
    <row r="48" spans="1:10" ht="12.75" customHeight="1" x14ac:dyDescent="0.2">
      <c r="A48" s="3"/>
      <c r="B48" s="3"/>
      <c r="C48" s="3"/>
      <c r="D48" s="34">
        <v>0</v>
      </c>
      <c r="E48" s="7" t="s">
        <v>78</v>
      </c>
      <c r="F48" s="3"/>
      <c r="G48" s="3"/>
      <c r="H48" s="3"/>
      <c r="I48" s="3"/>
    </row>
    <row r="49" spans="1:9" ht="12.75" customHeight="1" x14ac:dyDescent="0.2">
      <c r="A49" s="3"/>
      <c r="B49" s="3"/>
      <c r="C49" s="3"/>
      <c r="D49" s="34">
        <v>0</v>
      </c>
      <c r="E49" s="79" t="s">
        <v>125</v>
      </c>
      <c r="F49" s="47" t="s">
        <v>148</v>
      </c>
      <c r="G49" s="3"/>
      <c r="H49" s="3"/>
      <c r="I49" s="3"/>
    </row>
    <row r="50" spans="1:9" ht="12.75" customHeight="1" x14ac:dyDescent="0.2">
      <c r="A50" s="3"/>
      <c r="B50" s="3"/>
      <c r="C50" s="3">
        <v>2</v>
      </c>
      <c r="D50" s="34">
        <f>C50*30000</f>
        <v>60000</v>
      </c>
      <c r="E50" s="7" t="s">
        <v>81</v>
      </c>
      <c r="F50" s="3"/>
      <c r="G50" s="3"/>
      <c r="H50" s="3"/>
      <c r="I50" s="3"/>
    </row>
    <row r="51" spans="1:9" ht="12.75" customHeight="1" x14ac:dyDescent="0.2">
      <c r="A51" s="3"/>
      <c r="B51" s="3"/>
      <c r="C51" s="3"/>
      <c r="D51" s="34">
        <v>0</v>
      </c>
      <c r="E51" s="7" t="s">
        <v>82</v>
      </c>
      <c r="F51" s="3"/>
      <c r="G51" s="82"/>
      <c r="H51" s="3"/>
      <c r="I51" s="3"/>
    </row>
    <row r="52" spans="1:9" ht="12.75" customHeight="1" x14ac:dyDescent="0.2">
      <c r="A52" s="3"/>
      <c r="B52" s="3"/>
      <c r="C52" s="3"/>
      <c r="D52" s="34">
        <f>SUM(D48:D51)</f>
        <v>60000</v>
      </c>
      <c r="E52" s="7" t="s">
        <v>42</v>
      </c>
      <c r="F52" s="3"/>
      <c r="G52" s="3"/>
      <c r="H52" s="3"/>
      <c r="I52" s="3"/>
    </row>
    <row r="53" spans="1:9" ht="12.75" customHeight="1" x14ac:dyDescent="0.15">
      <c r="A53" s="3"/>
      <c r="B53" s="3"/>
      <c r="C53" s="3"/>
      <c r="D53" s="3"/>
      <c r="E53" s="4"/>
      <c r="F53" s="3"/>
      <c r="G53" s="3"/>
      <c r="H53" s="3"/>
      <c r="I53" s="3"/>
    </row>
    <row r="54" spans="1:9" ht="12.75" customHeight="1" x14ac:dyDescent="0.2">
      <c r="A54" s="3"/>
      <c r="B54" s="3"/>
      <c r="C54" s="3"/>
      <c r="D54" s="3"/>
      <c r="E54" s="4"/>
      <c r="F54" s="3"/>
      <c r="G54" s="3"/>
      <c r="H54" s="40"/>
      <c r="I54" s="3"/>
    </row>
    <row r="55" spans="1:9" ht="12.75" customHeight="1" x14ac:dyDescent="0.2">
      <c r="A55" s="3"/>
      <c r="B55" s="3"/>
      <c r="C55" s="3"/>
      <c r="D55" s="3"/>
      <c r="E55" s="4"/>
      <c r="F55" s="3"/>
      <c r="G55" s="3"/>
      <c r="H55" s="40"/>
      <c r="I55" s="3"/>
    </row>
    <row r="56" spans="1:9" ht="12.75" customHeight="1" x14ac:dyDescent="0.2">
      <c r="A56" s="3"/>
      <c r="B56" s="3"/>
      <c r="C56" s="3"/>
      <c r="D56" s="3"/>
      <c r="E56" s="4"/>
      <c r="F56" s="3"/>
      <c r="G56" s="3"/>
      <c r="H56" s="40"/>
      <c r="I56" s="3"/>
    </row>
    <row r="57" spans="1:9" ht="12.75" customHeight="1" x14ac:dyDescent="0.2">
      <c r="A57" s="3"/>
      <c r="B57" s="3"/>
      <c r="C57" s="3"/>
      <c r="D57" s="3"/>
      <c r="E57" s="4"/>
      <c r="F57" s="3"/>
      <c r="G57" s="3"/>
      <c r="H57" s="40"/>
      <c r="I57" s="3"/>
    </row>
    <row r="58" spans="1:9" ht="12.75" customHeight="1" x14ac:dyDescent="0.2">
      <c r="A58" s="3"/>
      <c r="B58" s="3"/>
      <c r="C58" s="3"/>
      <c r="D58" s="3"/>
      <c r="E58" s="4"/>
      <c r="F58" s="3"/>
      <c r="G58" s="3"/>
      <c r="H58" s="40"/>
      <c r="I58" s="3"/>
    </row>
    <row r="59" spans="1:9" ht="12.75" customHeight="1" x14ac:dyDescent="0.2">
      <c r="A59" s="3"/>
      <c r="B59" s="3"/>
      <c r="C59" s="3"/>
      <c r="D59" s="3"/>
      <c r="E59" s="4"/>
      <c r="F59" s="3"/>
      <c r="G59" s="3"/>
      <c r="H59" s="40"/>
      <c r="I59" s="3"/>
    </row>
    <row r="60" spans="1:9" ht="12.75" customHeight="1" x14ac:dyDescent="0.2">
      <c r="A60" s="3"/>
      <c r="B60" s="3"/>
      <c r="C60" s="3"/>
      <c r="D60" s="3"/>
      <c r="E60" s="4"/>
      <c r="F60" s="3"/>
      <c r="G60" s="3"/>
      <c r="H60" s="40"/>
      <c r="I60" s="3"/>
    </row>
    <row r="61" spans="1:9" ht="12.75" customHeight="1" x14ac:dyDescent="0.2">
      <c r="A61" s="3"/>
      <c r="B61" s="3"/>
      <c r="C61" s="3"/>
      <c r="D61" s="3"/>
      <c r="E61" s="4"/>
      <c r="F61" s="3"/>
      <c r="G61" s="3"/>
      <c r="H61" s="40"/>
      <c r="I61" s="3"/>
    </row>
    <row r="62" spans="1:9" ht="12.75" customHeight="1" x14ac:dyDescent="0.2">
      <c r="A62" s="3"/>
      <c r="B62" s="3"/>
      <c r="C62" s="3"/>
      <c r="D62" s="3"/>
      <c r="E62" s="4"/>
      <c r="F62" s="3"/>
      <c r="G62" s="3"/>
      <c r="H62" s="40"/>
      <c r="I62" s="3"/>
    </row>
    <row r="63" spans="1:9" ht="12.75" customHeight="1" x14ac:dyDescent="0.2">
      <c r="A63" s="3"/>
      <c r="B63" s="3"/>
      <c r="C63" s="3"/>
      <c r="D63" s="3"/>
      <c r="E63" s="4"/>
      <c r="F63" s="3"/>
      <c r="G63" s="3"/>
      <c r="H63" s="40"/>
      <c r="I63" s="3"/>
    </row>
    <row r="64" spans="1:9" ht="15.75" customHeight="1" x14ac:dyDescent="0.2">
      <c r="A64" s="3"/>
      <c r="B64" s="3"/>
      <c r="C64" s="3"/>
      <c r="D64" s="3"/>
      <c r="E64" s="4"/>
      <c r="F64" s="3"/>
      <c r="G64" s="3"/>
      <c r="H64" s="40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/>
    <row r="182" spans="1:9" ht="12.75" customHeight="1" x14ac:dyDescent="0.15"/>
    <row r="183" spans="1:9" ht="12.75" customHeight="1" x14ac:dyDescent="0.15"/>
    <row r="184" spans="1:9" ht="12.75" customHeight="1" x14ac:dyDescent="0.15"/>
    <row r="185" spans="1:9" ht="12.75" customHeight="1" x14ac:dyDescent="0.15"/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291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41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24.75" customHeight="1" x14ac:dyDescent="0.2">
      <c r="A6" s="9"/>
      <c r="B6" s="20" t="s">
        <v>175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94">
        <v>1278693</v>
      </c>
    </row>
    <row r="33" spans="1:11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148">
        <v>14882</v>
      </c>
      <c r="H33" s="61" t="s">
        <v>35</v>
      </c>
      <c r="I33" s="127" t="s">
        <v>176</v>
      </c>
    </row>
    <row r="34" spans="1:11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27">
        <v>0</v>
      </c>
      <c r="H34" s="61" t="s">
        <v>38</v>
      </c>
      <c r="I34" s="63" t="s">
        <v>174</v>
      </c>
      <c r="J34" s="62"/>
    </row>
    <row r="35" spans="1:11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14882</v>
      </c>
      <c r="H35" s="129">
        <f>SUM(G35)</f>
        <v>14882</v>
      </c>
      <c r="I35" s="3"/>
    </row>
    <row r="36" spans="1:11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1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1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1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1" ht="14.2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1" ht="13.5" customHeight="1" x14ac:dyDescent="0.2">
      <c r="A41" s="47" t="s">
        <v>171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1" ht="14.25" customHeight="1" x14ac:dyDescent="0.2">
      <c r="A42" s="47"/>
      <c r="B42" s="3"/>
      <c r="C42" s="3"/>
      <c r="D42" s="3"/>
      <c r="E42" s="3"/>
      <c r="F42" s="3"/>
      <c r="G42" s="60">
        <f>D28</f>
        <v>0</v>
      </c>
      <c r="H42" s="58" t="s">
        <v>53</v>
      </c>
      <c r="I42" s="3"/>
    </row>
    <row r="43" spans="1:11" ht="14.25" customHeight="1" x14ac:dyDescent="0.2">
      <c r="A43" s="47"/>
      <c r="B43" s="3"/>
      <c r="C43" s="70" t="s">
        <v>92</v>
      </c>
      <c r="D43" s="70"/>
      <c r="E43" s="3"/>
      <c r="F43" s="42"/>
      <c r="G43" s="60">
        <v>0</v>
      </c>
      <c r="H43" s="61" t="s">
        <v>55</v>
      </c>
      <c r="I43" s="3" t="s">
        <v>177</v>
      </c>
    </row>
    <row r="44" spans="1:11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100000</v>
      </c>
      <c r="H44" s="58" t="s">
        <v>58</v>
      </c>
      <c r="I44" s="3"/>
    </row>
    <row r="45" spans="1:11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 t="s">
        <v>123</v>
      </c>
      <c r="J45" s="38"/>
    </row>
    <row r="46" spans="1:11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52">
        <v>5300000</v>
      </c>
      <c r="J46" s="74" t="s">
        <v>67</v>
      </c>
      <c r="K46" s="52">
        <v>5000000</v>
      </c>
    </row>
    <row r="47" spans="1:11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100000</v>
      </c>
      <c r="H47" s="58" t="s">
        <v>71</v>
      </c>
      <c r="I47" s="3"/>
    </row>
    <row r="48" spans="1:11" ht="14.25" customHeight="1" x14ac:dyDescent="0.2">
      <c r="A48" s="3"/>
      <c r="B48" s="3"/>
      <c r="C48" s="3"/>
      <c r="D48" s="3"/>
      <c r="E48" s="3"/>
      <c r="F48" s="3"/>
      <c r="G48" s="64">
        <f>G35-G47</f>
        <v>-85118</v>
      </c>
      <c r="H48" s="61" t="s">
        <v>73</v>
      </c>
      <c r="I48" s="3"/>
    </row>
    <row r="49" spans="1:10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10" ht="12.75" customHeight="1" x14ac:dyDescent="0.2">
      <c r="A50" s="47"/>
      <c r="B50" s="3"/>
      <c r="C50" s="3"/>
      <c r="D50" s="78">
        <v>0</v>
      </c>
      <c r="E50" s="7" t="s">
        <v>78</v>
      </c>
      <c r="F50" s="47" t="s">
        <v>178</v>
      </c>
      <c r="G50" s="3"/>
      <c r="H50" s="3"/>
      <c r="I50" s="3"/>
    </row>
    <row r="51" spans="1:10" ht="12.75" customHeight="1" x14ac:dyDescent="0.2">
      <c r="A51" s="3"/>
      <c r="B51" s="3"/>
      <c r="C51" s="3"/>
      <c r="D51" s="78">
        <v>50000</v>
      </c>
      <c r="E51" s="79" t="s">
        <v>125</v>
      </c>
      <c r="F51" s="47"/>
      <c r="G51" s="53"/>
      <c r="H51" s="47"/>
      <c r="I51" s="38"/>
      <c r="J51" s="55"/>
    </row>
    <row r="52" spans="1:10" ht="15.75" customHeight="1" x14ac:dyDescent="0.25">
      <c r="A52" s="3"/>
      <c r="B52" s="80">
        <v>42752</v>
      </c>
      <c r="C52" s="81">
        <v>2</v>
      </c>
      <c r="D52" s="78">
        <f>C52*25000</f>
        <v>50000</v>
      </c>
      <c r="E52" s="7" t="s">
        <v>81</v>
      </c>
      <c r="F52" s="3"/>
      <c r="G52" s="3"/>
      <c r="H52" s="3"/>
      <c r="I52" s="3"/>
    </row>
    <row r="53" spans="1:10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/>
    </row>
    <row r="54" spans="1:10" ht="12.75" customHeight="1" x14ac:dyDescent="0.2">
      <c r="A54" s="3"/>
      <c r="B54" s="3"/>
      <c r="C54" s="3"/>
      <c r="D54" s="78">
        <f>SUM(D50:D53)</f>
        <v>100000</v>
      </c>
      <c r="E54" s="7" t="s">
        <v>42</v>
      </c>
      <c r="F54" s="3"/>
      <c r="G54" s="3"/>
      <c r="H54" s="3"/>
      <c r="I54" s="3"/>
    </row>
    <row r="55" spans="1:10" ht="15.75" customHeight="1" x14ac:dyDescent="0.25">
      <c r="A55" s="3"/>
      <c r="B55" s="3"/>
      <c r="C55" s="83">
        <f>C52-6</f>
        <v>-4</v>
      </c>
      <c r="D55" s="84">
        <f>C55*25000</f>
        <v>-100000</v>
      </c>
      <c r="E55" s="4"/>
      <c r="F55" s="63" t="s">
        <v>83</v>
      </c>
      <c r="G55" s="3"/>
      <c r="H55" s="3"/>
      <c r="I55" s="3"/>
    </row>
    <row r="56" spans="1:10" ht="12.75" customHeight="1" x14ac:dyDescent="0.2">
      <c r="A56" s="47"/>
      <c r="B56" s="3"/>
      <c r="C56" s="3"/>
      <c r="D56" s="84">
        <f>D55+100000</f>
        <v>0</v>
      </c>
      <c r="E56" s="149"/>
      <c r="F56" s="63" t="s">
        <v>84</v>
      </c>
      <c r="G56" s="3"/>
      <c r="H56" s="3"/>
      <c r="I56" s="3"/>
    </row>
    <row r="57" spans="1:10" ht="12.75" customHeight="1" x14ac:dyDescent="0.15">
      <c r="A57" s="3"/>
      <c r="B57" s="3"/>
      <c r="C57" s="3"/>
      <c r="D57" s="42">
        <f>G33-D56</f>
        <v>14882</v>
      </c>
      <c r="E57" s="150"/>
      <c r="F57" s="3"/>
      <c r="G57" s="3"/>
      <c r="H57" s="3"/>
      <c r="I57" s="3"/>
    </row>
    <row r="58" spans="1:10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10" ht="13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10" ht="12.75" customHeight="1" x14ac:dyDescent="0.2">
      <c r="A60" s="3"/>
      <c r="B60" s="3"/>
      <c r="C60" s="151" t="s">
        <v>179</v>
      </c>
      <c r="D60" s="151" t="s">
        <v>180</v>
      </c>
      <c r="E60" s="35"/>
      <c r="F60" s="7" t="s">
        <v>181</v>
      </c>
      <c r="G60" s="152" t="s">
        <v>182</v>
      </c>
      <c r="H60" s="153" t="s">
        <v>183</v>
      </c>
      <c r="I60" s="3"/>
    </row>
    <row r="61" spans="1:10" ht="12.75" customHeight="1" x14ac:dyDescent="0.2">
      <c r="A61" s="3"/>
      <c r="B61" s="3"/>
      <c r="C61" s="9">
        <v>2000</v>
      </c>
      <c r="D61" s="9">
        <v>2000</v>
      </c>
      <c r="E61" s="7" t="s">
        <v>184</v>
      </c>
      <c r="F61" s="9">
        <v>2000</v>
      </c>
      <c r="G61" s="154">
        <v>0</v>
      </c>
      <c r="H61" s="155">
        <v>2500</v>
      </c>
      <c r="I61" s="3"/>
    </row>
    <row r="62" spans="1:10" ht="12.75" customHeight="1" x14ac:dyDescent="0.2">
      <c r="A62" s="130"/>
      <c r="B62" s="3"/>
      <c r="C62" s="9">
        <v>4500</v>
      </c>
      <c r="D62" s="9">
        <v>4500</v>
      </c>
      <c r="E62" s="7" t="s">
        <v>185</v>
      </c>
      <c r="F62" s="9">
        <v>4500</v>
      </c>
      <c r="G62" s="154">
        <v>4500</v>
      </c>
      <c r="H62" s="155">
        <v>4500</v>
      </c>
      <c r="I62" s="3"/>
    </row>
    <row r="63" spans="1:10" ht="12.75" customHeight="1" x14ac:dyDescent="0.2">
      <c r="A63" s="130"/>
      <c r="B63" s="3"/>
      <c r="C63" s="9">
        <v>16000</v>
      </c>
      <c r="D63" s="9">
        <v>0</v>
      </c>
      <c r="E63" s="7" t="s">
        <v>186</v>
      </c>
      <c r="F63" s="9">
        <v>8000</v>
      </c>
      <c r="G63" s="154">
        <v>5000</v>
      </c>
      <c r="H63" s="155">
        <v>4000</v>
      </c>
      <c r="I63" s="3"/>
    </row>
    <row r="64" spans="1:10" ht="12.75" customHeight="1" x14ac:dyDescent="0.2">
      <c r="A64" s="106"/>
      <c r="B64" s="3"/>
      <c r="C64" s="9">
        <v>4000</v>
      </c>
      <c r="D64" s="9">
        <v>0</v>
      </c>
      <c r="E64" s="7" t="s">
        <v>187</v>
      </c>
      <c r="F64" s="9">
        <v>0</v>
      </c>
      <c r="G64" s="154">
        <v>0</v>
      </c>
      <c r="H64" s="155">
        <v>0</v>
      </c>
      <c r="I64" s="3"/>
    </row>
    <row r="65" spans="1:10" ht="12.75" customHeight="1" x14ac:dyDescent="0.2">
      <c r="A65" s="130"/>
      <c r="B65" s="3"/>
      <c r="C65" s="9">
        <v>8000</v>
      </c>
      <c r="D65" s="9">
        <v>8000</v>
      </c>
      <c r="E65" s="7" t="s">
        <v>188</v>
      </c>
      <c r="F65" s="9">
        <v>5000</v>
      </c>
      <c r="G65" s="154">
        <v>15000</v>
      </c>
      <c r="H65" s="155">
        <v>4000</v>
      </c>
      <c r="I65" s="3"/>
    </row>
    <row r="66" spans="1:10" ht="15.75" customHeight="1" x14ac:dyDescent="0.2">
      <c r="A66" s="131"/>
      <c r="B66" s="3"/>
      <c r="C66" s="9">
        <f>SUM(C61:C65)</f>
        <v>34500</v>
      </c>
      <c r="D66" s="9">
        <f>SUM(D61:D65)</f>
        <v>14500</v>
      </c>
      <c r="E66" s="7" t="s">
        <v>42</v>
      </c>
      <c r="F66" s="9">
        <f>SUM(F61:F65)</f>
        <v>19500</v>
      </c>
      <c r="G66" s="154">
        <f>SUM(G61:G65)</f>
        <v>24500</v>
      </c>
      <c r="H66" s="156">
        <f>SUM(H61:H65)</f>
        <v>15000</v>
      </c>
      <c r="I66" s="3"/>
    </row>
    <row r="67" spans="1:10" ht="12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10" ht="12.75" customHeight="1" x14ac:dyDescent="0.15">
      <c r="A68" s="132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9"/>
      <c r="D70" s="157" t="s">
        <v>189</v>
      </c>
      <c r="E70" s="157" t="s">
        <v>185</v>
      </c>
      <c r="F70" s="157" t="s">
        <v>186</v>
      </c>
      <c r="G70" s="157" t="s">
        <v>187</v>
      </c>
      <c r="H70" s="157" t="s">
        <v>190</v>
      </c>
      <c r="I70" s="157" t="s">
        <v>191</v>
      </c>
      <c r="J70" s="157" t="s">
        <v>42</v>
      </c>
    </row>
    <row r="71" spans="1:10" ht="12.75" customHeight="1" x14ac:dyDescent="0.2">
      <c r="A71" s="62"/>
      <c r="B71" s="38" t="s">
        <v>192</v>
      </c>
      <c r="C71" s="158">
        <v>42746</v>
      </c>
      <c r="D71" s="134">
        <v>0</v>
      </c>
      <c r="E71" s="133">
        <v>4500</v>
      </c>
      <c r="F71" s="134">
        <v>0</v>
      </c>
      <c r="G71" s="134">
        <v>0</v>
      </c>
      <c r="H71" s="134">
        <v>7000</v>
      </c>
      <c r="I71" s="159" t="s">
        <v>193</v>
      </c>
      <c r="J71" s="133">
        <f t="shared" ref="J71:J91" si="0">SUM(D71:H71)</f>
        <v>11500</v>
      </c>
    </row>
    <row r="72" spans="1:10" ht="12.75" customHeight="1" x14ac:dyDescent="0.2">
      <c r="A72" s="3"/>
      <c r="B72" s="38" t="s">
        <v>194</v>
      </c>
      <c r="C72" s="158">
        <v>42747</v>
      </c>
      <c r="D72" s="134">
        <v>0</v>
      </c>
      <c r="E72" s="133">
        <v>4500</v>
      </c>
      <c r="F72" s="134">
        <v>14000</v>
      </c>
      <c r="G72" s="134">
        <v>0</v>
      </c>
      <c r="H72" s="134">
        <v>3500</v>
      </c>
      <c r="I72" s="159" t="s">
        <v>193</v>
      </c>
      <c r="J72" s="133">
        <f t="shared" si="0"/>
        <v>22000</v>
      </c>
    </row>
    <row r="73" spans="1:10" ht="12.75" customHeight="1" x14ac:dyDescent="0.2">
      <c r="A73" s="3"/>
      <c r="B73" s="38" t="s">
        <v>195</v>
      </c>
      <c r="C73" s="158">
        <v>42748</v>
      </c>
      <c r="D73" s="134">
        <v>0</v>
      </c>
      <c r="E73" s="133">
        <v>4500</v>
      </c>
      <c r="F73" s="134">
        <v>0</v>
      </c>
      <c r="G73" s="134">
        <v>0</v>
      </c>
      <c r="H73" s="134">
        <v>0</v>
      </c>
      <c r="I73" s="159" t="s">
        <v>193</v>
      </c>
      <c r="J73" s="133">
        <f t="shared" si="0"/>
        <v>4500</v>
      </c>
    </row>
    <row r="74" spans="1:10" ht="12.75" customHeight="1" x14ac:dyDescent="0.2">
      <c r="A74" s="3"/>
      <c r="B74" s="38" t="s">
        <v>196</v>
      </c>
      <c r="C74" s="158">
        <v>42749</v>
      </c>
      <c r="D74" s="134"/>
      <c r="E74" s="159"/>
      <c r="F74" s="134"/>
      <c r="G74" s="134"/>
      <c r="H74" s="134"/>
      <c r="I74" s="134"/>
      <c r="J74" s="133">
        <f t="shared" si="0"/>
        <v>0</v>
      </c>
    </row>
    <row r="75" spans="1:10" ht="12.75" customHeight="1" x14ac:dyDescent="0.2">
      <c r="A75" s="3"/>
      <c r="B75" s="38" t="s">
        <v>197</v>
      </c>
      <c r="C75" s="158">
        <v>42750</v>
      </c>
      <c r="D75" s="134"/>
      <c r="E75" s="159"/>
      <c r="F75" s="134"/>
      <c r="G75" s="134"/>
      <c r="H75" s="134"/>
      <c r="I75" s="134"/>
      <c r="J75" s="133">
        <f t="shared" si="0"/>
        <v>0</v>
      </c>
    </row>
    <row r="76" spans="1:10" ht="12.75" customHeight="1" x14ac:dyDescent="0.2">
      <c r="A76" s="3"/>
      <c r="B76" s="38" t="s">
        <v>198</v>
      </c>
      <c r="C76" s="158">
        <v>42751</v>
      </c>
      <c r="D76" s="134">
        <v>13000</v>
      </c>
      <c r="E76" s="133">
        <v>5300</v>
      </c>
      <c r="F76" s="134">
        <v>16000</v>
      </c>
      <c r="G76" s="134">
        <v>0</v>
      </c>
      <c r="H76" s="134">
        <v>5900</v>
      </c>
      <c r="I76" s="160" t="s">
        <v>199</v>
      </c>
      <c r="J76" s="133">
        <f t="shared" si="0"/>
        <v>40200</v>
      </c>
    </row>
    <row r="77" spans="1:10" ht="12.75" customHeight="1" x14ac:dyDescent="0.2">
      <c r="A77" s="3"/>
      <c r="B77" s="38" t="s">
        <v>200</v>
      </c>
      <c r="C77" s="158">
        <v>42752</v>
      </c>
      <c r="D77" s="134">
        <v>0</v>
      </c>
      <c r="E77" s="133">
        <v>4500</v>
      </c>
      <c r="F77" s="134"/>
      <c r="G77" s="134">
        <v>0</v>
      </c>
      <c r="H77" s="134">
        <v>0</v>
      </c>
      <c r="I77" s="134"/>
      <c r="J77" s="133">
        <f t="shared" si="0"/>
        <v>4500</v>
      </c>
    </row>
    <row r="78" spans="1:10" ht="12.75" customHeight="1" x14ac:dyDescent="0.2">
      <c r="A78" s="3"/>
      <c r="B78" s="38" t="s">
        <v>192</v>
      </c>
      <c r="C78" s="158">
        <v>42753</v>
      </c>
      <c r="D78" s="134"/>
      <c r="E78" s="133">
        <v>4500</v>
      </c>
      <c r="F78" s="134">
        <v>14000</v>
      </c>
      <c r="G78" s="161"/>
      <c r="H78" s="134">
        <v>0</v>
      </c>
      <c r="I78" s="134"/>
      <c r="J78" s="133">
        <f t="shared" si="0"/>
        <v>18500</v>
      </c>
    </row>
    <row r="79" spans="1:10" ht="12.75" customHeight="1" x14ac:dyDescent="0.2">
      <c r="A79" s="3"/>
      <c r="B79" s="38" t="s">
        <v>194</v>
      </c>
      <c r="C79" s="158">
        <v>42754</v>
      </c>
      <c r="D79" s="134"/>
      <c r="E79" s="133">
        <v>4500</v>
      </c>
      <c r="F79" s="134">
        <v>0</v>
      </c>
      <c r="G79" s="134"/>
      <c r="H79" s="134">
        <v>8300</v>
      </c>
      <c r="I79" s="162" t="s">
        <v>201</v>
      </c>
      <c r="J79" s="133">
        <f t="shared" si="0"/>
        <v>12800</v>
      </c>
    </row>
    <row r="80" spans="1:10" ht="12.75" customHeight="1" x14ac:dyDescent="0.2">
      <c r="A80" s="3"/>
      <c r="B80" s="38" t="s">
        <v>195</v>
      </c>
      <c r="C80" s="163">
        <v>42755</v>
      </c>
      <c r="D80" s="134"/>
      <c r="E80" s="133">
        <v>4500</v>
      </c>
      <c r="F80" s="134">
        <v>0</v>
      </c>
      <c r="G80" s="134"/>
      <c r="H80" s="134">
        <v>17000</v>
      </c>
      <c r="I80" s="134"/>
      <c r="J80" s="133">
        <f t="shared" si="0"/>
        <v>21500</v>
      </c>
    </row>
    <row r="81" spans="1:10" ht="12.75" customHeight="1" x14ac:dyDescent="0.2">
      <c r="A81" s="3"/>
      <c r="B81" s="38" t="s">
        <v>196</v>
      </c>
      <c r="C81" s="163">
        <v>42756</v>
      </c>
      <c r="D81" s="134">
        <v>10000</v>
      </c>
      <c r="E81" s="159">
        <v>4500</v>
      </c>
      <c r="F81" s="134">
        <v>5000</v>
      </c>
      <c r="G81" s="134"/>
      <c r="H81" s="134">
        <v>0</v>
      </c>
      <c r="I81" s="162" t="s">
        <v>202</v>
      </c>
      <c r="J81" s="133">
        <f t="shared" si="0"/>
        <v>19500</v>
      </c>
    </row>
    <row r="82" spans="1:10" ht="12.75" customHeight="1" x14ac:dyDescent="0.2">
      <c r="A82" s="3"/>
      <c r="B82" s="38" t="s">
        <v>197</v>
      </c>
      <c r="C82" s="164">
        <v>42757</v>
      </c>
      <c r="D82" s="34"/>
      <c r="E82" s="165">
        <v>4500</v>
      </c>
      <c r="F82" s="34">
        <v>5000</v>
      </c>
      <c r="G82" s="34"/>
      <c r="H82" s="34">
        <v>11000</v>
      </c>
      <c r="I82" s="34"/>
      <c r="J82" s="166">
        <f t="shared" si="0"/>
        <v>20500</v>
      </c>
    </row>
    <row r="83" spans="1:10" ht="12.75" customHeight="1" x14ac:dyDescent="0.2">
      <c r="A83" s="3"/>
      <c r="B83" s="38" t="s">
        <v>198</v>
      </c>
      <c r="C83" s="164">
        <v>42758</v>
      </c>
      <c r="D83" s="34">
        <v>9000</v>
      </c>
      <c r="E83" s="165">
        <v>4500</v>
      </c>
      <c r="F83" s="34">
        <v>7000</v>
      </c>
      <c r="G83" s="34"/>
      <c r="H83" s="34"/>
      <c r="I83" s="167" t="s">
        <v>203</v>
      </c>
      <c r="J83" s="166">
        <f t="shared" si="0"/>
        <v>20500</v>
      </c>
    </row>
    <row r="84" spans="1:10" ht="12.75" customHeight="1" x14ac:dyDescent="0.2">
      <c r="A84" s="3"/>
      <c r="B84" s="38" t="s">
        <v>200</v>
      </c>
      <c r="C84" s="164">
        <v>42759</v>
      </c>
      <c r="D84" s="34"/>
      <c r="E84" s="165"/>
      <c r="F84" s="34"/>
      <c r="G84" s="34"/>
      <c r="H84" s="34"/>
      <c r="I84" s="34"/>
      <c r="J84" s="166">
        <f t="shared" si="0"/>
        <v>0</v>
      </c>
    </row>
    <row r="85" spans="1:10" ht="12.75" customHeight="1" x14ac:dyDescent="0.2">
      <c r="A85" s="3"/>
      <c r="B85" s="38" t="s">
        <v>192</v>
      </c>
      <c r="C85" s="164">
        <v>42760</v>
      </c>
      <c r="D85" s="34"/>
      <c r="E85" s="165"/>
      <c r="F85" s="34"/>
      <c r="G85" s="34"/>
      <c r="H85" s="34"/>
      <c r="I85" s="34"/>
      <c r="J85" s="166">
        <f t="shared" si="0"/>
        <v>0</v>
      </c>
    </row>
    <row r="86" spans="1:10" ht="12.75" customHeight="1" x14ac:dyDescent="0.2">
      <c r="A86" s="3"/>
      <c r="B86" s="38" t="s">
        <v>194</v>
      </c>
      <c r="C86" s="164">
        <v>42761</v>
      </c>
      <c r="D86" s="34"/>
      <c r="E86" s="165"/>
      <c r="F86" s="34"/>
      <c r="G86" s="34"/>
      <c r="H86" s="34"/>
      <c r="I86" s="34"/>
      <c r="J86" s="166">
        <f t="shared" si="0"/>
        <v>0</v>
      </c>
    </row>
    <row r="87" spans="1:10" ht="12.75" customHeight="1" x14ac:dyDescent="0.2">
      <c r="A87" s="3"/>
      <c r="B87" s="38" t="s">
        <v>195</v>
      </c>
      <c r="C87" s="164">
        <v>42762</v>
      </c>
      <c r="D87" s="34"/>
      <c r="E87" s="165"/>
      <c r="F87" s="34"/>
      <c r="G87" s="34"/>
      <c r="H87" s="34"/>
      <c r="I87" s="34"/>
      <c r="J87" s="166">
        <f t="shared" si="0"/>
        <v>0</v>
      </c>
    </row>
    <row r="88" spans="1:10" ht="12.75" customHeight="1" x14ac:dyDescent="0.2">
      <c r="A88" s="3"/>
      <c r="B88" s="38" t="s">
        <v>196</v>
      </c>
      <c r="C88" s="164">
        <v>42763</v>
      </c>
      <c r="D88" s="34"/>
      <c r="E88" s="165"/>
      <c r="F88" s="34"/>
      <c r="G88" s="34"/>
      <c r="H88" s="34"/>
      <c r="I88" s="34"/>
      <c r="J88" s="166">
        <f t="shared" si="0"/>
        <v>0</v>
      </c>
    </row>
    <row r="89" spans="1:10" ht="12.75" customHeight="1" x14ac:dyDescent="0.2">
      <c r="A89" s="3"/>
      <c r="B89" s="38" t="s">
        <v>197</v>
      </c>
      <c r="C89" s="164">
        <v>42764</v>
      </c>
      <c r="D89" s="34"/>
      <c r="E89" s="165"/>
      <c r="F89" s="34"/>
      <c r="G89" s="34"/>
      <c r="H89" s="34"/>
      <c r="I89" s="34"/>
      <c r="J89" s="166">
        <f t="shared" si="0"/>
        <v>0</v>
      </c>
    </row>
    <row r="90" spans="1:10" ht="12.75" customHeight="1" x14ac:dyDescent="0.2">
      <c r="A90" s="3"/>
      <c r="B90" s="38" t="s">
        <v>198</v>
      </c>
      <c r="C90" s="164">
        <v>42765</v>
      </c>
      <c r="D90" s="34"/>
      <c r="E90" s="165"/>
      <c r="F90" s="34"/>
      <c r="G90" s="34"/>
      <c r="H90" s="34"/>
      <c r="I90" s="34"/>
      <c r="J90" s="166">
        <f t="shared" si="0"/>
        <v>0</v>
      </c>
    </row>
    <row r="91" spans="1:10" ht="12.75" customHeight="1" x14ac:dyDescent="0.2">
      <c r="A91" s="3"/>
      <c r="B91" s="38" t="s">
        <v>200</v>
      </c>
      <c r="C91" s="164">
        <v>42766</v>
      </c>
      <c r="D91" s="34"/>
      <c r="E91" s="165"/>
      <c r="F91" s="34"/>
      <c r="G91" s="34"/>
      <c r="H91" s="34"/>
      <c r="I91" s="34"/>
      <c r="J91" s="166">
        <f t="shared" si="0"/>
        <v>0</v>
      </c>
    </row>
    <row r="92" spans="1:10" ht="12.75" customHeight="1" x14ac:dyDescent="0.15">
      <c r="A92" s="3"/>
      <c r="B92" s="3"/>
      <c r="C92" s="3"/>
      <c r="D92" s="3"/>
      <c r="E92" s="113"/>
      <c r="F92" s="3"/>
      <c r="G92" s="3"/>
      <c r="H92" s="3"/>
      <c r="I92" s="3"/>
    </row>
    <row r="93" spans="1:10" ht="12.75" customHeight="1" x14ac:dyDescent="0.15">
      <c r="A93" s="3"/>
      <c r="B93" s="3"/>
      <c r="C93" s="3"/>
      <c r="D93" s="3"/>
      <c r="E93" s="113"/>
      <c r="F93" s="3"/>
      <c r="G93" s="3"/>
      <c r="H93" s="3"/>
      <c r="I93" s="3"/>
    </row>
    <row r="94" spans="1:10" ht="12.75" customHeight="1" x14ac:dyDescent="0.15">
      <c r="A94" s="3"/>
      <c r="B94" s="3"/>
      <c r="C94" s="3"/>
      <c r="D94" s="3"/>
      <c r="E94" s="113"/>
      <c r="F94" s="3"/>
      <c r="G94" s="3"/>
      <c r="H94" s="3"/>
      <c r="I94" s="3"/>
    </row>
    <row r="95" spans="1:10" ht="12.75" customHeight="1" x14ac:dyDescent="0.15">
      <c r="A95" s="3"/>
      <c r="B95" s="3"/>
      <c r="C95" s="3"/>
      <c r="D95" s="3"/>
      <c r="E95" s="113"/>
      <c r="F95" s="3"/>
      <c r="G95" s="3"/>
      <c r="H95" s="3"/>
      <c r="I95" s="3"/>
    </row>
    <row r="96" spans="1:10" ht="12.75" customHeight="1" x14ac:dyDescent="0.15">
      <c r="A96" s="3"/>
      <c r="B96" s="3"/>
      <c r="C96" s="3"/>
      <c r="D96" s="3"/>
      <c r="E96" s="113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113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113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113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113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113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113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113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113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113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113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113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113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113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113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113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113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113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113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113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113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113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113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113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113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113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113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113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113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113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113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113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113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113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113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113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113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113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113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113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113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113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113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113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113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113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113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113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113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113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113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113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113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113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113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113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113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113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113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113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113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113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113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113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113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113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113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113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113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113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113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113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113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113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>
      <c r="A199" s="3"/>
      <c r="B199" s="3"/>
      <c r="C199" s="3"/>
      <c r="D199" s="3"/>
      <c r="E199" s="4"/>
      <c r="F199" s="3"/>
      <c r="G199" s="3"/>
      <c r="H199" s="3"/>
      <c r="I199" s="3"/>
    </row>
    <row r="200" spans="1:9" ht="12.75" customHeight="1" x14ac:dyDescent="0.15">
      <c r="A200" s="3"/>
      <c r="B200" s="3"/>
      <c r="C200" s="3"/>
      <c r="D200" s="3"/>
      <c r="E200" s="4"/>
      <c r="F200" s="3"/>
      <c r="G200" s="3"/>
      <c r="H200" s="3"/>
      <c r="I200" s="3"/>
    </row>
    <row r="201" spans="1:9" ht="12.75" customHeight="1" x14ac:dyDescent="0.15">
      <c r="A201" s="3"/>
      <c r="B201" s="3"/>
      <c r="C201" s="3"/>
      <c r="D201" s="3"/>
      <c r="E201" s="4"/>
      <c r="F201" s="3"/>
      <c r="G201" s="3"/>
      <c r="H201" s="3"/>
      <c r="I201" s="3"/>
    </row>
    <row r="202" spans="1:9" ht="12.75" customHeight="1" x14ac:dyDescent="0.15">
      <c r="A202" s="3"/>
      <c r="B202" s="3"/>
      <c r="C202" s="3"/>
      <c r="D202" s="3"/>
      <c r="E202" s="4"/>
      <c r="F202" s="3"/>
      <c r="G202" s="3"/>
      <c r="H202" s="3"/>
      <c r="I202" s="3"/>
    </row>
    <row r="203" spans="1:9" ht="12.75" customHeight="1" x14ac:dyDescent="0.15">
      <c r="A203" s="3"/>
      <c r="B203" s="3"/>
      <c r="C203" s="3"/>
      <c r="D203" s="3"/>
      <c r="E203" s="4"/>
      <c r="F203" s="3"/>
      <c r="G203" s="3"/>
      <c r="H203" s="3"/>
      <c r="I203" s="3"/>
    </row>
    <row r="204" spans="1:9" ht="12.75" customHeight="1" x14ac:dyDescent="0.15">
      <c r="A204" s="3"/>
      <c r="B204" s="3"/>
      <c r="C204" s="3"/>
      <c r="D204" s="3"/>
      <c r="E204" s="4"/>
      <c r="F204" s="3"/>
      <c r="G204" s="3"/>
      <c r="H204" s="3"/>
      <c r="I204" s="3"/>
    </row>
    <row r="205" spans="1:9" ht="12.75" customHeight="1" x14ac:dyDescent="0.15">
      <c r="A205" s="3"/>
      <c r="B205" s="3"/>
      <c r="C205" s="3"/>
      <c r="D205" s="3"/>
      <c r="E205" s="4"/>
      <c r="F205" s="3"/>
      <c r="G205" s="3"/>
      <c r="H205" s="3"/>
      <c r="I205" s="3"/>
    </row>
    <row r="206" spans="1:9" ht="12.75" customHeight="1" x14ac:dyDescent="0.15">
      <c r="A206" s="3"/>
      <c r="B206" s="3"/>
      <c r="C206" s="3"/>
      <c r="D206" s="3"/>
      <c r="E206" s="4"/>
      <c r="F206" s="3"/>
      <c r="G206" s="3"/>
      <c r="H206" s="3"/>
      <c r="I206" s="3"/>
    </row>
    <row r="207" spans="1:9" ht="12.75" customHeight="1" x14ac:dyDescent="0.15">
      <c r="A207" s="3"/>
      <c r="B207" s="3"/>
      <c r="C207" s="3"/>
      <c r="D207" s="3"/>
      <c r="E207" s="4"/>
      <c r="F207" s="3"/>
      <c r="G207" s="3"/>
      <c r="H207" s="3"/>
      <c r="I207" s="3"/>
    </row>
    <row r="208" spans="1:9" ht="12.75" customHeight="1" x14ac:dyDescent="0.15">
      <c r="A208" s="3"/>
      <c r="B208" s="3"/>
      <c r="C208" s="3"/>
      <c r="D208" s="3"/>
      <c r="E208" s="4"/>
      <c r="F208" s="3"/>
      <c r="G208" s="3"/>
      <c r="H208" s="3"/>
      <c r="I208" s="3"/>
    </row>
    <row r="209" spans="1:9" ht="12.75" customHeight="1" x14ac:dyDescent="0.15">
      <c r="A209" s="3"/>
      <c r="B209" s="3"/>
      <c r="C209" s="3"/>
      <c r="D209" s="3"/>
      <c r="E209" s="4"/>
      <c r="F209" s="3"/>
      <c r="G209" s="3"/>
      <c r="H209" s="3"/>
      <c r="I209" s="3"/>
    </row>
    <row r="210" spans="1:9" ht="12.75" customHeight="1" x14ac:dyDescent="0.15">
      <c r="A210" s="3"/>
      <c r="B210" s="3"/>
      <c r="C210" s="3"/>
      <c r="D210" s="3"/>
      <c r="E210" s="4"/>
      <c r="F210" s="3"/>
      <c r="G210" s="3"/>
      <c r="H210" s="3"/>
      <c r="I210" s="3"/>
    </row>
    <row r="211" spans="1:9" ht="12.75" customHeight="1" x14ac:dyDescent="0.15">
      <c r="A211" s="3"/>
      <c r="B211" s="3"/>
      <c r="C211" s="3"/>
      <c r="D211" s="3"/>
      <c r="E211" s="4"/>
      <c r="F211" s="3"/>
      <c r="G211" s="3"/>
      <c r="H211" s="3"/>
      <c r="I211" s="3"/>
    </row>
    <row r="212" spans="1:9" ht="12.75" customHeight="1" x14ac:dyDescent="0.15">
      <c r="A212" s="3"/>
      <c r="B212" s="3"/>
      <c r="C212" s="3"/>
      <c r="D212" s="3"/>
      <c r="E212" s="4"/>
      <c r="F212" s="3"/>
      <c r="G212" s="3"/>
      <c r="H212" s="3"/>
      <c r="I212" s="3"/>
    </row>
    <row r="213" spans="1:9" ht="12.75" customHeight="1" x14ac:dyDescent="0.15">
      <c r="A213" s="3"/>
      <c r="B213" s="3"/>
      <c r="C213" s="3"/>
      <c r="D213" s="3"/>
      <c r="E213" s="4"/>
      <c r="F213" s="3"/>
      <c r="G213" s="3"/>
      <c r="H213" s="3"/>
      <c r="I213" s="3"/>
    </row>
    <row r="214" spans="1:9" ht="12.75" customHeight="1" x14ac:dyDescent="0.15">
      <c r="A214" s="3"/>
      <c r="B214" s="3"/>
      <c r="C214" s="3"/>
      <c r="D214" s="3"/>
      <c r="E214" s="4"/>
      <c r="F214" s="3"/>
      <c r="G214" s="3"/>
      <c r="H214" s="3"/>
      <c r="I214" s="3"/>
    </row>
    <row r="215" spans="1:9" ht="12.75" customHeight="1" x14ac:dyDescent="0.15">
      <c r="A215" s="3"/>
      <c r="B215" s="3"/>
      <c r="C215" s="3"/>
      <c r="D215" s="3"/>
      <c r="E215" s="4"/>
      <c r="F215" s="3"/>
      <c r="G215" s="3"/>
      <c r="H215" s="3"/>
      <c r="I215" s="3"/>
    </row>
    <row r="216" spans="1:9" ht="12.75" customHeight="1" x14ac:dyDescent="0.15">
      <c r="A216" s="3"/>
      <c r="B216" s="3"/>
      <c r="C216" s="3"/>
      <c r="D216" s="3"/>
      <c r="E216" s="4"/>
      <c r="F216" s="3"/>
      <c r="G216" s="3"/>
      <c r="H216" s="3"/>
      <c r="I216" s="3"/>
    </row>
    <row r="217" spans="1:9" ht="12.75" customHeight="1" x14ac:dyDescent="0.15">
      <c r="A217" s="3"/>
      <c r="B217" s="3"/>
      <c r="C217" s="3"/>
      <c r="D217" s="3"/>
      <c r="E217" s="4"/>
      <c r="F217" s="3"/>
      <c r="G217" s="3"/>
      <c r="H217" s="3"/>
      <c r="I217" s="3"/>
    </row>
    <row r="218" spans="1:9" ht="12.75" customHeight="1" x14ac:dyDescent="0.15">
      <c r="A218" s="3"/>
      <c r="B218" s="3"/>
      <c r="C218" s="3"/>
      <c r="D218" s="3"/>
      <c r="E218" s="4"/>
      <c r="F218" s="3"/>
      <c r="G218" s="3"/>
      <c r="H218" s="3"/>
      <c r="I218" s="3"/>
    </row>
    <row r="219" spans="1:9" ht="12.75" customHeight="1" x14ac:dyDescent="0.15">
      <c r="A219" s="3"/>
      <c r="B219" s="3"/>
      <c r="C219" s="3"/>
      <c r="D219" s="3"/>
      <c r="E219" s="4"/>
      <c r="F219" s="3"/>
      <c r="G219" s="3"/>
      <c r="H219" s="3"/>
      <c r="I219" s="3"/>
    </row>
    <row r="220" spans="1:9" ht="12.75" customHeight="1" x14ac:dyDescent="0.15"/>
    <row r="221" spans="1:9" ht="12.75" customHeight="1" x14ac:dyDescent="0.15"/>
    <row r="222" spans="1:9" ht="12.75" customHeight="1" x14ac:dyDescent="0.15"/>
    <row r="223" spans="1:9" ht="12.75" customHeight="1" x14ac:dyDescent="0.15"/>
    <row r="224" spans="1:9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271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65000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4.2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51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>
        <f>6200000+350000</f>
        <v>6550000</v>
      </c>
      <c r="F32" s="53"/>
      <c r="G32" s="54"/>
      <c r="H32" s="42"/>
      <c r="I32" s="3"/>
    </row>
    <row r="33" spans="1:11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204</v>
      </c>
      <c r="G33" s="148">
        <v>65131</v>
      </c>
      <c r="H33" s="58" t="s">
        <v>35</v>
      </c>
      <c r="I33" s="127" t="s">
        <v>205</v>
      </c>
    </row>
    <row r="34" spans="1:11" ht="14.25" customHeight="1" x14ac:dyDescent="0.2">
      <c r="A34" s="48" t="s">
        <v>37</v>
      </c>
      <c r="B34" s="49">
        <v>0</v>
      </c>
      <c r="C34" s="3"/>
      <c r="D34" s="3"/>
      <c r="E34" s="55"/>
      <c r="F34" s="53">
        <v>3019550</v>
      </c>
      <c r="G34" s="168">
        <v>0</v>
      </c>
      <c r="H34" s="61" t="s">
        <v>38</v>
      </c>
      <c r="I34" s="63" t="s">
        <v>174</v>
      </c>
      <c r="J34" s="62"/>
    </row>
    <row r="35" spans="1:11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0">
        <f>SUM(G33:G34)</f>
        <v>65131</v>
      </c>
      <c r="H35" s="129">
        <f>SUM(G35)</f>
        <v>65131</v>
      </c>
      <c r="I35" s="3"/>
    </row>
    <row r="36" spans="1:11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169">
        <v>0</v>
      </c>
      <c r="H36" s="47" t="s">
        <v>44</v>
      </c>
      <c r="I36" s="3"/>
    </row>
    <row r="37" spans="1:11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169">
        <v>0</v>
      </c>
      <c r="H37" s="47" t="s">
        <v>45</v>
      </c>
      <c r="I37" s="3"/>
    </row>
    <row r="38" spans="1:11" ht="12.75" customHeight="1" x14ac:dyDescent="0.2">
      <c r="A38" s="47"/>
      <c r="B38" s="69"/>
      <c r="C38" s="3"/>
      <c r="D38" s="3"/>
      <c r="E38" s="3"/>
      <c r="F38" s="3"/>
      <c r="G38" s="169">
        <v>0</v>
      </c>
      <c r="H38" s="47" t="s">
        <v>46</v>
      </c>
      <c r="I38" s="3"/>
    </row>
    <row r="39" spans="1:11" ht="12.75" customHeight="1" x14ac:dyDescent="0.2">
      <c r="A39" s="47"/>
      <c r="B39" s="69"/>
      <c r="C39" s="3"/>
      <c r="D39" s="3"/>
      <c r="E39" s="3"/>
      <c r="F39" s="3"/>
      <c r="G39" s="169">
        <v>0</v>
      </c>
      <c r="H39" s="47" t="s">
        <v>47</v>
      </c>
      <c r="I39" s="38" t="s">
        <v>90</v>
      </c>
    </row>
    <row r="40" spans="1:11" ht="12" customHeight="1" x14ac:dyDescent="0.2">
      <c r="A40" s="3"/>
      <c r="B40" s="3"/>
      <c r="C40" s="3"/>
      <c r="D40" s="3"/>
      <c r="E40" s="42"/>
      <c r="F40" s="3"/>
      <c r="G40" s="169">
        <v>0</v>
      </c>
      <c r="H40" s="47" t="s">
        <v>49</v>
      </c>
      <c r="I40" s="3"/>
    </row>
    <row r="41" spans="1:11" ht="13.5" customHeight="1" x14ac:dyDescent="0.2">
      <c r="A41" s="47" t="s">
        <v>171</v>
      </c>
      <c r="B41" s="3"/>
      <c r="C41" s="3"/>
      <c r="D41" s="3"/>
      <c r="E41" s="42"/>
      <c r="F41" s="3"/>
      <c r="G41" s="169">
        <v>0</v>
      </c>
      <c r="H41" s="47" t="s">
        <v>51</v>
      </c>
      <c r="I41" s="3"/>
    </row>
    <row r="42" spans="1:11" ht="14.25" customHeight="1" x14ac:dyDescent="0.2">
      <c r="A42" s="47"/>
      <c r="B42" s="3"/>
      <c r="C42" s="3"/>
      <c r="D42" s="3"/>
      <c r="E42" s="3"/>
      <c r="F42" s="3"/>
      <c r="G42" s="60">
        <f>D28</f>
        <v>0</v>
      </c>
      <c r="H42" s="58" t="s">
        <v>53</v>
      </c>
      <c r="I42" s="3"/>
    </row>
    <row r="43" spans="1:11" ht="14.25" customHeight="1" x14ac:dyDescent="0.2">
      <c r="A43" s="47"/>
      <c r="B43" s="3"/>
      <c r="C43" s="70" t="s">
        <v>92</v>
      </c>
      <c r="D43" s="70"/>
      <c r="E43" s="3"/>
      <c r="F43" s="42">
        <f>G42+G43</f>
        <v>0</v>
      </c>
      <c r="G43" s="60">
        <v>0</v>
      </c>
      <c r="H43" s="61" t="s">
        <v>55</v>
      </c>
      <c r="I43" s="3"/>
    </row>
    <row r="44" spans="1:11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25000</v>
      </c>
      <c r="H44" s="58" t="s">
        <v>58</v>
      </c>
      <c r="I44" s="3"/>
    </row>
    <row r="45" spans="1:11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 t="s">
        <v>123</v>
      </c>
      <c r="J45" s="38"/>
    </row>
    <row r="46" spans="1:11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52">
        <v>4700000</v>
      </c>
      <c r="J46" s="74" t="s">
        <v>67</v>
      </c>
      <c r="K46" s="52">
        <v>4700000</v>
      </c>
    </row>
    <row r="47" spans="1:11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25000</v>
      </c>
      <c r="H47" s="58" t="s">
        <v>71</v>
      </c>
      <c r="I47" s="3"/>
    </row>
    <row r="48" spans="1:11" ht="14.25" customHeight="1" x14ac:dyDescent="0.2">
      <c r="A48" s="3"/>
      <c r="B48" s="3"/>
      <c r="C48" s="3"/>
      <c r="D48" s="3"/>
      <c r="E48" s="3"/>
      <c r="F48" s="3"/>
      <c r="G48" s="64">
        <f>G35-G47</f>
        <v>40131</v>
      </c>
      <c r="H48" s="61" t="s">
        <v>73</v>
      </c>
      <c r="I48" s="3"/>
    </row>
    <row r="49" spans="1:9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9" ht="12.75" customHeight="1" x14ac:dyDescent="0.2">
      <c r="A50" s="47"/>
      <c r="B50" s="3"/>
      <c r="C50" s="3"/>
      <c r="D50" s="78">
        <v>0</v>
      </c>
      <c r="E50" s="7" t="s">
        <v>78</v>
      </c>
      <c r="F50" s="47" t="s">
        <v>178</v>
      </c>
      <c r="G50" s="3"/>
      <c r="H50" s="3"/>
      <c r="I50" s="3"/>
    </row>
    <row r="51" spans="1:9" ht="12.75" customHeight="1" x14ac:dyDescent="0.2">
      <c r="A51" s="3"/>
      <c r="B51" s="3"/>
      <c r="C51" s="3"/>
      <c r="D51" s="78">
        <v>0</v>
      </c>
      <c r="E51" s="79" t="s">
        <v>125</v>
      </c>
      <c r="F51" s="47"/>
      <c r="G51" s="53"/>
      <c r="H51" s="47"/>
      <c r="I51" s="3"/>
    </row>
    <row r="52" spans="1:9" ht="15.75" customHeight="1" x14ac:dyDescent="0.25">
      <c r="A52" s="3"/>
      <c r="B52" s="80"/>
      <c r="C52" s="81">
        <v>1</v>
      </c>
      <c r="D52" s="78">
        <f>C52*25000</f>
        <v>25000</v>
      </c>
      <c r="E52" s="7" t="s">
        <v>81</v>
      </c>
      <c r="F52" s="3"/>
      <c r="G52" s="3"/>
      <c r="H52" s="3"/>
      <c r="I52" s="3"/>
    </row>
    <row r="53" spans="1:9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/>
    </row>
    <row r="54" spans="1:9" ht="12.75" customHeight="1" x14ac:dyDescent="0.2">
      <c r="A54" s="3"/>
      <c r="B54" s="3"/>
      <c r="C54" s="3"/>
      <c r="D54" s="78">
        <f>SUM(D50:D53)</f>
        <v>25000</v>
      </c>
      <c r="E54" s="7" t="s">
        <v>42</v>
      </c>
      <c r="F54" s="3"/>
      <c r="G54" s="3"/>
      <c r="H54" s="3"/>
      <c r="I54" s="3"/>
    </row>
    <row r="55" spans="1:9" ht="15.75" customHeight="1" x14ac:dyDescent="0.25">
      <c r="A55" s="3"/>
      <c r="B55" s="3"/>
      <c r="C55" s="83">
        <f>C52-5</f>
        <v>-4</v>
      </c>
      <c r="D55" s="84">
        <f>C55*25000</f>
        <v>-100000</v>
      </c>
      <c r="E55" s="4"/>
      <c r="F55" s="63" t="s">
        <v>83</v>
      </c>
      <c r="G55" s="3"/>
      <c r="H55" s="3"/>
      <c r="I55" s="3"/>
    </row>
    <row r="56" spans="1:9" ht="12.75" customHeight="1" x14ac:dyDescent="0.2">
      <c r="A56" s="47"/>
      <c r="B56" s="3"/>
      <c r="C56" s="3"/>
      <c r="D56" s="84">
        <f>D55+100000</f>
        <v>0</v>
      </c>
      <c r="E56" s="4"/>
      <c r="F56" s="63" t="s">
        <v>84</v>
      </c>
      <c r="G56" s="3"/>
      <c r="H56" s="3"/>
      <c r="I56" s="47" t="s">
        <v>104</v>
      </c>
    </row>
    <row r="57" spans="1:9" ht="12.75" customHeight="1" x14ac:dyDescent="0.15">
      <c r="A57" s="3"/>
      <c r="B57" s="3"/>
      <c r="C57" s="3"/>
      <c r="D57" s="42">
        <f>G33-D56</f>
        <v>65131</v>
      </c>
      <c r="E57" s="4"/>
      <c r="F57" s="3"/>
      <c r="G57" s="3"/>
      <c r="H57" s="3"/>
      <c r="I57" s="3"/>
    </row>
    <row r="58" spans="1:9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9" ht="13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3"/>
      <c r="B60" s="3"/>
      <c r="C60" s="151" t="s">
        <v>179</v>
      </c>
      <c r="D60" s="151" t="s">
        <v>180</v>
      </c>
      <c r="E60" s="35"/>
      <c r="F60" s="7" t="s">
        <v>181</v>
      </c>
      <c r="G60" s="152" t="s">
        <v>182</v>
      </c>
      <c r="H60" s="153" t="s">
        <v>183</v>
      </c>
      <c r="I60" s="3"/>
    </row>
    <row r="61" spans="1:9" ht="12.75" customHeight="1" x14ac:dyDescent="0.2">
      <c r="A61" s="3"/>
      <c r="B61" s="3"/>
      <c r="C61" s="9">
        <v>2000</v>
      </c>
      <c r="D61" s="9">
        <v>2000</v>
      </c>
      <c r="E61" s="7" t="s">
        <v>184</v>
      </c>
      <c r="F61" s="9">
        <v>2000</v>
      </c>
      <c r="G61" s="154">
        <v>0</v>
      </c>
      <c r="H61" s="155">
        <v>2500</v>
      </c>
      <c r="I61" s="3"/>
    </row>
    <row r="62" spans="1:9" ht="12.75" customHeight="1" x14ac:dyDescent="0.2">
      <c r="A62" s="130"/>
      <c r="B62" s="3"/>
      <c r="C62" s="9">
        <v>4500</v>
      </c>
      <c r="D62" s="9">
        <v>4500</v>
      </c>
      <c r="E62" s="7" t="s">
        <v>185</v>
      </c>
      <c r="F62" s="9">
        <v>4500</v>
      </c>
      <c r="G62" s="154">
        <v>4500</v>
      </c>
      <c r="H62" s="155">
        <v>4500</v>
      </c>
      <c r="I62" s="3"/>
    </row>
    <row r="63" spans="1:9" ht="12.75" customHeight="1" x14ac:dyDescent="0.2">
      <c r="A63" s="130"/>
      <c r="B63" s="3"/>
      <c r="C63" s="9">
        <v>16000</v>
      </c>
      <c r="D63" s="9">
        <v>0</v>
      </c>
      <c r="E63" s="7" t="s">
        <v>186</v>
      </c>
      <c r="F63" s="9">
        <v>8000</v>
      </c>
      <c r="G63" s="154">
        <v>5000</v>
      </c>
      <c r="H63" s="155">
        <v>4000</v>
      </c>
      <c r="I63" s="3"/>
    </row>
    <row r="64" spans="1:9" ht="12.75" customHeight="1" x14ac:dyDescent="0.2">
      <c r="A64" s="106"/>
      <c r="B64" s="3"/>
      <c r="C64" s="9">
        <v>4000</v>
      </c>
      <c r="D64" s="9">
        <v>0</v>
      </c>
      <c r="E64" s="7" t="s">
        <v>187</v>
      </c>
      <c r="F64" s="9">
        <v>0</v>
      </c>
      <c r="G64" s="154">
        <v>0</v>
      </c>
      <c r="H64" s="155">
        <v>0</v>
      </c>
      <c r="I64" s="3"/>
    </row>
    <row r="65" spans="1:10" ht="12.75" customHeight="1" x14ac:dyDescent="0.2">
      <c r="A65" s="130"/>
      <c r="B65" s="3"/>
      <c r="C65" s="9">
        <v>8000</v>
      </c>
      <c r="D65" s="9">
        <v>8000</v>
      </c>
      <c r="E65" s="7" t="s">
        <v>188</v>
      </c>
      <c r="F65" s="9">
        <v>5000</v>
      </c>
      <c r="G65" s="154">
        <v>15000</v>
      </c>
      <c r="H65" s="155">
        <v>4000</v>
      </c>
      <c r="I65" s="3"/>
    </row>
    <row r="66" spans="1:10" ht="15.75" customHeight="1" x14ac:dyDescent="0.2">
      <c r="A66" s="131"/>
      <c r="B66" s="3"/>
      <c r="C66" s="9">
        <f>SUM(C61:C65)</f>
        <v>34500</v>
      </c>
      <c r="D66" s="9">
        <f>SUM(D61:D65)</f>
        <v>14500</v>
      </c>
      <c r="E66" s="7" t="s">
        <v>42</v>
      </c>
      <c r="F66" s="9">
        <f>SUM(F61:F65)</f>
        <v>19500</v>
      </c>
      <c r="G66" s="154">
        <f>SUM(G61:G65)</f>
        <v>24500</v>
      </c>
      <c r="H66" s="156">
        <f>SUM(H61:H65)</f>
        <v>15000</v>
      </c>
      <c r="I66" s="3"/>
    </row>
    <row r="67" spans="1:10" ht="12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10" ht="12.75" customHeight="1" x14ac:dyDescent="0.15">
      <c r="A68" s="132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9"/>
      <c r="D70" s="157" t="s">
        <v>189</v>
      </c>
      <c r="E70" s="157" t="s">
        <v>185</v>
      </c>
      <c r="F70" s="157" t="s">
        <v>186</v>
      </c>
      <c r="G70" s="157" t="s">
        <v>187</v>
      </c>
      <c r="H70" s="157" t="s">
        <v>206</v>
      </c>
      <c r="I70" s="157" t="s">
        <v>191</v>
      </c>
      <c r="J70" s="157" t="s">
        <v>42</v>
      </c>
    </row>
    <row r="71" spans="1:10" ht="12.75" customHeight="1" x14ac:dyDescent="0.2">
      <c r="A71" s="62"/>
      <c r="B71" s="38" t="s">
        <v>192</v>
      </c>
      <c r="C71" s="164">
        <v>42746</v>
      </c>
      <c r="D71" s="34">
        <v>0</v>
      </c>
      <c r="E71" s="166">
        <v>4500</v>
      </c>
      <c r="F71" s="34">
        <v>7000</v>
      </c>
      <c r="G71" s="34">
        <v>0</v>
      </c>
      <c r="H71" s="34">
        <v>7500</v>
      </c>
      <c r="I71" s="170" t="s">
        <v>207</v>
      </c>
      <c r="J71" s="166">
        <f>SUM(D71:H71)</f>
        <v>19000</v>
      </c>
    </row>
    <row r="72" spans="1:10" ht="12.75" customHeight="1" x14ac:dyDescent="0.15">
      <c r="A72" s="3"/>
      <c r="B72" s="3"/>
      <c r="C72" s="9"/>
      <c r="D72" s="9"/>
      <c r="E72" s="35"/>
      <c r="F72" s="9"/>
      <c r="G72" s="9"/>
      <c r="H72" s="9"/>
      <c r="I72" s="9"/>
      <c r="J72" s="9"/>
    </row>
    <row r="73" spans="1:10" ht="12.75" customHeight="1" x14ac:dyDescent="0.15">
      <c r="A73" s="3"/>
      <c r="B73" s="3"/>
      <c r="C73" s="9"/>
      <c r="D73" s="9"/>
      <c r="E73" s="35"/>
      <c r="F73" s="9"/>
      <c r="G73" s="9"/>
      <c r="H73" s="9"/>
      <c r="I73" s="9"/>
      <c r="J73" s="9"/>
    </row>
    <row r="74" spans="1:10" ht="12.75" customHeight="1" x14ac:dyDescent="0.15">
      <c r="A74" s="3"/>
      <c r="B74" s="3"/>
      <c r="C74" s="9"/>
      <c r="D74" s="9"/>
      <c r="E74" s="35"/>
      <c r="F74" s="9"/>
      <c r="G74" s="9"/>
      <c r="H74" s="9"/>
      <c r="I74" s="9"/>
      <c r="J74" s="9"/>
    </row>
    <row r="75" spans="1:10" ht="12.75" customHeight="1" x14ac:dyDescent="0.15">
      <c r="A75" s="3"/>
      <c r="B75" s="3"/>
      <c r="C75" s="9"/>
      <c r="D75" s="9"/>
      <c r="E75" s="35"/>
      <c r="F75" s="9"/>
      <c r="G75" s="9"/>
      <c r="H75" s="9"/>
      <c r="I75" s="9"/>
      <c r="J75" s="9"/>
    </row>
    <row r="76" spans="1:10" ht="12.75" customHeight="1" x14ac:dyDescent="0.15">
      <c r="A76" s="3"/>
      <c r="B76" s="3"/>
      <c r="C76" s="9"/>
      <c r="D76" s="9"/>
      <c r="E76" s="35"/>
      <c r="F76" s="9"/>
      <c r="G76" s="9"/>
      <c r="H76" s="9"/>
      <c r="I76" s="9"/>
      <c r="J76" s="9"/>
    </row>
    <row r="77" spans="1:10" ht="12.75" customHeight="1" x14ac:dyDescent="0.15">
      <c r="A77" s="3"/>
      <c r="B77" s="3"/>
      <c r="C77" s="9"/>
      <c r="D77" s="9"/>
      <c r="E77" s="35"/>
      <c r="F77" s="9"/>
      <c r="G77" s="9"/>
      <c r="H77" s="9"/>
      <c r="I77" s="9"/>
      <c r="J77" s="9"/>
    </row>
    <row r="78" spans="1:10" ht="12.75" customHeight="1" x14ac:dyDescent="0.15">
      <c r="A78" s="3"/>
      <c r="B78" s="3"/>
      <c r="C78" s="9"/>
      <c r="D78" s="9"/>
      <c r="E78" s="35"/>
      <c r="F78" s="9"/>
      <c r="G78" s="9"/>
      <c r="H78" s="9"/>
      <c r="I78" s="9"/>
      <c r="J78" s="9"/>
    </row>
    <row r="79" spans="1:10" ht="12.75" customHeight="1" x14ac:dyDescent="0.15">
      <c r="A79" s="3"/>
      <c r="B79" s="3"/>
      <c r="C79" s="9"/>
      <c r="D79" s="9"/>
      <c r="E79" s="35"/>
      <c r="F79" s="9"/>
      <c r="G79" s="9"/>
      <c r="H79" s="9"/>
      <c r="I79" s="9"/>
      <c r="J79" s="9"/>
    </row>
    <row r="80" spans="1:10" ht="12.75" customHeight="1" x14ac:dyDescent="0.15">
      <c r="A80" s="3"/>
      <c r="B80" s="3"/>
      <c r="C80" s="9"/>
      <c r="D80" s="9"/>
      <c r="E80" s="35"/>
      <c r="F80" s="9"/>
      <c r="G80" s="9"/>
      <c r="H80" s="9"/>
      <c r="I80" s="9"/>
      <c r="J80" s="9"/>
    </row>
    <row r="81" spans="1:10" ht="12.75" customHeight="1" x14ac:dyDescent="0.15">
      <c r="A81" s="3"/>
      <c r="B81" s="3"/>
      <c r="C81" s="9"/>
      <c r="D81" s="9"/>
      <c r="E81" s="35"/>
      <c r="F81" s="9"/>
      <c r="G81" s="9"/>
      <c r="H81" s="9"/>
      <c r="I81" s="9"/>
      <c r="J81" s="9"/>
    </row>
    <row r="82" spans="1:10" ht="12.75" customHeight="1" x14ac:dyDescent="0.15">
      <c r="A82" s="3"/>
      <c r="B82" s="3"/>
      <c r="C82" s="9"/>
      <c r="D82" s="9"/>
      <c r="E82" s="35"/>
      <c r="F82" s="9"/>
      <c r="G82" s="9"/>
      <c r="H82" s="9"/>
      <c r="I82" s="9"/>
      <c r="J82" s="9"/>
    </row>
    <row r="83" spans="1:10" ht="12.75" customHeight="1" x14ac:dyDescent="0.15">
      <c r="A83" s="3"/>
      <c r="B83" s="3"/>
      <c r="C83" s="9"/>
      <c r="D83" s="9"/>
      <c r="E83" s="35"/>
      <c r="F83" s="9"/>
      <c r="G83" s="9"/>
      <c r="H83" s="9"/>
      <c r="I83" s="9"/>
      <c r="J83" s="9"/>
    </row>
    <row r="84" spans="1:10" ht="12.75" customHeight="1" x14ac:dyDescent="0.15">
      <c r="A84" s="3"/>
      <c r="B84" s="3"/>
      <c r="C84" s="9"/>
      <c r="D84" s="9"/>
      <c r="E84" s="35"/>
      <c r="F84" s="9"/>
      <c r="G84" s="9"/>
      <c r="H84" s="9"/>
      <c r="I84" s="9"/>
      <c r="J84" s="9"/>
    </row>
    <row r="85" spans="1:10" ht="12.75" customHeight="1" x14ac:dyDescent="0.15">
      <c r="A85" s="3"/>
      <c r="B85" s="3"/>
      <c r="C85" s="9"/>
      <c r="D85" s="9"/>
      <c r="E85" s="35"/>
      <c r="F85" s="9"/>
      <c r="G85" s="9"/>
      <c r="H85" s="9"/>
      <c r="I85" s="9"/>
      <c r="J85" s="9"/>
    </row>
    <row r="86" spans="1:10" ht="12.75" customHeight="1" x14ac:dyDescent="0.15">
      <c r="A86" s="3"/>
      <c r="B86" s="3"/>
      <c r="C86" s="9"/>
      <c r="D86" s="9"/>
      <c r="E86" s="35"/>
      <c r="F86" s="9"/>
      <c r="G86" s="9"/>
      <c r="H86" s="9"/>
      <c r="I86" s="9"/>
      <c r="J86" s="9"/>
    </row>
    <row r="87" spans="1:10" ht="12.75" customHeight="1" x14ac:dyDescent="0.15">
      <c r="A87" s="3"/>
      <c r="B87" s="3"/>
      <c r="C87" s="9"/>
      <c r="D87" s="9"/>
      <c r="E87" s="35"/>
      <c r="F87" s="9"/>
      <c r="G87" s="9"/>
      <c r="H87" s="9"/>
      <c r="I87" s="9"/>
      <c r="J87" s="9"/>
    </row>
    <row r="88" spans="1:10" ht="12.75" customHeight="1" x14ac:dyDescent="0.15">
      <c r="A88" s="3"/>
      <c r="B88" s="3"/>
      <c r="C88" s="9"/>
      <c r="D88" s="9"/>
      <c r="E88" s="35"/>
      <c r="F88" s="9"/>
      <c r="G88" s="9"/>
      <c r="H88" s="9"/>
      <c r="I88" s="9"/>
      <c r="J88" s="9"/>
    </row>
    <row r="89" spans="1:10" ht="12.75" customHeight="1" x14ac:dyDescent="0.15">
      <c r="A89" s="3"/>
      <c r="B89" s="3"/>
      <c r="C89" s="9"/>
      <c r="D89" s="9"/>
      <c r="E89" s="35"/>
      <c r="F89" s="9"/>
      <c r="G89" s="9"/>
      <c r="H89" s="9"/>
      <c r="I89" s="9"/>
      <c r="J89" s="9"/>
    </row>
    <row r="90" spans="1:10" ht="12.75" customHeight="1" x14ac:dyDescent="0.15">
      <c r="A90" s="3"/>
      <c r="B90" s="3"/>
      <c r="C90" s="9"/>
      <c r="D90" s="9"/>
      <c r="E90" s="35"/>
      <c r="F90" s="9"/>
      <c r="G90" s="9"/>
      <c r="H90" s="9"/>
      <c r="I90" s="9"/>
      <c r="J90" s="9"/>
    </row>
    <row r="91" spans="1:10" ht="12.75" customHeight="1" x14ac:dyDescent="0.15">
      <c r="A91" s="3"/>
      <c r="B91" s="3"/>
      <c r="C91" s="9"/>
      <c r="D91" s="9"/>
      <c r="E91" s="35"/>
      <c r="F91" s="9"/>
      <c r="G91" s="9"/>
      <c r="H91" s="9"/>
      <c r="I91" s="9"/>
      <c r="J91" s="9"/>
    </row>
    <row r="92" spans="1:10" ht="12.75" customHeight="1" x14ac:dyDescent="0.15">
      <c r="A92" s="3"/>
      <c r="B92" s="3"/>
      <c r="C92" s="9"/>
      <c r="D92" s="9"/>
      <c r="E92" s="35"/>
      <c r="F92" s="9"/>
      <c r="G92" s="9"/>
      <c r="H92" s="9"/>
      <c r="I92" s="9"/>
      <c r="J92" s="9"/>
    </row>
    <row r="93" spans="1:10" ht="12.75" customHeight="1" x14ac:dyDescent="0.15">
      <c r="A93" s="3"/>
      <c r="B93" s="3"/>
      <c r="C93" s="9"/>
      <c r="D93" s="9"/>
      <c r="E93" s="35"/>
      <c r="F93" s="9"/>
      <c r="G93" s="9"/>
      <c r="H93" s="9"/>
      <c r="I93" s="9"/>
      <c r="J93" s="9"/>
    </row>
    <row r="94" spans="1:10" ht="12.75" customHeight="1" x14ac:dyDescent="0.15">
      <c r="A94" s="3"/>
      <c r="B94" s="3"/>
      <c r="C94" s="9"/>
      <c r="D94" s="9"/>
      <c r="E94" s="35"/>
      <c r="F94" s="9"/>
      <c r="G94" s="9"/>
      <c r="H94" s="9"/>
      <c r="I94" s="9"/>
      <c r="J94" s="9"/>
    </row>
    <row r="95" spans="1:10" ht="12.75" customHeight="1" x14ac:dyDescent="0.15">
      <c r="A95" s="3"/>
      <c r="B95" s="3"/>
      <c r="C95" s="9"/>
      <c r="D95" s="9"/>
      <c r="E95" s="35"/>
      <c r="F95" s="9"/>
      <c r="G95" s="9"/>
      <c r="H95" s="9"/>
      <c r="I95" s="9"/>
      <c r="J95" s="9"/>
    </row>
    <row r="96" spans="1:10" ht="12.75" customHeight="1" x14ac:dyDescent="0.15">
      <c r="A96" s="3"/>
      <c r="B96" s="3"/>
      <c r="C96" s="9"/>
      <c r="D96" s="9"/>
      <c r="E96" s="35"/>
      <c r="F96" s="9"/>
      <c r="G96" s="9"/>
      <c r="H96" s="9"/>
      <c r="I96" s="9"/>
      <c r="J96" s="9"/>
    </row>
    <row r="97" spans="1:10" ht="12.75" customHeight="1" x14ac:dyDescent="0.15">
      <c r="A97" s="3"/>
      <c r="B97" s="3"/>
      <c r="C97" s="9"/>
      <c r="D97" s="9"/>
      <c r="E97" s="35"/>
      <c r="F97" s="9"/>
      <c r="G97" s="9"/>
      <c r="H97" s="9"/>
      <c r="I97" s="9"/>
      <c r="J97" s="9"/>
    </row>
    <row r="98" spans="1:10" ht="12.75" customHeight="1" x14ac:dyDescent="0.15">
      <c r="A98" s="3"/>
      <c r="B98" s="3"/>
      <c r="C98" s="9"/>
      <c r="D98" s="9"/>
      <c r="E98" s="35"/>
      <c r="F98" s="9"/>
      <c r="G98" s="9"/>
      <c r="H98" s="9"/>
      <c r="I98" s="9"/>
      <c r="J98" s="9"/>
    </row>
    <row r="99" spans="1:10" ht="12.75" customHeight="1" x14ac:dyDescent="0.15">
      <c r="A99" s="3"/>
      <c r="B99" s="3"/>
      <c r="C99" s="9"/>
      <c r="D99" s="9"/>
      <c r="E99" s="35"/>
      <c r="F99" s="9"/>
      <c r="G99" s="9"/>
      <c r="H99" s="9"/>
      <c r="I99" s="9"/>
      <c r="J99" s="9"/>
    </row>
    <row r="100" spans="1:10" ht="12.75" customHeight="1" x14ac:dyDescent="0.15">
      <c r="A100" s="3"/>
      <c r="B100" s="3"/>
      <c r="C100" s="9"/>
      <c r="D100" s="9"/>
      <c r="E100" s="35"/>
      <c r="F100" s="9"/>
      <c r="G100" s="9"/>
      <c r="H100" s="9"/>
      <c r="I100" s="9"/>
      <c r="J100" s="9"/>
    </row>
    <row r="101" spans="1:10" ht="12.75" customHeight="1" x14ac:dyDescent="0.15">
      <c r="A101" s="3"/>
      <c r="B101" s="3"/>
      <c r="C101" s="9"/>
      <c r="D101" s="9"/>
      <c r="E101" s="35"/>
      <c r="F101" s="9"/>
      <c r="G101" s="9"/>
      <c r="H101" s="9"/>
      <c r="I101" s="9"/>
      <c r="J101" s="9"/>
    </row>
    <row r="102" spans="1:10" ht="12.75" customHeight="1" x14ac:dyDescent="0.15">
      <c r="A102" s="3"/>
      <c r="B102" s="3"/>
      <c r="C102" s="9"/>
      <c r="D102" s="9"/>
      <c r="E102" s="35"/>
      <c r="F102" s="9"/>
      <c r="G102" s="9"/>
      <c r="H102" s="9"/>
      <c r="I102" s="9"/>
      <c r="J102" s="9"/>
    </row>
    <row r="103" spans="1:10" ht="12.75" customHeight="1" x14ac:dyDescent="0.15">
      <c r="A103" s="3"/>
      <c r="B103" s="3"/>
      <c r="C103" s="9"/>
      <c r="D103" s="9"/>
      <c r="E103" s="35"/>
      <c r="F103" s="9"/>
      <c r="G103" s="9"/>
      <c r="H103" s="9"/>
      <c r="I103" s="9"/>
      <c r="J103" s="9"/>
    </row>
    <row r="104" spans="1:10" ht="12.75" customHeight="1" x14ac:dyDescent="0.15">
      <c r="A104" s="3"/>
      <c r="B104" s="3"/>
      <c r="C104" s="9"/>
      <c r="D104" s="9"/>
      <c r="E104" s="35"/>
      <c r="F104" s="9"/>
      <c r="G104" s="9"/>
      <c r="H104" s="9"/>
      <c r="I104" s="9"/>
      <c r="J104" s="9"/>
    </row>
    <row r="105" spans="1:10" ht="12.75" customHeight="1" x14ac:dyDescent="0.15">
      <c r="A105" s="3"/>
      <c r="B105" s="3"/>
      <c r="C105" s="9"/>
      <c r="D105" s="9"/>
      <c r="E105" s="35"/>
      <c r="F105" s="9"/>
      <c r="G105" s="9"/>
      <c r="H105" s="9"/>
      <c r="I105" s="9"/>
      <c r="J105" s="9"/>
    </row>
    <row r="106" spans="1:10" ht="12.75" customHeight="1" x14ac:dyDescent="0.15">
      <c r="A106" s="3"/>
      <c r="B106" s="3"/>
      <c r="C106" s="9"/>
      <c r="D106" s="9"/>
      <c r="E106" s="35"/>
      <c r="F106" s="9"/>
      <c r="G106" s="9"/>
      <c r="H106" s="9"/>
      <c r="I106" s="9"/>
      <c r="J106" s="9"/>
    </row>
    <row r="107" spans="1:10" ht="12.75" customHeight="1" x14ac:dyDescent="0.15">
      <c r="A107" s="3"/>
      <c r="B107" s="3"/>
      <c r="C107" s="9"/>
      <c r="D107" s="9"/>
      <c r="E107" s="35"/>
      <c r="F107" s="9"/>
      <c r="G107" s="9"/>
      <c r="H107" s="9"/>
      <c r="I107" s="9"/>
      <c r="J107" s="9"/>
    </row>
    <row r="108" spans="1:10" ht="12.75" customHeight="1" x14ac:dyDescent="0.15">
      <c r="A108" s="3"/>
      <c r="B108" s="3"/>
      <c r="C108" s="9"/>
      <c r="D108" s="9"/>
      <c r="E108" s="35"/>
      <c r="F108" s="9"/>
      <c r="G108" s="9"/>
      <c r="H108" s="9"/>
      <c r="I108" s="9"/>
      <c r="J108" s="9"/>
    </row>
    <row r="109" spans="1:10" ht="12.75" customHeight="1" x14ac:dyDescent="0.15">
      <c r="A109" s="3"/>
      <c r="B109" s="3"/>
      <c r="C109" s="9"/>
      <c r="D109" s="9"/>
      <c r="E109" s="35"/>
      <c r="F109" s="9"/>
      <c r="G109" s="9"/>
      <c r="H109" s="9"/>
      <c r="I109" s="9"/>
      <c r="J109" s="9"/>
    </row>
    <row r="110" spans="1:10" ht="12.75" customHeight="1" x14ac:dyDescent="0.15">
      <c r="A110" s="3"/>
      <c r="B110" s="3"/>
      <c r="C110" s="9"/>
      <c r="D110" s="9"/>
      <c r="E110" s="35"/>
      <c r="F110" s="9"/>
      <c r="G110" s="9"/>
      <c r="H110" s="9"/>
      <c r="I110" s="9"/>
      <c r="J110" s="9"/>
    </row>
    <row r="111" spans="1:10" ht="12.75" customHeight="1" x14ac:dyDescent="0.15">
      <c r="A111" s="3"/>
      <c r="B111" s="3"/>
      <c r="C111" s="9"/>
      <c r="D111" s="9"/>
      <c r="E111" s="35"/>
      <c r="F111" s="9"/>
      <c r="G111" s="9"/>
      <c r="H111" s="9"/>
      <c r="I111" s="9"/>
      <c r="J111" s="9"/>
    </row>
    <row r="112" spans="1:10" ht="12.75" customHeight="1" x14ac:dyDescent="0.15">
      <c r="A112" s="3"/>
      <c r="B112" s="3"/>
      <c r="C112" s="9"/>
      <c r="D112" s="9"/>
      <c r="E112" s="35"/>
      <c r="F112" s="9"/>
      <c r="G112" s="9"/>
      <c r="H112" s="9"/>
      <c r="I112" s="9"/>
      <c r="J112" s="9"/>
    </row>
    <row r="113" spans="1:10" ht="12.75" customHeight="1" x14ac:dyDescent="0.15">
      <c r="A113" s="3"/>
      <c r="B113" s="3"/>
      <c r="C113" s="9"/>
      <c r="D113" s="9"/>
      <c r="E113" s="35"/>
      <c r="F113" s="9"/>
      <c r="G113" s="9"/>
      <c r="H113" s="9"/>
      <c r="I113" s="9"/>
      <c r="J113" s="9"/>
    </row>
    <row r="114" spans="1:10" ht="12.75" customHeight="1" x14ac:dyDescent="0.15">
      <c r="A114" s="3"/>
      <c r="B114" s="3"/>
      <c r="C114" s="9"/>
      <c r="D114" s="9"/>
      <c r="E114" s="35"/>
      <c r="F114" s="9"/>
      <c r="G114" s="9"/>
      <c r="H114" s="9"/>
      <c r="I114" s="9"/>
      <c r="J114" s="9"/>
    </row>
    <row r="115" spans="1:10" ht="12.75" customHeight="1" x14ac:dyDescent="0.15">
      <c r="A115" s="3"/>
      <c r="B115" s="3"/>
      <c r="C115" s="9"/>
      <c r="D115" s="9"/>
      <c r="E115" s="35"/>
      <c r="F115" s="9"/>
      <c r="G115" s="9"/>
      <c r="H115" s="9"/>
      <c r="I115" s="9"/>
      <c r="J115" s="9"/>
    </row>
    <row r="116" spans="1:10" ht="12.75" customHeight="1" x14ac:dyDescent="0.15">
      <c r="A116" s="3"/>
      <c r="B116" s="3"/>
      <c r="C116" s="9"/>
      <c r="D116" s="9"/>
      <c r="E116" s="35"/>
      <c r="F116" s="9"/>
      <c r="G116" s="9"/>
      <c r="H116" s="9"/>
      <c r="I116" s="9"/>
      <c r="J116" s="9"/>
    </row>
    <row r="117" spans="1:10" ht="12.75" customHeight="1" x14ac:dyDescent="0.15">
      <c r="A117" s="3"/>
      <c r="B117" s="3"/>
      <c r="C117" s="9"/>
      <c r="D117" s="9"/>
      <c r="E117" s="35"/>
      <c r="F117" s="9"/>
      <c r="G117" s="9"/>
      <c r="H117" s="9"/>
      <c r="I117" s="9"/>
      <c r="J117" s="9"/>
    </row>
    <row r="118" spans="1:10" ht="12.75" customHeight="1" x14ac:dyDescent="0.15">
      <c r="A118" s="3"/>
      <c r="B118" s="3"/>
      <c r="C118" s="9"/>
      <c r="D118" s="9"/>
      <c r="E118" s="35"/>
      <c r="F118" s="9"/>
      <c r="G118" s="9"/>
      <c r="H118" s="9"/>
      <c r="I118" s="9"/>
      <c r="J118" s="9"/>
    </row>
    <row r="119" spans="1:10" ht="12.75" customHeight="1" x14ac:dyDescent="0.15">
      <c r="A119" s="3"/>
      <c r="B119" s="3"/>
      <c r="C119" s="9"/>
      <c r="D119" s="9"/>
      <c r="E119" s="35"/>
      <c r="F119" s="9"/>
      <c r="G119" s="9"/>
      <c r="H119" s="9"/>
      <c r="I119" s="9"/>
      <c r="J119" s="9"/>
    </row>
    <row r="120" spans="1:10" ht="12.75" customHeight="1" x14ac:dyDescent="0.15">
      <c r="A120" s="3"/>
      <c r="B120" s="3"/>
      <c r="C120" s="9"/>
      <c r="D120" s="9"/>
      <c r="E120" s="35"/>
      <c r="F120" s="9"/>
      <c r="G120" s="9"/>
      <c r="H120" s="9"/>
      <c r="I120" s="9"/>
      <c r="J120" s="9"/>
    </row>
    <row r="121" spans="1:10" ht="12.75" customHeight="1" x14ac:dyDescent="0.15">
      <c r="A121" s="3"/>
      <c r="B121" s="3"/>
      <c r="C121" s="9"/>
      <c r="D121" s="9"/>
      <c r="E121" s="35"/>
      <c r="F121" s="9"/>
      <c r="G121" s="9"/>
      <c r="H121" s="9"/>
      <c r="I121" s="9"/>
      <c r="J121" s="9"/>
    </row>
    <row r="122" spans="1:10" ht="12.75" customHeight="1" x14ac:dyDescent="0.15">
      <c r="A122" s="3"/>
      <c r="B122" s="3"/>
      <c r="C122" s="9"/>
      <c r="D122" s="9"/>
      <c r="E122" s="35"/>
      <c r="F122" s="9"/>
      <c r="G122" s="9"/>
      <c r="H122" s="9"/>
      <c r="I122" s="9"/>
      <c r="J122" s="9"/>
    </row>
    <row r="123" spans="1:10" ht="12.75" customHeight="1" x14ac:dyDescent="0.15">
      <c r="A123" s="3"/>
      <c r="B123" s="3"/>
      <c r="C123" s="9"/>
      <c r="D123" s="9"/>
      <c r="E123" s="35"/>
      <c r="F123" s="9"/>
      <c r="G123" s="9"/>
      <c r="H123" s="9"/>
      <c r="I123" s="9"/>
      <c r="J123" s="9"/>
    </row>
    <row r="124" spans="1:10" ht="12.75" customHeight="1" x14ac:dyDescent="0.15">
      <c r="A124" s="3"/>
      <c r="B124" s="3"/>
      <c r="C124" s="9"/>
      <c r="D124" s="9"/>
      <c r="E124" s="35"/>
      <c r="F124" s="9"/>
      <c r="G124" s="9"/>
      <c r="H124" s="9"/>
      <c r="I124" s="9"/>
      <c r="J124" s="9"/>
    </row>
    <row r="125" spans="1:10" ht="12.75" customHeight="1" x14ac:dyDescent="0.15">
      <c r="A125" s="3"/>
      <c r="B125" s="3"/>
      <c r="C125" s="9"/>
      <c r="D125" s="9"/>
      <c r="E125" s="35"/>
      <c r="F125" s="9"/>
      <c r="G125" s="9"/>
      <c r="H125" s="9"/>
      <c r="I125" s="9"/>
      <c r="J125" s="9"/>
    </row>
    <row r="126" spans="1:10" ht="12.75" customHeight="1" x14ac:dyDescent="0.15">
      <c r="A126" s="3"/>
      <c r="B126" s="3"/>
      <c r="C126" s="9"/>
      <c r="D126" s="9"/>
      <c r="E126" s="35"/>
      <c r="F126" s="9"/>
      <c r="G126" s="9"/>
      <c r="H126" s="9"/>
      <c r="I126" s="9"/>
      <c r="J126" s="9"/>
    </row>
    <row r="127" spans="1:10" ht="12.75" customHeight="1" x14ac:dyDescent="0.15">
      <c r="A127" s="3"/>
      <c r="B127" s="3"/>
      <c r="C127" s="9"/>
      <c r="D127" s="9"/>
      <c r="E127" s="35"/>
      <c r="F127" s="9"/>
      <c r="G127" s="9"/>
      <c r="H127" s="9"/>
      <c r="I127" s="9"/>
      <c r="J127" s="9"/>
    </row>
    <row r="128" spans="1:10" ht="12.75" customHeight="1" x14ac:dyDescent="0.15">
      <c r="A128" s="3"/>
      <c r="B128" s="3"/>
      <c r="C128" s="9"/>
      <c r="D128" s="9"/>
      <c r="E128" s="35"/>
      <c r="F128" s="9"/>
      <c r="G128" s="9"/>
      <c r="H128" s="9"/>
      <c r="I128" s="9"/>
      <c r="J128" s="9"/>
    </row>
    <row r="129" spans="1:10" ht="12.75" customHeight="1" x14ac:dyDescent="0.15">
      <c r="A129" s="3"/>
      <c r="B129" s="3"/>
      <c r="C129" s="9"/>
      <c r="D129" s="9"/>
      <c r="E129" s="35"/>
      <c r="F129" s="9"/>
      <c r="G129" s="9"/>
      <c r="H129" s="9"/>
      <c r="I129" s="9"/>
      <c r="J129" s="9"/>
    </row>
    <row r="130" spans="1:10" ht="12.75" customHeight="1" x14ac:dyDescent="0.15">
      <c r="A130" s="3"/>
      <c r="B130" s="3"/>
      <c r="C130" s="9"/>
      <c r="D130" s="9"/>
      <c r="E130" s="35"/>
      <c r="F130" s="9"/>
      <c r="G130" s="9"/>
      <c r="H130" s="9"/>
      <c r="I130" s="9"/>
      <c r="J130" s="9"/>
    </row>
    <row r="131" spans="1:10" ht="12.75" customHeight="1" x14ac:dyDescent="0.15">
      <c r="A131" s="3"/>
      <c r="B131" s="3"/>
      <c r="C131" s="9"/>
      <c r="D131" s="9"/>
      <c r="E131" s="35"/>
      <c r="F131" s="9"/>
      <c r="G131" s="9"/>
      <c r="H131" s="9"/>
      <c r="I131" s="9"/>
      <c r="J131" s="9"/>
    </row>
    <row r="132" spans="1:10" ht="12.75" customHeight="1" x14ac:dyDescent="0.15">
      <c r="A132" s="3"/>
      <c r="B132" s="3"/>
      <c r="C132" s="9"/>
      <c r="D132" s="9"/>
      <c r="E132" s="35"/>
      <c r="F132" s="9"/>
      <c r="G132" s="9"/>
      <c r="H132" s="9"/>
      <c r="I132" s="9"/>
      <c r="J132" s="9"/>
    </row>
    <row r="133" spans="1:10" ht="12.75" customHeight="1" x14ac:dyDescent="0.15">
      <c r="A133" s="3"/>
      <c r="B133" s="3"/>
      <c r="C133" s="9"/>
      <c r="D133" s="9"/>
      <c r="E133" s="35"/>
      <c r="F133" s="9"/>
      <c r="G133" s="9"/>
      <c r="H133" s="9"/>
      <c r="I133" s="9"/>
      <c r="J133" s="9"/>
    </row>
    <row r="134" spans="1:10" ht="12.75" customHeight="1" x14ac:dyDescent="0.15">
      <c r="A134" s="3"/>
      <c r="B134" s="3"/>
      <c r="C134" s="9"/>
      <c r="D134" s="9"/>
      <c r="E134" s="35"/>
      <c r="F134" s="9"/>
      <c r="G134" s="9"/>
      <c r="H134" s="9"/>
      <c r="I134" s="9"/>
      <c r="J134" s="9"/>
    </row>
    <row r="135" spans="1:10" ht="12.75" customHeight="1" x14ac:dyDescent="0.15">
      <c r="A135" s="3"/>
      <c r="B135" s="3"/>
      <c r="C135" s="9"/>
      <c r="D135" s="9"/>
      <c r="E135" s="35"/>
      <c r="F135" s="9"/>
      <c r="G135" s="9"/>
      <c r="H135" s="9"/>
      <c r="I135" s="9"/>
      <c r="J135" s="9"/>
    </row>
    <row r="136" spans="1:10" ht="12.75" customHeight="1" x14ac:dyDescent="0.15">
      <c r="A136" s="3"/>
      <c r="B136" s="3"/>
      <c r="C136" s="9"/>
      <c r="D136" s="9"/>
      <c r="E136" s="35"/>
      <c r="F136" s="9"/>
      <c r="G136" s="9"/>
      <c r="H136" s="9"/>
      <c r="I136" s="9"/>
      <c r="J136" s="9"/>
    </row>
    <row r="137" spans="1:10" ht="12.75" customHeight="1" x14ac:dyDescent="0.15">
      <c r="A137" s="3"/>
      <c r="B137" s="3"/>
      <c r="C137" s="9"/>
      <c r="D137" s="9"/>
      <c r="E137" s="35"/>
      <c r="F137" s="9"/>
      <c r="G137" s="9"/>
      <c r="H137" s="9"/>
      <c r="I137" s="9"/>
      <c r="J137" s="9"/>
    </row>
    <row r="138" spans="1:10" ht="12.75" customHeight="1" x14ac:dyDescent="0.15">
      <c r="A138" s="3"/>
      <c r="B138" s="3"/>
      <c r="C138" s="9"/>
      <c r="D138" s="9"/>
      <c r="E138" s="35"/>
      <c r="F138" s="9"/>
      <c r="G138" s="9"/>
      <c r="H138" s="9"/>
      <c r="I138" s="9"/>
      <c r="J138" s="9"/>
    </row>
    <row r="139" spans="1:10" ht="12.75" customHeight="1" x14ac:dyDescent="0.15">
      <c r="A139" s="3"/>
      <c r="B139" s="3"/>
      <c r="C139" s="9"/>
      <c r="D139" s="9"/>
      <c r="E139" s="35"/>
      <c r="F139" s="9"/>
      <c r="G139" s="9"/>
      <c r="H139" s="9"/>
      <c r="I139" s="9"/>
      <c r="J139" s="9"/>
    </row>
    <row r="140" spans="1:10" ht="12.75" customHeight="1" x14ac:dyDescent="0.15">
      <c r="A140" s="3"/>
      <c r="B140" s="3"/>
      <c r="C140" s="9"/>
      <c r="D140" s="9"/>
      <c r="E140" s="35"/>
      <c r="F140" s="9"/>
      <c r="G140" s="9"/>
      <c r="H140" s="9"/>
      <c r="I140" s="9"/>
      <c r="J140" s="9"/>
    </row>
    <row r="141" spans="1:10" ht="12.75" customHeight="1" x14ac:dyDescent="0.15">
      <c r="A141" s="3"/>
      <c r="B141" s="3"/>
      <c r="C141" s="9"/>
      <c r="D141" s="9"/>
      <c r="E141" s="35"/>
      <c r="F141" s="9"/>
      <c r="G141" s="9"/>
      <c r="H141" s="9"/>
      <c r="I141" s="9"/>
      <c r="J141" s="9"/>
    </row>
    <row r="142" spans="1:10" ht="12.75" customHeight="1" x14ac:dyDescent="0.15">
      <c r="A142" s="3"/>
      <c r="B142" s="3"/>
      <c r="C142" s="9"/>
      <c r="D142" s="9"/>
      <c r="E142" s="35"/>
      <c r="F142" s="9"/>
      <c r="G142" s="9"/>
      <c r="H142" s="9"/>
      <c r="I142" s="9"/>
      <c r="J142" s="9"/>
    </row>
    <row r="143" spans="1:10" ht="12.75" customHeight="1" x14ac:dyDescent="0.15">
      <c r="A143" s="3"/>
      <c r="B143" s="3"/>
      <c r="C143" s="9"/>
      <c r="D143" s="9"/>
      <c r="E143" s="35"/>
      <c r="F143" s="9"/>
      <c r="G143" s="9"/>
      <c r="H143" s="9"/>
      <c r="I143" s="9"/>
      <c r="J143" s="9"/>
    </row>
    <row r="144" spans="1:10" ht="12.75" customHeight="1" x14ac:dyDescent="0.15">
      <c r="A144" s="3"/>
      <c r="B144" s="3"/>
      <c r="C144" s="9"/>
      <c r="D144" s="9"/>
      <c r="E144" s="35"/>
      <c r="F144" s="9"/>
      <c r="G144" s="9"/>
      <c r="H144" s="9"/>
      <c r="I144" s="9"/>
      <c r="J144" s="9"/>
    </row>
    <row r="145" spans="1:10" ht="12.75" customHeight="1" x14ac:dyDescent="0.15">
      <c r="A145" s="3"/>
      <c r="B145" s="3"/>
      <c r="C145" s="9"/>
      <c r="D145" s="9"/>
      <c r="E145" s="35"/>
      <c r="F145" s="9"/>
      <c r="G145" s="9"/>
      <c r="H145" s="9"/>
      <c r="I145" s="9"/>
      <c r="J145" s="9"/>
    </row>
    <row r="146" spans="1:10" ht="12.75" customHeight="1" x14ac:dyDescent="0.15">
      <c r="A146" s="3"/>
      <c r="B146" s="3"/>
      <c r="C146" s="9"/>
      <c r="D146" s="9"/>
      <c r="E146" s="35"/>
      <c r="F146" s="9"/>
      <c r="G146" s="9"/>
      <c r="H146" s="9"/>
      <c r="I146" s="9"/>
      <c r="J146" s="9"/>
    </row>
    <row r="147" spans="1:10" ht="12.75" customHeight="1" x14ac:dyDescent="0.15">
      <c r="A147" s="3"/>
      <c r="B147" s="3"/>
      <c r="C147" s="9"/>
      <c r="D147" s="9"/>
      <c r="E147" s="35"/>
      <c r="F147" s="9"/>
      <c r="G147" s="9"/>
      <c r="H147" s="9"/>
      <c r="I147" s="9"/>
      <c r="J147" s="9"/>
    </row>
    <row r="148" spans="1:10" ht="12.75" customHeight="1" x14ac:dyDescent="0.15">
      <c r="A148" s="3"/>
      <c r="B148" s="3"/>
      <c r="C148" s="9"/>
      <c r="D148" s="9"/>
      <c r="E148" s="35"/>
      <c r="F148" s="9"/>
      <c r="G148" s="9"/>
      <c r="H148" s="9"/>
      <c r="I148" s="9"/>
      <c r="J148" s="9"/>
    </row>
    <row r="149" spans="1:10" ht="12.75" customHeight="1" x14ac:dyDescent="0.15">
      <c r="A149" s="3"/>
      <c r="B149" s="3"/>
      <c r="C149" s="9"/>
      <c r="D149" s="9"/>
      <c r="E149" s="35"/>
      <c r="F149" s="9"/>
      <c r="G149" s="9"/>
      <c r="H149" s="9"/>
      <c r="I149" s="9"/>
      <c r="J149" s="9"/>
    </row>
    <row r="150" spans="1:10" ht="12.75" customHeight="1" x14ac:dyDescent="0.15">
      <c r="A150" s="3"/>
      <c r="B150" s="3"/>
      <c r="C150" s="9"/>
      <c r="D150" s="9"/>
      <c r="E150" s="35"/>
      <c r="F150" s="9"/>
      <c r="G150" s="9"/>
      <c r="H150" s="9"/>
      <c r="I150" s="9"/>
      <c r="J150" s="9"/>
    </row>
    <row r="151" spans="1:10" ht="12.75" customHeight="1" x14ac:dyDescent="0.15">
      <c r="A151" s="3"/>
      <c r="B151" s="3"/>
      <c r="C151" s="9"/>
      <c r="D151" s="9"/>
      <c r="E151" s="35"/>
      <c r="F151" s="9"/>
      <c r="G151" s="9"/>
      <c r="H151" s="9"/>
      <c r="I151" s="9"/>
      <c r="J151" s="9"/>
    </row>
    <row r="152" spans="1:10" ht="12.75" customHeight="1" x14ac:dyDescent="0.15">
      <c r="A152" s="3"/>
      <c r="B152" s="3"/>
      <c r="C152" s="9"/>
      <c r="D152" s="9"/>
      <c r="E152" s="35"/>
      <c r="F152" s="9"/>
      <c r="G152" s="9"/>
      <c r="H152" s="9"/>
      <c r="I152" s="9"/>
      <c r="J152" s="9"/>
    </row>
    <row r="153" spans="1:10" ht="12.75" customHeight="1" x14ac:dyDescent="0.15">
      <c r="A153" s="3"/>
      <c r="B153" s="3"/>
      <c r="C153" s="9"/>
      <c r="D153" s="9"/>
      <c r="E153" s="35"/>
      <c r="F153" s="9"/>
      <c r="G153" s="9"/>
      <c r="H153" s="9"/>
      <c r="I153" s="9"/>
      <c r="J153" s="9"/>
    </row>
    <row r="154" spans="1:10" ht="12.75" customHeight="1" x14ac:dyDescent="0.15">
      <c r="A154" s="3"/>
      <c r="B154" s="3"/>
      <c r="C154" s="9"/>
      <c r="D154" s="9"/>
      <c r="E154" s="35"/>
      <c r="F154" s="9"/>
      <c r="G154" s="9"/>
      <c r="H154" s="9"/>
      <c r="I154" s="9"/>
      <c r="J154" s="9"/>
    </row>
    <row r="155" spans="1:10" ht="12.75" customHeight="1" x14ac:dyDescent="0.15">
      <c r="A155" s="3"/>
      <c r="B155" s="3"/>
      <c r="C155" s="9"/>
      <c r="D155" s="9"/>
      <c r="E155" s="35"/>
      <c r="F155" s="9"/>
      <c r="G155" s="9"/>
      <c r="H155" s="9"/>
      <c r="I155" s="9"/>
      <c r="J155" s="9"/>
    </row>
    <row r="156" spans="1:10" ht="12.75" customHeight="1" x14ac:dyDescent="0.15">
      <c r="A156" s="3"/>
      <c r="B156" s="3"/>
      <c r="C156" s="9"/>
      <c r="D156" s="9"/>
      <c r="E156" s="35"/>
      <c r="F156" s="9"/>
      <c r="G156" s="9"/>
      <c r="H156" s="9"/>
      <c r="I156" s="9"/>
      <c r="J156" s="9"/>
    </row>
    <row r="157" spans="1:10" ht="12.75" customHeight="1" x14ac:dyDescent="0.15">
      <c r="A157" s="3"/>
      <c r="B157" s="3"/>
      <c r="C157" s="9"/>
      <c r="D157" s="9"/>
      <c r="E157" s="35"/>
      <c r="F157" s="9"/>
      <c r="G157" s="9"/>
      <c r="H157" s="9"/>
      <c r="I157" s="9"/>
      <c r="J157" s="9"/>
    </row>
    <row r="158" spans="1:10" ht="12.75" customHeight="1" x14ac:dyDescent="0.15">
      <c r="A158" s="3"/>
      <c r="B158" s="3"/>
      <c r="C158" s="9"/>
      <c r="D158" s="9"/>
      <c r="E158" s="35"/>
      <c r="F158" s="9"/>
      <c r="G158" s="9"/>
      <c r="H158" s="9"/>
      <c r="I158" s="9"/>
      <c r="J158" s="9"/>
    </row>
    <row r="159" spans="1:10" ht="12.75" customHeight="1" x14ac:dyDescent="0.15">
      <c r="A159" s="3"/>
      <c r="B159" s="3"/>
      <c r="C159" s="9"/>
      <c r="D159" s="9"/>
      <c r="E159" s="35"/>
      <c r="F159" s="9"/>
      <c r="G159" s="9"/>
      <c r="H159" s="9"/>
      <c r="I159" s="9"/>
      <c r="J159" s="9"/>
    </row>
    <row r="160" spans="1:10" ht="12.75" customHeight="1" x14ac:dyDescent="0.15">
      <c r="A160" s="3"/>
      <c r="B160" s="3"/>
      <c r="C160" s="9"/>
      <c r="D160" s="9"/>
      <c r="E160" s="35"/>
      <c r="F160" s="9"/>
      <c r="G160" s="9"/>
      <c r="H160" s="9"/>
      <c r="I160" s="9"/>
      <c r="J160" s="9"/>
    </row>
    <row r="161" spans="1:10" ht="12.75" customHeight="1" x14ac:dyDescent="0.15">
      <c r="A161" s="3"/>
      <c r="B161" s="3"/>
      <c r="C161" s="9"/>
      <c r="D161" s="9"/>
      <c r="E161" s="35"/>
      <c r="F161" s="9"/>
      <c r="G161" s="9"/>
      <c r="H161" s="9"/>
      <c r="I161" s="9"/>
      <c r="J161" s="9"/>
    </row>
    <row r="162" spans="1:10" ht="12.75" customHeight="1" x14ac:dyDescent="0.15">
      <c r="A162" s="3"/>
      <c r="B162" s="3"/>
      <c r="C162" s="9"/>
      <c r="D162" s="9"/>
      <c r="E162" s="35"/>
      <c r="F162" s="9"/>
      <c r="G162" s="9"/>
      <c r="H162" s="9"/>
      <c r="I162" s="9"/>
      <c r="J162" s="9"/>
    </row>
    <row r="163" spans="1:10" ht="12.75" customHeight="1" x14ac:dyDescent="0.15">
      <c r="A163" s="3"/>
      <c r="B163" s="3"/>
      <c r="C163" s="9"/>
      <c r="D163" s="9"/>
      <c r="E163" s="35"/>
      <c r="F163" s="9"/>
      <c r="G163" s="9"/>
      <c r="H163" s="9"/>
      <c r="I163" s="9"/>
      <c r="J163" s="9"/>
    </row>
    <row r="164" spans="1:10" ht="12.75" customHeight="1" x14ac:dyDescent="0.15">
      <c r="A164" s="3"/>
      <c r="B164" s="3"/>
      <c r="C164" s="9"/>
      <c r="D164" s="9"/>
      <c r="E164" s="35"/>
      <c r="F164" s="9"/>
      <c r="G164" s="9"/>
      <c r="H164" s="9"/>
      <c r="I164" s="9"/>
      <c r="J164" s="9"/>
    </row>
    <row r="165" spans="1:10" ht="12.75" customHeight="1" x14ac:dyDescent="0.15">
      <c r="A165" s="3"/>
      <c r="B165" s="3"/>
      <c r="C165" s="9"/>
      <c r="D165" s="9"/>
      <c r="E165" s="35"/>
      <c r="F165" s="9"/>
      <c r="G165" s="9"/>
      <c r="H165" s="9"/>
      <c r="I165" s="9"/>
      <c r="J165" s="9"/>
    </row>
    <row r="166" spans="1:10" ht="12.75" customHeight="1" x14ac:dyDescent="0.15">
      <c r="A166" s="3"/>
      <c r="B166" s="3"/>
      <c r="C166" s="9"/>
      <c r="D166" s="9"/>
      <c r="E166" s="35"/>
      <c r="F166" s="9"/>
      <c r="G166" s="9"/>
      <c r="H166" s="9"/>
      <c r="I166" s="9"/>
      <c r="J166" s="9"/>
    </row>
    <row r="167" spans="1:10" ht="12.75" customHeight="1" x14ac:dyDescent="0.15">
      <c r="A167" s="3"/>
      <c r="B167" s="3"/>
      <c r="C167" s="9"/>
      <c r="D167" s="9"/>
      <c r="E167" s="35"/>
      <c r="F167" s="9"/>
      <c r="G167" s="9"/>
      <c r="H167" s="9"/>
      <c r="I167" s="9"/>
      <c r="J167" s="9"/>
    </row>
    <row r="168" spans="1:10" ht="12.75" customHeight="1" x14ac:dyDescent="0.15">
      <c r="A168" s="3"/>
      <c r="B168" s="3"/>
      <c r="C168" s="9"/>
      <c r="D168" s="9"/>
      <c r="E168" s="35"/>
      <c r="F168" s="9"/>
      <c r="G168" s="9"/>
      <c r="H168" s="9"/>
      <c r="I168" s="9"/>
      <c r="J168" s="9"/>
    </row>
    <row r="169" spans="1:10" ht="12.75" customHeight="1" x14ac:dyDescent="0.15">
      <c r="A169" s="3"/>
      <c r="B169" s="3"/>
      <c r="C169" s="9"/>
      <c r="D169" s="9"/>
      <c r="E169" s="35"/>
      <c r="F169" s="9"/>
      <c r="G169" s="9"/>
      <c r="H169" s="9"/>
      <c r="I169" s="9"/>
      <c r="J169" s="9"/>
    </row>
    <row r="170" spans="1:10" ht="12.75" customHeight="1" x14ac:dyDescent="0.15">
      <c r="A170" s="3"/>
      <c r="B170" s="3"/>
      <c r="C170" s="9"/>
      <c r="D170" s="9"/>
      <c r="E170" s="35"/>
      <c r="F170" s="9"/>
      <c r="G170" s="9"/>
      <c r="H170" s="9"/>
      <c r="I170" s="9"/>
      <c r="J170" s="9"/>
    </row>
    <row r="171" spans="1:10" ht="12.75" customHeight="1" x14ac:dyDescent="0.15">
      <c r="A171" s="3"/>
      <c r="B171" s="3"/>
      <c r="C171" s="9"/>
      <c r="D171" s="9"/>
      <c r="E171" s="35"/>
      <c r="F171" s="9"/>
      <c r="G171" s="9"/>
      <c r="H171" s="9"/>
      <c r="I171" s="9"/>
      <c r="J171" s="9"/>
    </row>
    <row r="172" spans="1:10" ht="12.75" customHeight="1" x14ac:dyDescent="0.15">
      <c r="A172" s="3"/>
      <c r="B172" s="3"/>
      <c r="C172" s="9"/>
      <c r="D172" s="9"/>
      <c r="E172" s="35"/>
      <c r="F172" s="9"/>
      <c r="G172" s="9"/>
      <c r="H172" s="9"/>
      <c r="I172" s="9"/>
      <c r="J172" s="9"/>
    </row>
    <row r="173" spans="1:10" ht="12.75" customHeight="1" x14ac:dyDescent="0.15">
      <c r="A173" s="3"/>
      <c r="B173" s="3"/>
      <c r="C173" s="9"/>
      <c r="D173" s="9"/>
      <c r="E173" s="35"/>
      <c r="F173" s="9"/>
      <c r="G173" s="9"/>
      <c r="H173" s="9"/>
      <c r="I173" s="9"/>
      <c r="J173" s="9"/>
    </row>
    <row r="174" spans="1:10" ht="12.75" customHeight="1" x14ac:dyDescent="0.15">
      <c r="A174" s="3"/>
      <c r="B174" s="3"/>
      <c r="C174" s="9"/>
      <c r="D174" s="9"/>
      <c r="E174" s="35"/>
      <c r="F174" s="9"/>
      <c r="G174" s="9"/>
      <c r="H174" s="9"/>
      <c r="I174" s="9"/>
      <c r="J174" s="9"/>
    </row>
    <row r="175" spans="1:10" ht="12.75" customHeight="1" x14ac:dyDescent="0.15">
      <c r="A175" s="3"/>
      <c r="B175" s="3"/>
      <c r="C175" s="9"/>
      <c r="D175" s="9"/>
      <c r="E175" s="35"/>
      <c r="F175" s="9"/>
      <c r="G175" s="9"/>
      <c r="H175" s="9"/>
      <c r="I175" s="9"/>
      <c r="J175" s="9"/>
    </row>
    <row r="176" spans="1:10" ht="12.75" customHeight="1" x14ac:dyDescent="0.15">
      <c r="A176" s="3"/>
      <c r="B176" s="3"/>
      <c r="C176" s="9"/>
      <c r="D176" s="9"/>
      <c r="E176" s="35"/>
      <c r="F176" s="9"/>
      <c r="G176" s="9"/>
      <c r="H176" s="9"/>
      <c r="I176" s="9"/>
      <c r="J176" s="9"/>
    </row>
    <row r="177" spans="1:10" ht="12.75" customHeight="1" x14ac:dyDescent="0.15">
      <c r="A177" s="3"/>
      <c r="B177" s="3"/>
      <c r="C177" s="9"/>
      <c r="D177" s="9"/>
      <c r="E177" s="35"/>
      <c r="F177" s="9"/>
      <c r="G177" s="9"/>
      <c r="H177" s="9"/>
      <c r="I177" s="9"/>
      <c r="J177" s="9"/>
    </row>
    <row r="178" spans="1:10" ht="12.75" customHeight="1" x14ac:dyDescent="0.15">
      <c r="A178" s="3"/>
      <c r="B178" s="3"/>
      <c r="C178" s="9"/>
      <c r="D178" s="9"/>
      <c r="E178" s="35"/>
      <c r="F178" s="9"/>
      <c r="G178" s="9"/>
      <c r="H178" s="9"/>
      <c r="I178" s="9"/>
      <c r="J178" s="9"/>
    </row>
    <row r="179" spans="1:10" ht="12.75" customHeight="1" x14ac:dyDescent="0.15">
      <c r="A179" s="3"/>
      <c r="B179" s="3"/>
      <c r="C179" s="9"/>
      <c r="D179" s="9"/>
      <c r="E179" s="35"/>
      <c r="F179" s="9"/>
      <c r="G179" s="9"/>
      <c r="H179" s="9"/>
      <c r="I179" s="9"/>
      <c r="J179" s="9"/>
    </row>
    <row r="180" spans="1:10" ht="12.75" customHeight="1" x14ac:dyDescent="0.15">
      <c r="A180" s="3"/>
      <c r="B180" s="3"/>
      <c r="C180" s="9"/>
      <c r="D180" s="9"/>
      <c r="E180" s="35"/>
      <c r="F180" s="9"/>
      <c r="G180" s="9"/>
      <c r="H180" s="9"/>
      <c r="I180" s="9"/>
      <c r="J180" s="9"/>
    </row>
    <row r="181" spans="1:10" ht="12.75" customHeight="1" x14ac:dyDescent="0.15">
      <c r="A181" s="3"/>
      <c r="B181" s="3"/>
      <c r="C181" s="9"/>
      <c r="D181" s="9"/>
      <c r="E181" s="35"/>
      <c r="F181" s="9"/>
      <c r="G181" s="9"/>
      <c r="H181" s="9"/>
      <c r="I181" s="9"/>
      <c r="J181" s="9"/>
    </row>
    <row r="182" spans="1:10" ht="12.75" customHeight="1" x14ac:dyDescent="0.15">
      <c r="A182" s="3"/>
      <c r="B182" s="3"/>
      <c r="C182" s="9"/>
      <c r="D182" s="9"/>
      <c r="E182" s="35"/>
      <c r="F182" s="9"/>
      <c r="G182" s="9"/>
      <c r="H182" s="9"/>
      <c r="I182" s="9"/>
      <c r="J182" s="9"/>
    </row>
    <row r="183" spans="1:10" ht="12.75" customHeight="1" x14ac:dyDescent="0.15">
      <c r="A183" s="3"/>
      <c r="B183" s="3"/>
      <c r="C183" s="9"/>
      <c r="D183" s="9"/>
      <c r="E183" s="35"/>
      <c r="F183" s="9"/>
      <c r="G183" s="9"/>
      <c r="H183" s="9"/>
      <c r="I183" s="9"/>
      <c r="J183" s="9"/>
    </row>
    <row r="184" spans="1:10" ht="12.75" customHeight="1" x14ac:dyDescent="0.15">
      <c r="A184" s="3"/>
      <c r="B184" s="3"/>
      <c r="C184" s="9"/>
      <c r="D184" s="9"/>
      <c r="E184" s="35"/>
      <c r="F184" s="9"/>
      <c r="G184" s="9"/>
      <c r="H184" s="9"/>
      <c r="I184" s="9"/>
      <c r="J184" s="9"/>
    </row>
    <row r="185" spans="1:10" ht="12.75" customHeight="1" x14ac:dyDescent="0.15">
      <c r="A185" s="3"/>
      <c r="B185" s="3"/>
      <c r="C185" s="9"/>
      <c r="D185" s="9"/>
      <c r="E185" s="35"/>
      <c r="F185" s="9"/>
      <c r="G185" s="9"/>
      <c r="H185" s="9"/>
      <c r="I185" s="9"/>
      <c r="J185" s="9"/>
    </row>
    <row r="186" spans="1:10" ht="12.75" customHeight="1" x14ac:dyDescent="0.15">
      <c r="A186" s="3"/>
      <c r="B186" s="3"/>
      <c r="C186" s="9"/>
      <c r="D186" s="9"/>
      <c r="E186" s="35"/>
      <c r="F186" s="9"/>
      <c r="G186" s="9"/>
      <c r="H186" s="9"/>
      <c r="I186" s="9"/>
      <c r="J186" s="9"/>
    </row>
    <row r="187" spans="1:10" ht="12.75" customHeight="1" x14ac:dyDescent="0.15">
      <c r="A187" s="3"/>
      <c r="B187" s="3"/>
      <c r="C187" s="9"/>
      <c r="D187" s="9"/>
      <c r="E187" s="35"/>
      <c r="F187" s="9"/>
      <c r="G187" s="9"/>
      <c r="H187" s="9"/>
      <c r="I187" s="9"/>
      <c r="J187" s="9"/>
    </row>
    <row r="188" spans="1:10" ht="12.75" customHeight="1" x14ac:dyDescent="0.15">
      <c r="A188" s="3"/>
      <c r="B188" s="3"/>
      <c r="C188" s="9"/>
      <c r="D188" s="9"/>
      <c r="E188" s="35"/>
      <c r="F188" s="9"/>
      <c r="G188" s="9"/>
      <c r="H188" s="9"/>
      <c r="I188" s="9"/>
      <c r="J188" s="9"/>
    </row>
    <row r="189" spans="1:10" ht="12.75" customHeight="1" x14ac:dyDescent="0.15">
      <c r="A189" s="3"/>
      <c r="B189" s="3"/>
      <c r="C189" s="9"/>
      <c r="D189" s="9"/>
      <c r="E189" s="35"/>
      <c r="F189" s="9"/>
      <c r="G189" s="9"/>
      <c r="H189" s="9"/>
      <c r="I189" s="9"/>
      <c r="J189" s="9"/>
    </row>
    <row r="190" spans="1:10" ht="12.75" customHeight="1" x14ac:dyDescent="0.15">
      <c r="A190" s="3"/>
      <c r="B190" s="3"/>
      <c r="C190" s="9"/>
      <c r="D190" s="9"/>
      <c r="E190" s="35"/>
      <c r="F190" s="9"/>
      <c r="G190" s="9"/>
      <c r="H190" s="9"/>
      <c r="I190" s="9"/>
      <c r="J190" s="9"/>
    </row>
    <row r="191" spans="1:10" ht="12.75" customHeight="1" x14ac:dyDescent="0.15">
      <c r="A191" s="3"/>
      <c r="B191" s="3"/>
      <c r="C191" s="9"/>
      <c r="D191" s="9"/>
      <c r="E191" s="35"/>
      <c r="F191" s="9"/>
      <c r="G191" s="9"/>
      <c r="H191" s="9"/>
      <c r="I191" s="9"/>
      <c r="J191" s="9"/>
    </row>
    <row r="192" spans="1:10" ht="12.75" customHeight="1" x14ac:dyDescent="0.15">
      <c r="A192" s="3"/>
      <c r="B192" s="3"/>
      <c r="C192" s="9"/>
      <c r="D192" s="9"/>
      <c r="E192" s="35"/>
      <c r="F192" s="9"/>
      <c r="G192" s="9"/>
      <c r="H192" s="9"/>
      <c r="I192" s="9"/>
      <c r="J192" s="9"/>
    </row>
    <row r="193" spans="1:10" ht="12.75" customHeight="1" x14ac:dyDescent="0.15">
      <c r="A193" s="3"/>
      <c r="B193" s="3"/>
      <c r="C193" s="9"/>
      <c r="D193" s="9"/>
      <c r="E193" s="35"/>
      <c r="F193" s="9"/>
      <c r="G193" s="9"/>
      <c r="H193" s="9"/>
      <c r="I193" s="9"/>
      <c r="J193" s="9"/>
    </row>
    <row r="194" spans="1:10" ht="12.75" customHeight="1" x14ac:dyDescent="0.15">
      <c r="A194" s="3"/>
      <c r="B194" s="3"/>
      <c r="C194" s="9"/>
      <c r="D194" s="9"/>
      <c r="E194" s="35"/>
      <c r="F194" s="9"/>
      <c r="G194" s="9"/>
      <c r="H194" s="9"/>
      <c r="I194" s="9"/>
      <c r="J194" s="9"/>
    </row>
    <row r="195" spans="1:10" ht="12.75" customHeight="1" x14ac:dyDescent="0.15">
      <c r="A195" s="3"/>
      <c r="B195" s="3"/>
      <c r="C195" s="9"/>
      <c r="D195" s="9"/>
      <c r="E195" s="35"/>
      <c r="F195" s="9"/>
      <c r="G195" s="9"/>
      <c r="H195" s="9"/>
      <c r="I195" s="9"/>
      <c r="J195" s="9"/>
    </row>
    <row r="196" spans="1:10" ht="12.75" customHeight="1" x14ac:dyDescent="0.15">
      <c r="A196" s="3"/>
      <c r="B196" s="3"/>
      <c r="C196" s="9"/>
      <c r="D196" s="9"/>
      <c r="E196" s="35"/>
      <c r="F196" s="9"/>
      <c r="G196" s="9"/>
      <c r="H196" s="9"/>
      <c r="I196" s="9"/>
      <c r="J196" s="9"/>
    </row>
    <row r="197" spans="1:10" ht="12.75" customHeight="1" x14ac:dyDescent="0.15">
      <c r="A197" s="3"/>
      <c r="B197" s="3"/>
      <c r="C197" s="9"/>
      <c r="D197" s="9"/>
      <c r="E197" s="35"/>
      <c r="F197" s="9"/>
      <c r="G197" s="9"/>
      <c r="H197" s="9"/>
      <c r="I197" s="9"/>
      <c r="J197" s="9"/>
    </row>
    <row r="198" spans="1:10" ht="12.75" customHeight="1" x14ac:dyDescent="0.15">
      <c r="A198" s="3"/>
      <c r="B198" s="3"/>
      <c r="C198" s="9"/>
      <c r="D198" s="9"/>
      <c r="E198" s="35"/>
      <c r="F198" s="9"/>
      <c r="G198" s="9"/>
      <c r="H198" s="9"/>
      <c r="I198" s="9"/>
      <c r="J198" s="9"/>
    </row>
    <row r="199" spans="1:10" ht="12.75" customHeight="1" x14ac:dyDescent="0.15">
      <c r="A199" s="3"/>
      <c r="B199" s="3"/>
      <c r="C199" s="9"/>
      <c r="D199" s="9"/>
      <c r="E199" s="35"/>
      <c r="F199" s="9"/>
      <c r="G199" s="9"/>
      <c r="H199" s="9"/>
      <c r="I199" s="9"/>
      <c r="J199" s="9"/>
    </row>
    <row r="200" spans="1:10" ht="12.75" customHeight="1" x14ac:dyDescent="0.15"/>
    <row r="201" spans="1:10" ht="12.75" customHeight="1" x14ac:dyDescent="0.15"/>
    <row r="202" spans="1:10" ht="12.75" customHeight="1" x14ac:dyDescent="0.15"/>
    <row r="203" spans="1:10" ht="12.75" customHeight="1" x14ac:dyDescent="0.15"/>
    <row r="204" spans="1:10" ht="12.75" customHeight="1" x14ac:dyDescent="0.15"/>
    <row r="205" spans="1:10" ht="12.75" customHeight="1" x14ac:dyDescent="0.15"/>
    <row r="206" spans="1:10" ht="12.75" customHeight="1" x14ac:dyDescent="0.15"/>
    <row r="207" spans="1:10" ht="12.75" customHeight="1" x14ac:dyDescent="0.15"/>
    <row r="208" spans="1:10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271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50000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</row>
    <row r="33" spans="1:11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208</v>
      </c>
      <c r="G33" s="148">
        <v>308462</v>
      </c>
      <c r="H33" s="58" t="s">
        <v>35</v>
      </c>
      <c r="I33" s="127" t="s">
        <v>209</v>
      </c>
    </row>
    <row r="34" spans="1:11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68">
        <v>0</v>
      </c>
      <c r="H34" s="61" t="s">
        <v>38</v>
      </c>
      <c r="I34" s="63" t="s">
        <v>174</v>
      </c>
      <c r="J34" s="62"/>
    </row>
    <row r="35" spans="1:11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308462</v>
      </c>
      <c r="H35" s="129">
        <f>SUM(G35)</f>
        <v>308462</v>
      </c>
      <c r="I35" s="3"/>
    </row>
    <row r="36" spans="1:11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1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1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1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1" ht="12.7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1" ht="13.5" customHeight="1" x14ac:dyDescent="0.2">
      <c r="A41" s="47" t="s">
        <v>171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1" ht="14.25" customHeight="1" x14ac:dyDescent="0.2">
      <c r="A42" s="47"/>
      <c r="B42" s="3"/>
      <c r="C42" s="3"/>
      <c r="D42" s="3"/>
      <c r="E42" s="3"/>
      <c r="F42" s="3"/>
      <c r="G42" s="60">
        <f>D28</f>
        <v>0</v>
      </c>
      <c r="H42" s="58" t="s">
        <v>53</v>
      </c>
      <c r="I42" s="3"/>
    </row>
    <row r="43" spans="1:11" ht="14.25" customHeight="1" x14ac:dyDescent="0.2">
      <c r="A43" s="47"/>
      <c r="B43" s="3"/>
      <c r="C43" s="70" t="s">
        <v>92</v>
      </c>
      <c r="D43" s="70"/>
      <c r="E43" s="3"/>
      <c r="F43" s="42">
        <f>G42+G43</f>
        <v>0</v>
      </c>
      <c r="G43" s="60">
        <v>0</v>
      </c>
      <c r="H43" s="61" t="s">
        <v>55</v>
      </c>
      <c r="I43" s="42">
        <f>G42+G43</f>
        <v>0</v>
      </c>
    </row>
    <row r="44" spans="1:11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0</v>
      </c>
      <c r="H44" s="58" t="s">
        <v>58</v>
      </c>
      <c r="I44" s="3"/>
    </row>
    <row r="45" spans="1:11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 t="s">
        <v>210</v>
      </c>
      <c r="J45" s="72">
        <v>100000</v>
      </c>
    </row>
    <row r="46" spans="1:11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52">
        <v>4500000</v>
      </c>
      <c r="J46" s="74" t="s">
        <v>67</v>
      </c>
      <c r="K46" s="171">
        <v>3500000</v>
      </c>
    </row>
    <row r="47" spans="1:11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0</v>
      </c>
      <c r="H47" s="58" t="s">
        <v>71</v>
      </c>
      <c r="I47" s="3"/>
    </row>
    <row r="48" spans="1:11" ht="14.25" customHeight="1" x14ac:dyDescent="0.2">
      <c r="A48" s="3"/>
      <c r="B48" s="3"/>
      <c r="C48" s="3"/>
      <c r="D48" s="3"/>
      <c r="E48" s="3"/>
      <c r="F48" s="3"/>
      <c r="G48" s="64">
        <f>G35-G47</f>
        <v>308462</v>
      </c>
      <c r="H48" s="61" t="s">
        <v>73</v>
      </c>
      <c r="I48" s="3"/>
    </row>
    <row r="49" spans="1:9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9" ht="12.75" customHeight="1" x14ac:dyDescent="0.2">
      <c r="A50" s="47"/>
      <c r="B50" s="3"/>
      <c r="C50" s="3"/>
      <c r="D50" s="172">
        <v>0</v>
      </c>
      <c r="E50" s="7" t="s">
        <v>78</v>
      </c>
      <c r="F50" s="47" t="s">
        <v>178</v>
      </c>
      <c r="G50" s="3"/>
      <c r="H50" s="3"/>
      <c r="I50" s="3"/>
    </row>
    <row r="51" spans="1:9" ht="12.75" customHeight="1" x14ac:dyDescent="0.2">
      <c r="A51" s="3"/>
      <c r="B51" s="3"/>
      <c r="C51" s="3"/>
      <c r="D51" s="172">
        <v>0</v>
      </c>
      <c r="E51" s="79" t="s">
        <v>125</v>
      </c>
      <c r="F51" s="47"/>
      <c r="G51" s="3"/>
      <c r="H51" s="3"/>
      <c r="I51" s="3"/>
    </row>
    <row r="52" spans="1:9" ht="15.75" customHeight="1" x14ac:dyDescent="0.25">
      <c r="A52" s="3"/>
      <c r="B52" s="80"/>
      <c r="C52" s="81">
        <v>0</v>
      </c>
      <c r="D52" s="172">
        <f>C52*25000</f>
        <v>0</v>
      </c>
      <c r="E52" s="7" t="s">
        <v>81</v>
      </c>
      <c r="F52" s="3"/>
      <c r="G52" s="3"/>
      <c r="H52" s="3"/>
      <c r="I52" s="3"/>
    </row>
    <row r="53" spans="1:9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/>
    </row>
    <row r="54" spans="1:9" ht="12.75" customHeight="1" x14ac:dyDescent="0.2">
      <c r="A54" s="3"/>
      <c r="B54" s="3"/>
      <c r="C54" s="3"/>
      <c r="D54" s="78">
        <f>SUM(D50:D53)</f>
        <v>0</v>
      </c>
      <c r="E54" s="7" t="s">
        <v>42</v>
      </c>
      <c r="F54" s="3"/>
      <c r="G54" s="3"/>
      <c r="H54" s="3"/>
      <c r="I54" s="3"/>
    </row>
    <row r="55" spans="1:9" ht="15.75" customHeight="1" x14ac:dyDescent="0.25">
      <c r="A55" s="3"/>
      <c r="B55" s="3"/>
      <c r="C55" s="83">
        <f>C52-5</f>
        <v>-5</v>
      </c>
      <c r="D55" s="84">
        <f>C55*25000</f>
        <v>-125000</v>
      </c>
      <c r="E55" s="4"/>
      <c r="F55" s="63" t="s">
        <v>83</v>
      </c>
      <c r="G55" s="3"/>
      <c r="H55" s="3"/>
      <c r="I55" s="3"/>
    </row>
    <row r="56" spans="1:9" ht="12.75" customHeight="1" x14ac:dyDescent="0.2">
      <c r="A56" s="47"/>
      <c r="B56" s="3"/>
      <c r="C56" s="3"/>
      <c r="D56" s="84">
        <f>D55+100000</f>
        <v>-25000</v>
      </c>
      <c r="E56" s="4"/>
      <c r="F56" s="63" t="s">
        <v>84</v>
      </c>
      <c r="G56" s="3"/>
      <c r="H56" s="3"/>
      <c r="I56" s="47" t="s">
        <v>104</v>
      </c>
    </row>
    <row r="57" spans="1:9" ht="12.75" customHeight="1" x14ac:dyDescent="0.15">
      <c r="A57" s="3"/>
      <c r="B57" s="3"/>
      <c r="C57" s="3"/>
      <c r="D57" s="42">
        <f>G33-D56</f>
        <v>333462</v>
      </c>
      <c r="E57" s="4"/>
      <c r="F57" s="3"/>
      <c r="G57" s="3"/>
      <c r="H57" s="3"/>
      <c r="I57" s="3"/>
    </row>
    <row r="58" spans="1:9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9" ht="13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3"/>
      <c r="B60" s="3"/>
      <c r="C60" s="151" t="s">
        <v>179</v>
      </c>
      <c r="D60" s="151" t="s">
        <v>180</v>
      </c>
      <c r="E60" s="35"/>
      <c r="F60" s="7" t="s">
        <v>181</v>
      </c>
      <c r="G60" s="152" t="s">
        <v>182</v>
      </c>
      <c r="H60" s="153" t="s">
        <v>183</v>
      </c>
      <c r="I60" s="3"/>
    </row>
    <row r="61" spans="1:9" ht="12.75" customHeight="1" x14ac:dyDescent="0.2">
      <c r="A61" s="3"/>
      <c r="B61" s="3"/>
      <c r="C61" s="9">
        <v>2000</v>
      </c>
      <c r="D61" s="9">
        <v>2000</v>
      </c>
      <c r="E61" s="7" t="s">
        <v>184</v>
      </c>
      <c r="F61" s="9">
        <v>2000</v>
      </c>
      <c r="G61" s="154">
        <v>0</v>
      </c>
      <c r="H61" s="155">
        <v>2500</v>
      </c>
      <c r="I61" s="3"/>
    </row>
    <row r="62" spans="1:9" ht="12.75" customHeight="1" x14ac:dyDescent="0.2">
      <c r="A62" s="130"/>
      <c r="B62" s="3"/>
      <c r="C62" s="9">
        <v>4500</v>
      </c>
      <c r="D62" s="9">
        <v>4500</v>
      </c>
      <c r="E62" s="7" t="s">
        <v>185</v>
      </c>
      <c r="F62" s="9">
        <v>4500</v>
      </c>
      <c r="G62" s="154">
        <v>4500</v>
      </c>
      <c r="H62" s="155">
        <v>4500</v>
      </c>
      <c r="I62" s="3"/>
    </row>
    <row r="63" spans="1:9" ht="12.75" customHeight="1" x14ac:dyDescent="0.2">
      <c r="A63" s="130"/>
      <c r="B63" s="3"/>
      <c r="C63" s="9">
        <v>16000</v>
      </c>
      <c r="D63" s="9">
        <v>0</v>
      </c>
      <c r="E63" s="7" t="s">
        <v>186</v>
      </c>
      <c r="F63" s="9">
        <v>8000</v>
      </c>
      <c r="G63" s="154">
        <v>5000</v>
      </c>
      <c r="H63" s="155">
        <v>4000</v>
      </c>
      <c r="I63" s="3"/>
    </row>
    <row r="64" spans="1:9" ht="12.75" customHeight="1" x14ac:dyDescent="0.2">
      <c r="A64" s="106"/>
      <c r="B64" s="3"/>
      <c r="C64" s="9">
        <v>4000</v>
      </c>
      <c r="D64" s="9">
        <v>0</v>
      </c>
      <c r="E64" s="7" t="s">
        <v>187</v>
      </c>
      <c r="F64" s="9">
        <v>0</v>
      </c>
      <c r="G64" s="154">
        <v>0</v>
      </c>
      <c r="H64" s="155">
        <v>0</v>
      </c>
      <c r="I64" s="3"/>
    </row>
    <row r="65" spans="1:10" ht="12.75" customHeight="1" x14ac:dyDescent="0.2">
      <c r="A65" s="130"/>
      <c r="B65" s="3"/>
      <c r="C65" s="9">
        <v>8000</v>
      </c>
      <c r="D65" s="9">
        <v>8000</v>
      </c>
      <c r="E65" s="7" t="s">
        <v>188</v>
      </c>
      <c r="F65" s="9">
        <v>5000</v>
      </c>
      <c r="G65" s="154">
        <v>15000</v>
      </c>
      <c r="H65" s="155">
        <v>4000</v>
      </c>
      <c r="I65" s="3"/>
    </row>
    <row r="66" spans="1:10" ht="15.75" customHeight="1" x14ac:dyDescent="0.2">
      <c r="A66" s="131"/>
      <c r="B66" s="3"/>
      <c r="C66" s="9">
        <f>SUM(C61:C65)</f>
        <v>34500</v>
      </c>
      <c r="D66" s="9">
        <f>SUM(D61:D65)</f>
        <v>14500</v>
      </c>
      <c r="E66" s="7" t="s">
        <v>42</v>
      </c>
      <c r="F66" s="9">
        <f>SUM(F61:F65)</f>
        <v>19500</v>
      </c>
      <c r="G66" s="154">
        <f>SUM(G61:G65)</f>
        <v>24500</v>
      </c>
      <c r="H66" s="156">
        <f>SUM(H61:H65)</f>
        <v>15000</v>
      </c>
      <c r="I66" s="3"/>
    </row>
    <row r="67" spans="1:10" ht="12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10" ht="12.75" customHeight="1" x14ac:dyDescent="0.15">
      <c r="A68" s="132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9"/>
      <c r="D70" s="157" t="s">
        <v>189</v>
      </c>
      <c r="E70" s="157" t="s">
        <v>185</v>
      </c>
      <c r="F70" s="157" t="s">
        <v>186</v>
      </c>
      <c r="G70" s="157" t="s">
        <v>187</v>
      </c>
      <c r="H70" s="157" t="s">
        <v>206</v>
      </c>
      <c r="I70" s="157" t="s">
        <v>191</v>
      </c>
      <c r="J70" s="157" t="s">
        <v>42</v>
      </c>
    </row>
    <row r="71" spans="1:10" ht="12.75" customHeight="1" x14ac:dyDescent="0.2">
      <c r="A71" s="62"/>
      <c r="B71" s="38" t="s">
        <v>192</v>
      </c>
      <c r="C71" s="164">
        <v>42746</v>
      </c>
      <c r="D71" s="34">
        <v>0</v>
      </c>
      <c r="E71" s="166">
        <v>4500</v>
      </c>
      <c r="F71" s="34">
        <v>7000</v>
      </c>
      <c r="G71" s="34">
        <v>0</v>
      </c>
      <c r="H71" s="34">
        <v>7500</v>
      </c>
      <c r="I71" s="170" t="s">
        <v>207</v>
      </c>
      <c r="J71" s="166">
        <f>SUM(E71:I71)</f>
        <v>19000</v>
      </c>
    </row>
    <row r="72" spans="1:10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10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10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10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10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10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10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10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10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>
      <c r="A199" s="3"/>
      <c r="B199" s="3"/>
      <c r="C199" s="3"/>
      <c r="D199" s="3"/>
      <c r="E199" s="4"/>
      <c r="F199" s="3"/>
      <c r="G199" s="3"/>
      <c r="H199" s="3"/>
      <c r="I199" s="3"/>
    </row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271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50000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</row>
    <row r="33" spans="1:11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211</v>
      </c>
      <c r="G33" s="148">
        <v>3081315</v>
      </c>
      <c r="H33" s="58" t="s">
        <v>35</v>
      </c>
      <c r="I33" s="127" t="s">
        <v>209</v>
      </c>
    </row>
    <row r="34" spans="1:11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168">
        <v>0</v>
      </c>
      <c r="H34" s="61" t="s">
        <v>38</v>
      </c>
      <c r="I34" s="63" t="s">
        <v>174</v>
      </c>
      <c r="J34" s="62"/>
    </row>
    <row r="35" spans="1:11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3081315</v>
      </c>
      <c r="H35" s="129">
        <f>SUM(G35)</f>
        <v>3081315</v>
      </c>
      <c r="I35" s="3"/>
    </row>
    <row r="36" spans="1:11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94"/>
      <c r="K36" s="42"/>
    </row>
    <row r="37" spans="1:11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1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1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1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1" ht="13.5" customHeight="1" x14ac:dyDescent="0.2">
      <c r="A41" s="47" t="s">
        <v>171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1" ht="14.25" customHeight="1" x14ac:dyDescent="0.2">
      <c r="A42" s="47"/>
      <c r="B42" s="3"/>
      <c r="C42" s="3"/>
      <c r="D42" s="3"/>
      <c r="E42" s="3"/>
      <c r="F42" s="3"/>
      <c r="G42" s="64">
        <f>D28</f>
        <v>0</v>
      </c>
      <c r="H42" s="58" t="s">
        <v>53</v>
      </c>
      <c r="I42" s="3"/>
    </row>
    <row r="43" spans="1:11" ht="14.25" customHeight="1" x14ac:dyDescent="0.2">
      <c r="A43" s="47"/>
      <c r="B43" s="3"/>
      <c r="C43" s="70" t="s">
        <v>92</v>
      </c>
      <c r="D43" s="70"/>
      <c r="E43" s="3"/>
      <c r="F43" s="42">
        <f>G42+G43</f>
        <v>0</v>
      </c>
      <c r="G43" s="60">
        <v>0</v>
      </c>
      <c r="H43" s="61" t="s">
        <v>55</v>
      </c>
      <c r="I43" s="3"/>
    </row>
    <row r="44" spans="1:11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0</v>
      </c>
      <c r="H44" s="58" t="s">
        <v>58</v>
      </c>
      <c r="I44" s="3"/>
    </row>
    <row r="45" spans="1:11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 t="s">
        <v>63</v>
      </c>
      <c r="J45" s="72">
        <v>200000</v>
      </c>
      <c r="K45" s="173"/>
    </row>
    <row r="46" spans="1:11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52">
        <v>3500000</v>
      </c>
      <c r="J46" s="74" t="s">
        <v>67</v>
      </c>
      <c r="K46" s="73">
        <v>2000000</v>
      </c>
    </row>
    <row r="47" spans="1:11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0</v>
      </c>
      <c r="H47" s="58" t="s">
        <v>71</v>
      </c>
      <c r="I47" s="3"/>
    </row>
    <row r="48" spans="1:11" ht="14.25" customHeight="1" x14ac:dyDescent="0.2">
      <c r="A48" s="3"/>
      <c r="B48" s="3"/>
      <c r="C48" s="3"/>
      <c r="D48" s="3"/>
      <c r="E48" s="3"/>
      <c r="F48" s="3"/>
      <c r="G48" s="64">
        <f>G35-G47</f>
        <v>3081315</v>
      </c>
      <c r="H48" s="61" t="s">
        <v>73</v>
      </c>
      <c r="I48" s="3"/>
    </row>
    <row r="49" spans="1:9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9" ht="12.75" customHeight="1" x14ac:dyDescent="0.2">
      <c r="A50" s="47"/>
      <c r="B50" s="3"/>
      <c r="C50" s="3"/>
      <c r="D50" s="78">
        <v>0</v>
      </c>
      <c r="E50" s="7" t="s">
        <v>78</v>
      </c>
      <c r="F50" s="47" t="s">
        <v>178</v>
      </c>
      <c r="G50" s="3"/>
      <c r="H50" s="3"/>
      <c r="I50" s="3"/>
    </row>
    <row r="51" spans="1:9" ht="12.75" customHeight="1" x14ac:dyDescent="0.2">
      <c r="A51" s="3"/>
      <c r="B51" s="3"/>
      <c r="C51" s="3"/>
      <c r="D51" s="78">
        <v>0</v>
      </c>
      <c r="E51" s="79" t="s">
        <v>125</v>
      </c>
      <c r="F51" s="47"/>
      <c r="G51" s="3"/>
      <c r="H51" s="3"/>
      <c r="I51" s="3"/>
    </row>
    <row r="52" spans="1:9" ht="15.75" customHeight="1" x14ac:dyDescent="0.25">
      <c r="A52" s="3"/>
      <c r="B52" s="80"/>
      <c r="C52" s="81">
        <v>0</v>
      </c>
      <c r="D52" s="78">
        <f>C52*25000</f>
        <v>0</v>
      </c>
      <c r="E52" s="7" t="s">
        <v>81</v>
      </c>
      <c r="F52" s="3"/>
      <c r="G52" s="3"/>
      <c r="H52" s="3"/>
      <c r="I52" s="3"/>
    </row>
    <row r="53" spans="1:9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/>
    </row>
    <row r="54" spans="1:9" ht="12.75" customHeight="1" x14ac:dyDescent="0.2">
      <c r="A54" s="3"/>
      <c r="B54" s="3"/>
      <c r="C54" s="3"/>
      <c r="D54" s="78">
        <f>SUM(D50:D53)</f>
        <v>0</v>
      </c>
      <c r="E54" s="7" t="s">
        <v>42</v>
      </c>
      <c r="F54" s="3"/>
      <c r="G54" s="3"/>
      <c r="H54" s="3"/>
      <c r="I54" s="3"/>
    </row>
    <row r="55" spans="1:9" ht="15.75" customHeight="1" x14ac:dyDescent="0.25">
      <c r="A55" s="3"/>
      <c r="B55" s="3"/>
      <c r="C55" s="83">
        <f>C52-5</f>
        <v>-5</v>
      </c>
      <c r="D55" s="84">
        <f>C55*25000</f>
        <v>-125000</v>
      </c>
      <c r="E55" s="4"/>
      <c r="F55" s="63" t="s">
        <v>83</v>
      </c>
      <c r="G55" s="3"/>
      <c r="H55" s="3"/>
      <c r="I55" s="3"/>
    </row>
    <row r="56" spans="1:9" ht="12.75" customHeight="1" x14ac:dyDescent="0.2">
      <c r="A56" s="47"/>
      <c r="B56" s="3"/>
      <c r="C56" s="3"/>
      <c r="D56" s="84">
        <f>D55+100000+150000</f>
        <v>125000</v>
      </c>
      <c r="E56" s="4"/>
      <c r="F56" s="63" t="s">
        <v>84</v>
      </c>
      <c r="G56" s="3"/>
      <c r="H56" s="3"/>
      <c r="I56" s="47" t="s">
        <v>104</v>
      </c>
    </row>
    <row r="57" spans="1:9" ht="12.75" customHeight="1" x14ac:dyDescent="0.15">
      <c r="A57" s="3"/>
      <c r="B57" s="3"/>
      <c r="C57" s="3"/>
      <c r="D57" s="42">
        <f>G33-D56</f>
        <v>2956315</v>
      </c>
      <c r="E57" s="4"/>
      <c r="F57" s="3"/>
      <c r="G57" s="3"/>
      <c r="H57" s="3"/>
      <c r="I57" s="3"/>
    </row>
    <row r="58" spans="1:9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9" ht="13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3"/>
      <c r="B60" s="3"/>
      <c r="C60" s="151" t="s">
        <v>179</v>
      </c>
      <c r="D60" s="151" t="s">
        <v>180</v>
      </c>
      <c r="E60" s="35"/>
      <c r="F60" s="7" t="s">
        <v>181</v>
      </c>
      <c r="G60" s="152" t="s">
        <v>182</v>
      </c>
      <c r="H60" s="153" t="s">
        <v>183</v>
      </c>
      <c r="I60" s="3"/>
    </row>
    <row r="61" spans="1:9" ht="12.75" customHeight="1" x14ac:dyDescent="0.2">
      <c r="A61" s="3"/>
      <c r="B61" s="3"/>
      <c r="C61" s="9">
        <v>2000</v>
      </c>
      <c r="D61" s="9">
        <v>2000</v>
      </c>
      <c r="E61" s="7" t="s">
        <v>184</v>
      </c>
      <c r="F61" s="9">
        <v>2000</v>
      </c>
      <c r="G61" s="154">
        <v>0</v>
      </c>
      <c r="H61" s="155">
        <v>2500</v>
      </c>
      <c r="I61" s="3"/>
    </row>
    <row r="62" spans="1:9" ht="12.75" customHeight="1" x14ac:dyDescent="0.2">
      <c r="A62" s="130"/>
      <c r="B62" s="3"/>
      <c r="C62" s="9">
        <v>4500</v>
      </c>
      <c r="D62" s="9">
        <v>4500</v>
      </c>
      <c r="E62" s="7" t="s">
        <v>185</v>
      </c>
      <c r="F62" s="9">
        <v>4500</v>
      </c>
      <c r="G62" s="154">
        <v>4500</v>
      </c>
      <c r="H62" s="155">
        <v>4500</v>
      </c>
      <c r="I62" s="3"/>
    </row>
    <row r="63" spans="1:9" ht="12.75" customHeight="1" x14ac:dyDescent="0.2">
      <c r="A63" s="130"/>
      <c r="B63" s="3"/>
      <c r="C63" s="9">
        <v>16000</v>
      </c>
      <c r="D63" s="9">
        <v>0</v>
      </c>
      <c r="E63" s="7" t="s">
        <v>186</v>
      </c>
      <c r="F63" s="9">
        <v>8000</v>
      </c>
      <c r="G63" s="154">
        <v>5000</v>
      </c>
      <c r="H63" s="155">
        <v>4000</v>
      </c>
      <c r="I63" s="3"/>
    </row>
    <row r="64" spans="1:9" ht="12.75" customHeight="1" x14ac:dyDescent="0.2">
      <c r="A64" s="106"/>
      <c r="B64" s="3"/>
      <c r="C64" s="9">
        <v>4000</v>
      </c>
      <c r="D64" s="9">
        <v>0</v>
      </c>
      <c r="E64" s="7" t="s">
        <v>187</v>
      </c>
      <c r="F64" s="9">
        <v>0</v>
      </c>
      <c r="G64" s="154">
        <v>0</v>
      </c>
      <c r="H64" s="155">
        <v>0</v>
      </c>
      <c r="I64" s="3"/>
    </row>
    <row r="65" spans="1:10" ht="12.75" customHeight="1" x14ac:dyDescent="0.2">
      <c r="A65" s="130"/>
      <c r="B65" s="3"/>
      <c r="C65" s="9">
        <v>8000</v>
      </c>
      <c r="D65" s="9">
        <v>8000</v>
      </c>
      <c r="E65" s="7" t="s">
        <v>188</v>
      </c>
      <c r="F65" s="9">
        <v>5000</v>
      </c>
      <c r="G65" s="154">
        <v>15000</v>
      </c>
      <c r="H65" s="155">
        <v>4000</v>
      </c>
      <c r="I65" s="3"/>
    </row>
    <row r="66" spans="1:10" ht="15.75" customHeight="1" x14ac:dyDescent="0.2">
      <c r="A66" s="131"/>
      <c r="B66" s="3"/>
      <c r="C66" s="9">
        <f>SUM(C61:C65)</f>
        <v>34500</v>
      </c>
      <c r="D66" s="9">
        <f>SUM(D61:D65)</f>
        <v>14500</v>
      </c>
      <c r="E66" s="7" t="s">
        <v>42</v>
      </c>
      <c r="F66" s="9">
        <f>SUM(F61:F65)</f>
        <v>19500</v>
      </c>
      <c r="G66" s="154">
        <f>SUM(G61:G65)</f>
        <v>24500</v>
      </c>
      <c r="H66" s="156">
        <f>SUM(H61:H65)</f>
        <v>15000</v>
      </c>
      <c r="I66" s="3"/>
    </row>
    <row r="67" spans="1:10" ht="12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10" ht="12.75" customHeight="1" x14ac:dyDescent="0.15">
      <c r="A68" s="132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9"/>
      <c r="D70" s="157" t="s">
        <v>189</v>
      </c>
      <c r="E70" s="157" t="s">
        <v>185</v>
      </c>
      <c r="F70" s="157" t="s">
        <v>186</v>
      </c>
      <c r="G70" s="157" t="s">
        <v>187</v>
      </c>
      <c r="H70" s="157" t="s">
        <v>206</v>
      </c>
      <c r="I70" s="157" t="s">
        <v>191</v>
      </c>
      <c r="J70" s="157" t="s">
        <v>42</v>
      </c>
    </row>
    <row r="71" spans="1:10" ht="12.75" customHeight="1" x14ac:dyDescent="0.2">
      <c r="A71" s="62"/>
      <c r="B71" s="38" t="s">
        <v>192</v>
      </c>
      <c r="C71" s="164">
        <v>42746</v>
      </c>
      <c r="D71" s="34">
        <v>0</v>
      </c>
      <c r="E71" s="166">
        <v>4500</v>
      </c>
      <c r="F71" s="34">
        <v>7000</v>
      </c>
      <c r="G71" s="34">
        <v>0</v>
      </c>
      <c r="H71" s="34">
        <v>7500</v>
      </c>
      <c r="I71" s="170" t="s">
        <v>207</v>
      </c>
      <c r="J71" s="166">
        <f>SUM(E71:I71)</f>
        <v>19000</v>
      </c>
    </row>
    <row r="72" spans="1:10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10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10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10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10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10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10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10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10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>
      <c r="A199" s="3"/>
      <c r="B199" s="3"/>
      <c r="C199" s="3"/>
      <c r="D199" s="3"/>
      <c r="E199" s="4"/>
      <c r="F199" s="3"/>
      <c r="G199" s="3"/>
      <c r="H199" s="3"/>
      <c r="I199" s="3"/>
    </row>
    <row r="200" spans="1:9" ht="12.75" customHeight="1" x14ac:dyDescent="0.15"/>
    <row r="201" spans="1:9" ht="12.75" customHeight="1" x14ac:dyDescent="0.15"/>
    <row r="202" spans="1:9" ht="12.75" customHeight="1" x14ac:dyDescent="0.15"/>
    <row r="203" spans="1:9" ht="12.75" customHeight="1" x14ac:dyDescent="0.15"/>
    <row r="204" spans="1:9" ht="12.75" customHeight="1" x14ac:dyDescent="0.15"/>
    <row r="205" spans="1:9" ht="12.75" customHeight="1" x14ac:dyDescent="0.15"/>
    <row r="206" spans="1:9" ht="12.75" customHeight="1" x14ac:dyDescent="0.15"/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278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50000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</row>
    <row r="33" spans="1:11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212</v>
      </c>
      <c r="G33" s="148">
        <v>2162675</v>
      </c>
      <c r="H33" s="58" t="s">
        <v>35</v>
      </c>
      <c r="I33" s="127" t="s">
        <v>209</v>
      </c>
    </row>
    <row r="34" spans="1:11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63" t="s">
        <v>213</v>
      </c>
      <c r="J34" s="62"/>
    </row>
    <row r="35" spans="1:11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2162675</v>
      </c>
      <c r="H35" s="129">
        <f>SUM(G35)</f>
        <v>2162675</v>
      </c>
      <c r="I35" s="3"/>
    </row>
    <row r="36" spans="1:11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1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1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1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1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1" ht="13.5" customHeight="1" x14ac:dyDescent="0.2">
      <c r="A41" s="47" t="s">
        <v>171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1" ht="14.25" customHeight="1" x14ac:dyDescent="0.2">
      <c r="A42" s="47"/>
      <c r="B42" s="3"/>
      <c r="C42" s="3"/>
      <c r="D42" s="3"/>
      <c r="E42" s="3"/>
      <c r="F42" s="3"/>
      <c r="G42" s="64">
        <f>D28</f>
        <v>0</v>
      </c>
      <c r="H42" s="58" t="s">
        <v>53</v>
      </c>
      <c r="I42" s="3"/>
    </row>
    <row r="43" spans="1:11" ht="14.25" customHeight="1" x14ac:dyDescent="0.2">
      <c r="A43" s="47"/>
      <c r="B43" s="3"/>
      <c r="C43" s="70" t="s">
        <v>92</v>
      </c>
      <c r="D43" s="70"/>
      <c r="E43" s="3"/>
      <c r="F43" s="42">
        <f>G42+G43</f>
        <v>0</v>
      </c>
      <c r="G43" s="60">
        <v>0</v>
      </c>
      <c r="H43" s="61" t="s">
        <v>55</v>
      </c>
      <c r="I43" s="3"/>
    </row>
    <row r="44" spans="1:11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0</v>
      </c>
      <c r="H44" s="58" t="s">
        <v>58</v>
      </c>
      <c r="I44" s="3"/>
    </row>
    <row r="45" spans="1:11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>
        <v>200000</v>
      </c>
      <c r="J45" s="71" t="s">
        <v>63</v>
      </c>
      <c r="K45" s="72">
        <f>I45+G45</f>
        <v>200000</v>
      </c>
    </row>
    <row r="46" spans="1:11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73">
        <v>1500000</v>
      </c>
      <c r="J46" s="74" t="s">
        <v>67</v>
      </c>
      <c r="K46" s="73">
        <v>1500000</v>
      </c>
    </row>
    <row r="47" spans="1:11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0</v>
      </c>
      <c r="H47" s="58" t="s">
        <v>71</v>
      </c>
      <c r="I47" s="3"/>
      <c r="K47" s="132"/>
    </row>
    <row r="48" spans="1:11" ht="14.25" customHeight="1" x14ac:dyDescent="0.2">
      <c r="A48" s="3"/>
      <c r="B48" s="3"/>
      <c r="C48" s="3"/>
      <c r="D48" s="3"/>
      <c r="E48" s="3"/>
      <c r="F48" s="3"/>
      <c r="G48" s="64">
        <f>G35-G47</f>
        <v>2162675</v>
      </c>
      <c r="H48" s="61" t="s">
        <v>73</v>
      </c>
      <c r="I48" s="76">
        <f>G48-2000000</f>
        <v>162675</v>
      </c>
    </row>
    <row r="49" spans="1:9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9" ht="12.75" customHeight="1" x14ac:dyDescent="0.2">
      <c r="A50" s="47"/>
      <c r="B50" s="3"/>
      <c r="C50" s="3"/>
      <c r="D50" s="78">
        <v>0</v>
      </c>
      <c r="E50" s="7" t="s">
        <v>78</v>
      </c>
      <c r="F50" s="47" t="s">
        <v>178</v>
      </c>
      <c r="G50" s="3"/>
      <c r="H50" s="3"/>
      <c r="I50" s="3"/>
    </row>
    <row r="51" spans="1:9" ht="12.75" customHeight="1" x14ac:dyDescent="0.2">
      <c r="A51" s="3"/>
      <c r="B51" s="3"/>
      <c r="C51" s="3"/>
      <c r="D51" s="78">
        <v>0</v>
      </c>
      <c r="E51" s="79" t="s">
        <v>125</v>
      </c>
      <c r="F51" s="47"/>
      <c r="G51" s="3"/>
      <c r="H51" s="3"/>
      <c r="I51" s="3"/>
    </row>
    <row r="52" spans="1:9" ht="15.75" customHeight="1" x14ac:dyDescent="0.25">
      <c r="A52" s="3"/>
      <c r="B52" s="80"/>
      <c r="C52" s="81">
        <v>0</v>
      </c>
      <c r="D52" s="78">
        <f>C52*25000</f>
        <v>0</v>
      </c>
      <c r="E52" s="7" t="s">
        <v>81</v>
      </c>
      <c r="F52" s="3"/>
      <c r="G52" s="3"/>
      <c r="H52" s="3"/>
      <c r="I52" s="3"/>
    </row>
    <row r="53" spans="1:9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>
        <v>0</v>
      </c>
    </row>
    <row r="54" spans="1:9" ht="12.75" customHeight="1" x14ac:dyDescent="0.2">
      <c r="A54" s="3"/>
      <c r="B54" s="3"/>
      <c r="C54" s="3"/>
      <c r="D54" s="78">
        <f>SUM(D50:D53)</f>
        <v>0</v>
      </c>
      <c r="E54" s="7" t="s">
        <v>42</v>
      </c>
      <c r="F54" s="3"/>
      <c r="G54" s="3"/>
      <c r="H54" s="3"/>
      <c r="I54" s="3"/>
    </row>
    <row r="55" spans="1:9" ht="15.75" customHeight="1" x14ac:dyDescent="0.25">
      <c r="A55" s="3"/>
      <c r="B55" s="3"/>
      <c r="C55" s="83">
        <f>C52-5</f>
        <v>-5</v>
      </c>
      <c r="D55" s="84">
        <f>C55*25000</f>
        <v>-125000</v>
      </c>
      <c r="E55" s="4"/>
      <c r="F55" s="63" t="s">
        <v>83</v>
      </c>
      <c r="G55" s="3"/>
      <c r="H55" s="3"/>
      <c r="I55" s="3"/>
    </row>
    <row r="56" spans="1:9" ht="12.75" customHeight="1" x14ac:dyDescent="0.2">
      <c r="A56" s="47"/>
      <c r="B56" s="3"/>
      <c r="C56" s="3"/>
      <c r="D56" s="84">
        <f>D55+350000+100000+150000</f>
        <v>475000</v>
      </c>
      <c r="E56" s="4"/>
      <c r="F56" s="63" t="s">
        <v>84</v>
      </c>
      <c r="G56" s="3"/>
      <c r="H56" s="3"/>
      <c r="I56" s="47" t="s">
        <v>104</v>
      </c>
    </row>
    <row r="57" spans="1:9" ht="12.75" customHeight="1" x14ac:dyDescent="0.15">
      <c r="A57" s="3"/>
      <c r="B57" s="3"/>
      <c r="C57" s="3"/>
      <c r="D57" s="42">
        <f>G33-D56</f>
        <v>1687675</v>
      </c>
      <c r="E57" s="4"/>
      <c r="F57" s="3"/>
      <c r="G57" s="3"/>
      <c r="H57" s="3"/>
      <c r="I57" s="3"/>
    </row>
    <row r="58" spans="1:9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9" ht="13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2">
      <c r="A60" s="3"/>
      <c r="B60" s="3"/>
      <c r="C60" s="151" t="s">
        <v>179</v>
      </c>
      <c r="D60" s="151" t="s">
        <v>180</v>
      </c>
      <c r="E60" s="35"/>
      <c r="F60" s="7" t="s">
        <v>181</v>
      </c>
      <c r="G60" s="152" t="s">
        <v>182</v>
      </c>
      <c r="H60" s="153" t="s">
        <v>183</v>
      </c>
      <c r="I60" s="3"/>
    </row>
    <row r="61" spans="1:9" ht="12.75" customHeight="1" x14ac:dyDescent="0.2">
      <c r="A61" s="3"/>
      <c r="B61" s="3"/>
      <c r="C61" s="9">
        <v>2000</v>
      </c>
      <c r="D61" s="9">
        <v>2000</v>
      </c>
      <c r="E61" s="7" t="s">
        <v>184</v>
      </c>
      <c r="F61" s="9">
        <v>2000</v>
      </c>
      <c r="G61" s="154">
        <v>0</v>
      </c>
      <c r="H61" s="155">
        <v>2500</v>
      </c>
      <c r="I61" s="3"/>
    </row>
    <row r="62" spans="1:9" ht="12.75" customHeight="1" x14ac:dyDescent="0.2">
      <c r="A62" s="130"/>
      <c r="B62" s="3"/>
      <c r="C62" s="9">
        <v>4500</v>
      </c>
      <c r="D62" s="9">
        <v>4500</v>
      </c>
      <c r="E62" s="7" t="s">
        <v>185</v>
      </c>
      <c r="F62" s="9">
        <v>4500</v>
      </c>
      <c r="G62" s="154">
        <v>4500</v>
      </c>
      <c r="H62" s="155">
        <v>4500</v>
      </c>
      <c r="I62" s="3"/>
    </row>
    <row r="63" spans="1:9" ht="12.75" customHeight="1" x14ac:dyDescent="0.2">
      <c r="A63" s="130"/>
      <c r="B63" s="3"/>
      <c r="C63" s="9">
        <v>16000</v>
      </c>
      <c r="D63" s="9">
        <v>0</v>
      </c>
      <c r="E63" s="7" t="s">
        <v>186</v>
      </c>
      <c r="F63" s="9">
        <v>8000</v>
      </c>
      <c r="G63" s="154">
        <v>5000</v>
      </c>
      <c r="H63" s="155">
        <v>4000</v>
      </c>
      <c r="I63" s="3"/>
    </row>
    <row r="64" spans="1:9" ht="12.75" customHeight="1" x14ac:dyDescent="0.2">
      <c r="A64" s="106"/>
      <c r="B64" s="3"/>
      <c r="C64" s="9">
        <v>4000</v>
      </c>
      <c r="D64" s="9">
        <v>0</v>
      </c>
      <c r="E64" s="7" t="s">
        <v>187</v>
      </c>
      <c r="F64" s="9">
        <v>0</v>
      </c>
      <c r="G64" s="154">
        <v>0</v>
      </c>
      <c r="H64" s="155">
        <v>0</v>
      </c>
      <c r="I64" s="3"/>
    </row>
    <row r="65" spans="1:10" ht="12.75" customHeight="1" x14ac:dyDescent="0.2">
      <c r="A65" s="130"/>
      <c r="B65" s="3"/>
      <c r="C65" s="9">
        <v>8000</v>
      </c>
      <c r="D65" s="9">
        <v>8000</v>
      </c>
      <c r="E65" s="7" t="s">
        <v>188</v>
      </c>
      <c r="F65" s="9">
        <v>5000</v>
      </c>
      <c r="G65" s="154">
        <v>15000</v>
      </c>
      <c r="H65" s="155">
        <v>4000</v>
      </c>
      <c r="I65" s="3"/>
    </row>
    <row r="66" spans="1:10" ht="15.75" customHeight="1" x14ac:dyDescent="0.2">
      <c r="A66" s="131"/>
      <c r="B66" s="3"/>
      <c r="C66" s="9">
        <f>SUM(C61:C65)</f>
        <v>34500</v>
      </c>
      <c r="D66" s="9">
        <f>SUM(D61:D65)</f>
        <v>14500</v>
      </c>
      <c r="E66" s="7" t="s">
        <v>42</v>
      </c>
      <c r="F66" s="9">
        <f>SUM(F61:F65)</f>
        <v>19500</v>
      </c>
      <c r="G66" s="154">
        <f>SUM(G61:G65)</f>
        <v>24500</v>
      </c>
      <c r="H66" s="156">
        <f>SUM(H61:H65)</f>
        <v>15000</v>
      </c>
      <c r="I66" s="3"/>
    </row>
    <row r="67" spans="1:10" ht="12.75" customHeight="1" x14ac:dyDescent="0.15">
      <c r="A67" s="131"/>
      <c r="B67" s="3"/>
      <c r="C67" s="3"/>
      <c r="D67" s="3"/>
      <c r="E67" s="4"/>
      <c r="F67" s="3"/>
      <c r="G67" s="3"/>
      <c r="H67" s="3"/>
      <c r="I67" s="3"/>
    </row>
    <row r="68" spans="1:10" ht="12.75" customHeight="1" x14ac:dyDescent="0.15">
      <c r="A68" s="132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9"/>
      <c r="D70" s="157" t="s">
        <v>189</v>
      </c>
      <c r="E70" s="157" t="s">
        <v>185</v>
      </c>
      <c r="F70" s="157" t="s">
        <v>186</v>
      </c>
      <c r="G70" s="157" t="s">
        <v>187</v>
      </c>
      <c r="H70" s="157" t="s">
        <v>206</v>
      </c>
      <c r="I70" s="157" t="s">
        <v>191</v>
      </c>
      <c r="J70" s="157" t="s">
        <v>42</v>
      </c>
    </row>
    <row r="71" spans="1:10" ht="12.75" customHeight="1" x14ac:dyDescent="0.2">
      <c r="A71" s="62"/>
      <c r="B71" s="38" t="s">
        <v>192</v>
      </c>
      <c r="C71" s="164">
        <v>42746</v>
      </c>
      <c r="D71" s="34">
        <v>0</v>
      </c>
      <c r="E71" s="166">
        <v>4500</v>
      </c>
      <c r="F71" s="34">
        <v>7000</v>
      </c>
      <c r="G71" s="34">
        <v>0</v>
      </c>
      <c r="H71" s="34">
        <v>7500</v>
      </c>
      <c r="I71" s="170" t="s">
        <v>207</v>
      </c>
      <c r="J71" s="166">
        <f>SUM(E71:I71)</f>
        <v>19000</v>
      </c>
    </row>
    <row r="72" spans="1:10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10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10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10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10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10" ht="12.75" customHeight="1" x14ac:dyDescent="0.15">
      <c r="A77" s="3"/>
      <c r="B77" s="174"/>
      <c r="C77" s="25" t="s">
        <v>55</v>
      </c>
      <c r="D77" s="175" t="s">
        <v>214</v>
      </c>
      <c r="E77" s="176" t="s">
        <v>215</v>
      </c>
      <c r="F77" s="175" t="s">
        <v>216</v>
      </c>
      <c r="G77" s="25" t="s">
        <v>217</v>
      </c>
      <c r="H77" s="25" t="s">
        <v>218</v>
      </c>
      <c r="I77" s="174"/>
    </row>
    <row r="78" spans="1:10" ht="12.75" customHeight="1" x14ac:dyDescent="0.2">
      <c r="A78" s="3"/>
      <c r="B78" s="177" t="s">
        <v>219</v>
      </c>
      <c r="C78" s="178">
        <f>5000+2000+2500+6300+10000</f>
        <v>25800</v>
      </c>
      <c r="D78" s="178">
        <v>53600</v>
      </c>
      <c r="E78" s="179">
        <f>3400+16000+5700+10000+1960</f>
        <v>37060</v>
      </c>
      <c r="F78" s="178">
        <f>15000+1000</f>
        <v>16000</v>
      </c>
      <c r="G78" s="180">
        <f>SUM(C78:F78)</f>
        <v>132460</v>
      </c>
      <c r="H78" s="25" t="s">
        <v>220</v>
      </c>
      <c r="I78" s="174"/>
    </row>
    <row r="79" spans="1:10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10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spans="1:9" ht="12.75" customHeight="1" x14ac:dyDescent="0.15">
      <c r="A193" s="3"/>
      <c r="B193" s="3"/>
      <c r="C193" s="3"/>
      <c r="D193" s="3"/>
      <c r="E193" s="4"/>
      <c r="F193" s="3"/>
      <c r="G193" s="3"/>
      <c r="H193" s="3"/>
      <c r="I193" s="3"/>
    </row>
    <row r="194" spans="1:9" ht="12.75" customHeight="1" x14ac:dyDescent="0.15">
      <c r="A194" s="3"/>
      <c r="B194" s="3"/>
      <c r="C194" s="3"/>
      <c r="D194" s="3"/>
      <c r="E194" s="4"/>
      <c r="F194" s="3"/>
      <c r="G194" s="3"/>
      <c r="H194" s="3"/>
      <c r="I194" s="3"/>
    </row>
    <row r="195" spans="1:9" ht="12.75" customHeight="1" x14ac:dyDescent="0.15">
      <c r="A195" s="3"/>
      <c r="B195" s="3"/>
      <c r="C195" s="3"/>
      <c r="D195" s="3"/>
      <c r="E195" s="4"/>
      <c r="F195" s="3"/>
      <c r="G195" s="3"/>
      <c r="H195" s="3"/>
      <c r="I195" s="3"/>
    </row>
    <row r="196" spans="1:9" ht="12.75" customHeight="1" x14ac:dyDescent="0.15">
      <c r="A196" s="3"/>
      <c r="B196" s="3"/>
      <c r="C196" s="3"/>
      <c r="D196" s="3"/>
      <c r="E196" s="4"/>
      <c r="F196" s="3"/>
      <c r="G196" s="3"/>
      <c r="H196" s="3"/>
      <c r="I196" s="3"/>
    </row>
    <row r="197" spans="1:9" ht="12.75" customHeight="1" x14ac:dyDescent="0.15">
      <c r="A197" s="3"/>
      <c r="B197" s="3"/>
      <c r="C197" s="3"/>
      <c r="D197" s="3"/>
      <c r="E197" s="4"/>
      <c r="F197" s="3"/>
      <c r="G197" s="3"/>
      <c r="H197" s="3"/>
      <c r="I197" s="3"/>
    </row>
    <row r="198" spans="1:9" ht="12.75" customHeight="1" x14ac:dyDescent="0.15">
      <c r="A198" s="3"/>
      <c r="B198" s="3"/>
      <c r="C198" s="3"/>
      <c r="D198" s="3"/>
      <c r="E198" s="4"/>
      <c r="F198" s="3"/>
      <c r="G198" s="3"/>
      <c r="H198" s="3"/>
      <c r="I198" s="3"/>
    </row>
    <row r="199" spans="1:9" ht="12.75" customHeight="1" x14ac:dyDescent="0.15">
      <c r="A199" s="3"/>
      <c r="B199" s="3"/>
      <c r="C199" s="3"/>
      <c r="D199" s="3"/>
      <c r="E199" s="4"/>
      <c r="F199" s="3"/>
      <c r="G199" s="3"/>
      <c r="H199" s="3"/>
      <c r="I199" s="3"/>
    </row>
    <row r="200" spans="1:9" ht="12.75" customHeight="1" x14ac:dyDescent="0.15">
      <c r="A200" s="3"/>
      <c r="B200" s="3"/>
      <c r="C200" s="3"/>
      <c r="D200" s="3"/>
      <c r="E200" s="4"/>
      <c r="F200" s="3"/>
      <c r="G200" s="3"/>
      <c r="H200" s="3"/>
      <c r="I200" s="3"/>
    </row>
    <row r="201" spans="1:9" ht="12.75" customHeight="1" x14ac:dyDescent="0.15">
      <c r="A201" s="3"/>
      <c r="B201" s="3"/>
      <c r="C201" s="3"/>
      <c r="D201" s="3"/>
      <c r="E201" s="4"/>
      <c r="F201" s="3"/>
      <c r="G201" s="3"/>
      <c r="H201" s="3"/>
      <c r="I201" s="3"/>
    </row>
    <row r="202" spans="1:9" ht="12.75" customHeight="1" x14ac:dyDescent="0.15">
      <c r="A202" s="3"/>
      <c r="B202" s="3"/>
      <c r="C202" s="3"/>
      <c r="D202" s="3"/>
      <c r="E202" s="4"/>
      <c r="F202" s="3"/>
      <c r="G202" s="3"/>
      <c r="H202" s="3"/>
      <c r="I202" s="3"/>
    </row>
    <row r="203" spans="1:9" ht="12.75" customHeight="1" x14ac:dyDescent="0.15">
      <c r="A203" s="3"/>
      <c r="B203" s="3"/>
      <c r="C203" s="3"/>
      <c r="D203" s="3"/>
      <c r="E203" s="4"/>
      <c r="F203" s="3"/>
      <c r="G203" s="3"/>
      <c r="H203" s="3"/>
      <c r="I203" s="3"/>
    </row>
    <row r="204" spans="1:9" ht="12.75" customHeight="1" x14ac:dyDescent="0.15">
      <c r="A204" s="3"/>
      <c r="B204" s="3"/>
      <c r="C204" s="3"/>
      <c r="D204" s="3"/>
      <c r="E204" s="4"/>
      <c r="F204" s="3"/>
      <c r="G204" s="3"/>
      <c r="H204" s="3"/>
      <c r="I204" s="3"/>
    </row>
    <row r="205" spans="1:9" ht="12.75" customHeight="1" x14ac:dyDescent="0.15">
      <c r="A205" s="3"/>
      <c r="B205" s="3"/>
      <c r="C205" s="3"/>
      <c r="D205" s="3"/>
      <c r="E205" s="4"/>
      <c r="F205" s="3"/>
      <c r="G205" s="3"/>
      <c r="H205" s="3"/>
      <c r="I205" s="3"/>
    </row>
    <row r="206" spans="1:9" ht="12.75" customHeight="1" x14ac:dyDescent="0.15">
      <c r="A206" s="3"/>
      <c r="B206" s="3"/>
      <c r="C206" s="3"/>
      <c r="D206" s="3"/>
      <c r="E206" s="4"/>
      <c r="F206" s="3"/>
      <c r="G206" s="3"/>
      <c r="H206" s="3"/>
      <c r="I206" s="3"/>
    </row>
    <row r="207" spans="1:9" ht="12.75" customHeight="1" x14ac:dyDescent="0.15"/>
    <row r="208" spans="1:9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257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169</v>
      </c>
      <c r="C5" s="11">
        <v>104000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50000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181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182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42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221</v>
      </c>
      <c r="G33" s="148">
        <v>2261937</v>
      </c>
      <c r="H33" s="58" t="s">
        <v>35</v>
      </c>
      <c r="I33" s="183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184" t="s">
        <v>222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2261937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94">
        <f>2043075-1995175</f>
        <v>47900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3.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2" ht="14.25" customHeight="1" x14ac:dyDescent="0.2">
      <c r="A42" s="47"/>
      <c r="B42" s="3"/>
      <c r="C42" s="3"/>
      <c r="D42" s="3"/>
      <c r="E42" s="3"/>
      <c r="F42" s="3"/>
      <c r="G42" s="64">
        <f>D28</f>
        <v>0</v>
      </c>
      <c r="H42" s="58" t="s">
        <v>53</v>
      </c>
      <c r="I42" s="3"/>
    </row>
    <row r="43" spans="1:12" ht="14.25" customHeight="1" x14ac:dyDescent="0.2">
      <c r="A43" s="47"/>
      <c r="B43" s="3"/>
      <c r="C43" s="70" t="s">
        <v>92</v>
      </c>
      <c r="D43" s="70"/>
      <c r="E43" s="3"/>
      <c r="F43" s="42"/>
      <c r="G43" s="60">
        <v>0</v>
      </c>
      <c r="H43" s="61" t="s">
        <v>55</v>
      </c>
      <c r="I43" s="3"/>
    </row>
    <row r="44" spans="1:12" ht="14.25" customHeight="1" x14ac:dyDescent="0.2">
      <c r="A44" s="47" t="s">
        <v>56</v>
      </c>
      <c r="B44" s="47" t="s">
        <v>93</v>
      </c>
      <c r="C44" s="3"/>
      <c r="D44" s="3"/>
      <c r="E44" s="3"/>
      <c r="F44" s="3"/>
      <c r="G44" s="64">
        <f>D54</f>
        <v>0</v>
      </c>
      <c r="H44" s="58" t="s">
        <v>58</v>
      </c>
      <c r="I44" s="3"/>
    </row>
    <row r="45" spans="1:12" ht="14.25" customHeight="1" x14ac:dyDescent="0.2">
      <c r="A45" s="47" t="s">
        <v>94</v>
      </c>
      <c r="B45" s="59" t="s">
        <v>95</v>
      </c>
      <c r="C45" s="3"/>
      <c r="D45" s="3"/>
      <c r="E45" s="3"/>
      <c r="F45" s="3"/>
      <c r="G45" s="64">
        <v>0</v>
      </c>
      <c r="H45" s="61" t="s">
        <v>62</v>
      </c>
      <c r="I45" s="71">
        <v>200000</v>
      </c>
      <c r="J45" s="71" t="s">
        <v>63</v>
      </c>
      <c r="K45" s="72">
        <f>I45+G45</f>
        <v>200000</v>
      </c>
    </row>
    <row r="46" spans="1:12" ht="14.25" customHeight="1" x14ac:dyDescent="0.2">
      <c r="A46" s="47" t="s">
        <v>96</v>
      </c>
      <c r="B46" s="59" t="s">
        <v>97</v>
      </c>
      <c r="C46" s="3"/>
      <c r="D46" s="3"/>
      <c r="E46" s="3"/>
      <c r="F46" s="42"/>
      <c r="G46" s="64">
        <v>0</v>
      </c>
      <c r="H46" s="61" t="s">
        <v>66</v>
      </c>
      <c r="I46" s="73">
        <v>4500000</v>
      </c>
      <c r="J46" s="74" t="s">
        <v>67</v>
      </c>
      <c r="K46" s="73">
        <f>I46-G46</f>
        <v>4500000</v>
      </c>
      <c r="L46" s="185" t="s">
        <v>223</v>
      </c>
    </row>
    <row r="47" spans="1:12" ht="14.25" customHeight="1" x14ac:dyDescent="0.2">
      <c r="A47" s="47" t="s">
        <v>98</v>
      </c>
      <c r="B47" s="59" t="s">
        <v>99</v>
      </c>
      <c r="C47" s="3"/>
      <c r="D47" s="3"/>
      <c r="E47" s="3"/>
      <c r="F47" s="63" t="s">
        <v>70</v>
      </c>
      <c r="G47" s="64">
        <f>SUM(G36:G46)</f>
        <v>0</v>
      </c>
      <c r="H47" s="58" t="s">
        <v>71</v>
      </c>
      <c r="I47" s="3"/>
      <c r="K47" s="132"/>
    </row>
    <row r="48" spans="1:12" ht="14.25" customHeight="1" x14ac:dyDescent="0.2">
      <c r="A48" s="3"/>
      <c r="B48" s="3"/>
      <c r="C48" s="3"/>
      <c r="D48" s="3"/>
      <c r="E48" s="3"/>
      <c r="F48" s="3"/>
      <c r="G48" s="64">
        <f>G35-G47</f>
        <v>2261937</v>
      </c>
      <c r="H48" s="61" t="s">
        <v>73</v>
      </c>
      <c r="I48" s="76">
        <f>G48-2000000</f>
        <v>261937</v>
      </c>
    </row>
    <row r="49" spans="1:9" ht="13.5" customHeight="1" x14ac:dyDescent="0.2">
      <c r="A49" s="3"/>
      <c r="B49" s="3"/>
      <c r="C49" s="3"/>
      <c r="D49" s="354" t="s">
        <v>75</v>
      </c>
      <c r="E49" s="354"/>
      <c r="F49" s="63" t="s">
        <v>76</v>
      </c>
      <c r="G49" s="42"/>
      <c r="H49" s="47"/>
      <c r="I49" s="113"/>
    </row>
    <row r="50" spans="1:9" ht="12.75" customHeight="1" x14ac:dyDescent="0.2">
      <c r="A50" s="47"/>
      <c r="B50" s="3"/>
      <c r="C50" s="3">
        <v>0</v>
      </c>
      <c r="D50" s="78">
        <f>C50*50000</f>
        <v>0</v>
      </c>
      <c r="E50" s="7" t="s">
        <v>78</v>
      </c>
      <c r="F50" s="47" t="s">
        <v>178</v>
      </c>
      <c r="G50" s="3"/>
      <c r="H50" s="3"/>
      <c r="I50" s="3"/>
    </row>
    <row r="51" spans="1:9" ht="12.75" customHeight="1" x14ac:dyDescent="0.2">
      <c r="A51" s="3"/>
      <c r="B51" s="3"/>
      <c r="C51" s="3"/>
      <c r="D51" s="78">
        <v>0</v>
      </c>
      <c r="E51" s="79" t="s">
        <v>125</v>
      </c>
      <c r="F51" s="47"/>
      <c r="G51" s="3"/>
      <c r="H51" s="3"/>
      <c r="I51" s="3"/>
    </row>
    <row r="52" spans="1:9" ht="15.75" customHeight="1" x14ac:dyDescent="0.25">
      <c r="A52" s="3"/>
      <c r="B52" s="80"/>
      <c r="C52" s="81">
        <v>0</v>
      </c>
      <c r="D52" s="78">
        <f>C52*30000</f>
        <v>0</v>
      </c>
      <c r="E52" s="7" t="s">
        <v>81</v>
      </c>
      <c r="F52" s="3"/>
      <c r="G52" s="3"/>
      <c r="H52" s="3"/>
      <c r="I52" s="3"/>
    </row>
    <row r="53" spans="1:9" ht="12.75" customHeight="1" x14ac:dyDescent="0.2">
      <c r="A53" s="3"/>
      <c r="B53" s="3"/>
      <c r="C53" s="3"/>
      <c r="D53" s="78">
        <v>0</v>
      </c>
      <c r="E53" s="7" t="s">
        <v>82</v>
      </c>
      <c r="F53" s="3"/>
      <c r="G53" s="82"/>
      <c r="H53" s="3"/>
      <c r="I53" s="3"/>
    </row>
    <row r="54" spans="1:9" ht="12.75" customHeight="1" x14ac:dyDescent="0.2">
      <c r="A54" s="3"/>
      <c r="B54" s="3"/>
      <c r="C54" s="3"/>
      <c r="D54" s="78">
        <f>SUM(D50:D53)</f>
        <v>0</v>
      </c>
      <c r="E54" s="7" t="s">
        <v>42</v>
      </c>
      <c r="F54" s="3"/>
      <c r="G54" s="3"/>
      <c r="H54" s="3"/>
      <c r="I54" s="3"/>
    </row>
    <row r="55" spans="1:9" ht="15.75" customHeight="1" x14ac:dyDescent="0.25">
      <c r="A55" s="3"/>
      <c r="B55" s="3"/>
      <c r="C55" s="83">
        <f>C52-5</f>
        <v>-5</v>
      </c>
      <c r="D55" s="84">
        <f>C55*25000</f>
        <v>-125000</v>
      </c>
      <c r="E55" s="4"/>
      <c r="F55" s="63" t="s">
        <v>83</v>
      </c>
      <c r="G55" s="3"/>
      <c r="H55" s="3"/>
      <c r="I55" s="3"/>
    </row>
    <row r="56" spans="1:9" ht="12.75" customHeight="1" x14ac:dyDescent="0.2">
      <c r="A56" s="47"/>
      <c r="B56" s="3"/>
      <c r="C56" s="3"/>
      <c r="D56" s="84">
        <f>D55+350000+100000+150000</f>
        <v>475000</v>
      </c>
      <c r="E56" s="4"/>
      <c r="F56" s="63" t="s">
        <v>84</v>
      </c>
      <c r="G56" s="3"/>
      <c r="H56" s="3"/>
      <c r="I56" s="47" t="s">
        <v>104</v>
      </c>
    </row>
    <row r="57" spans="1:9" ht="12.75" customHeight="1" x14ac:dyDescent="0.15">
      <c r="A57" s="3"/>
      <c r="B57" s="3"/>
      <c r="C57" s="3"/>
      <c r="D57" s="42">
        <f>G33-D56</f>
        <v>1786937</v>
      </c>
      <c r="E57" s="4"/>
      <c r="F57" s="3"/>
      <c r="G57" s="3"/>
      <c r="H57" s="3"/>
      <c r="I57" s="3"/>
    </row>
    <row r="58" spans="1:9" ht="12.75" customHeight="1" x14ac:dyDescent="0.15">
      <c r="A58" s="3"/>
      <c r="B58" s="3"/>
      <c r="C58" s="3"/>
      <c r="D58" s="3"/>
      <c r="E58" s="4"/>
      <c r="F58" s="3"/>
      <c r="G58" s="3"/>
      <c r="H58" s="3"/>
      <c r="I58" s="3"/>
    </row>
    <row r="59" spans="1:9" ht="10.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9" ht="12.75" customHeight="1" x14ac:dyDescent="0.15">
      <c r="A60" s="3"/>
      <c r="B60" s="3"/>
      <c r="C60" s="3"/>
      <c r="D60" s="3"/>
      <c r="E60" s="4"/>
      <c r="F60" s="3"/>
      <c r="G60" s="3"/>
      <c r="H60" s="3"/>
      <c r="I60" s="3"/>
    </row>
    <row r="61" spans="1:9" ht="12.75" customHeight="1" x14ac:dyDescent="0.15">
      <c r="A61" s="3"/>
      <c r="B61" s="3"/>
      <c r="C61" s="3"/>
      <c r="D61" s="3"/>
      <c r="E61" s="4"/>
      <c r="F61" s="3"/>
      <c r="G61" s="3"/>
      <c r="H61" s="3"/>
      <c r="I61" s="3"/>
    </row>
    <row r="62" spans="1:9" ht="12.75" customHeight="1" x14ac:dyDescent="0.15">
      <c r="A62" s="3"/>
      <c r="B62" s="3"/>
      <c r="C62" s="3"/>
      <c r="D62" s="3"/>
      <c r="E62" s="4"/>
      <c r="F62" s="3"/>
      <c r="G62" s="3"/>
      <c r="H62" s="3"/>
      <c r="I62" s="3"/>
    </row>
    <row r="63" spans="1:9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9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/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</sheetData>
  <sheetProtection selectLockedCells="1" selectUnlockedCells="1"/>
  <mergeCells count="1">
    <mergeCell ref="D49:E49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258"/>
  <sheetViews>
    <sheetView workbookViewId="0"/>
  </sheetViews>
  <sheetFormatPr defaultColWidth="16" defaultRowHeight="15" customHeight="1" x14ac:dyDescent="0.15"/>
  <cols>
    <col min="1" max="1" width="72.6640625" style="1" customWidth="1"/>
    <col min="2" max="2" width="102.83203125" style="1" customWidth="1"/>
    <col min="3" max="3" width="166.83203125" style="1" customWidth="1"/>
    <col min="4" max="4" width="128.6640625" style="1" customWidth="1"/>
    <col min="5" max="5" width="137.83203125" style="1" customWidth="1"/>
    <col min="6" max="6" width="24" style="1" customWidth="1"/>
    <col min="7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119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55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/>
      <c r="I32" s="3"/>
      <c r="J32" s="62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224</v>
      </c>
      <c r="G33" s="148">
        <v>1189414</v>
      </c>
      <c r="H33" s="58" t="s">
        <v>35</v>
      </c>
      <c r="I33" s="3"/>
      <c r="J33" s="62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3000000</v>
      </c>
      <c r="H34" s="61" t="s">
        <v>38</v>
      </c>
      <c r="I34" s="186" t="s">
        <v>225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4189414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0</v>
      </c>
      <c r="H45" s="58" t="s">
        <v>58</v>
      </c>
      <c r="I45" s="42">
        <f>G43+G45</f>
        <v>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1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>
        <v>9500000</v>
      </c>
      <c r="J47" s="74" t="s">
        <v>67</v>
      </c>
      <c r="K47" s="73">
        <f>I47-G47</f>
        <v>9500000</v>
      </c>
      <c r="L47" s="185" t="s">
        <v>226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3"/>
      <c r="K48" s="132"/>
    </row>
    <row r="49" spans="1:10" ht="14.25" customHeight="1" x14ac:dyDescent="0.2">
      <c r="A49" s="3"/>
      <c r="B49" s="3"/>
      <c r="C49" s="3"/>
      <c r="D49" s="3"/>
      <c r="E49" s="3"/>
      <c r="F49" s="3"/>
      <c r="G49" s="64">
        <f>G35-G48</f>
        <v>4189414</v>
      </c>
      <c r="H49" s="61" t="s">
        <v>73</v>
      </c>
      <c r="I49" s="76">
        <f>G49-4000000</f>
        <v>189414</v>
      </c>
      <c r="J49" s="187" t="s">
        <v>227</v>
      </c>
    </row>
    <row r="50" spans="1:10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42"/>
      <c r="H50" s="47"/>
      <c r="I50" s="113"/>
    </row>
    <row r="51" spans="1:10" ht="12.75" customHeight="1" x14ac:dyDescent="0.2">
      <c r="A51" s="47"/>
      <c r="B51" s="3"/>
      <c r="C51" s="3">
        <v>17</v>
      </c>
      <c r="D51" s="78">
        <v>0</v>
      </c>
      <c r="E51" s="7" t="s">
        <v>78</v>
      </c>
      <c r="F51" s="47" t="s">
        <v>178</v>
      </c>
      <c r="G51" s="3"/>
      <c r="H51" s="3"/>
      <c r="I51" s="3"/>
    </row>
    <row r="52" spans="1:10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</row>
    <row r="53" spans="1:10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63" t="s">
        <v>228</v>
      </c>
    </row>
    <row r="54" spans="1:10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0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0" ht="15.75" customHeight="1" x14ac:dyDescent="0.25">
      <c r="A56" s="3"/>
      <c r="B56" s="3"/>
      <c r="C56" s="83">
        <f>C53-5</f>
        <v>-5</v>
      </c>
      <c r="D56" s="84">
        <f>C56*25000</f>
        <v>-125000</v>
      </c>
      <c r="E56" s="4"/>
      <c r="F56" s="63" t="s">
        <v>83</v>
      </c>
      <c r="G56" s="3"/>
      <c r="H56" s="3"/>
      <c r="I56" s="3"/>
    </row>
    <row r="57" spans="1:10" ht="12.75" customHeight="1" x14ac:dyDescent="0.2">
      <c r="A57" s="47"/>
      <c r="B57" s="3"/>
      <c r="C57" s="3"/>
      <c r="D57" s="84">
        <f>D56+350000+100000+150000</f>
        <v>475000</v>
      </c>
      <c r="E57" s="4"/>
      <c r="F57" s="63" t="s">
        <v>84</v>
      </c>
      <c r="G57" s="3"/>
      <c r="H57" s="3"/>
      <c r="I57" s="47" t="s">
        <v>104</v>
      </c>
    </row>
    <row r="58" spans="1:10" ht="12.75" customHeight="1" x14ac:dyDescent="0.15">
      <c r="A58" s="3"/>
      <c r="B58" s="3"/>
      <c r="C58" s="3"/>
      <c r="D58" s="42">
        <f>G33-D57</f>
        <v>714414</v>
      </c>
      <c r="E58" s="4"/>
      <c r="F58" s="3"/>
      <c r="G58" s="3"/>
      <c r="H58" s="3"/>
      <c r="I58" s="3"/>
    </row>
    <row r="59" spans="1:10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10" ht="12.75" customHeight="1" x14ac:dyDescent="0.15">
      <c r="A60" s="3"/>
      <c r="B60" s="3"/>
      <c r="C60" s="3"/>
      <c r="D60" s="3"/>
      <c r="E60" s="4"/>
      <c r="F60" s="3"/>
      <c r="G60" s="3"/>
      <c r="H60" s="3"/>
      <c r="I60" s="3"/>
    </row>
    <row r="61" spans="1:10" ht="12.75" customHeight="1" x14ac:dyDescent="0.15">
      <c r="A61" s="3"/>
      <c r="B61" s="3"/>
      <c r="C61" s="3"/>
      <c r="D61" s="3"/>
      <c r="E61" s="4"/>
      <c r="F61" s="3"/>
      <c r="G61" s="3"/>
      <c r="H61" s="3"/>
      <c r="I61" s="3"/>
    </row>
    <row r="62" spans="1:10" ht="12.75" customHeight="1" x14ac:dyDescent="0.15">
      <c r="A62" s="3"/>
      <c r="B62" s="3"/>
      <c r="C62" s="3"/>
      <c r="D62" s="3"/>
      <c r="E62" s="41"/>
      <c r="F62" s="53"/>
      <c r="G62" s="3"/>
      <c r="H62" s="3"/>
      <c r="I62" s="3"/>
    </row>
    <row r="63" spans="1:10" ht="12.75" customHeight="1" x14ac:dyDescent="0.15">
      <c r="A63" s="3"/>
      <c r="B63" s="3"/>
      <c r="C63" s="3"/>
      <c r="D63" s="3"/>
      <c r="E63" s="41"/>
      <c r="F63" s="53"/>
      <c r="G63" s="3"/>
      <c r="H63" s="3"/>
      <c r="I63" s="3"/>
    </row>
    <row r="64" spans="1:10" ht="12.75" customHeight="1" x14ac:dyDescent="0.15">
      <c r="A64" s="3"/>
      <c r="B64" s="3"/>
      <c r="C64" s="3"/>
      <c r="D64" s="3"/>
      <c r="E64" s="41"/>
      <c r="F64" s="5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1"/>
      <c r="F65" s="7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258"/>
  <sheetViews>
    <sheetView workbookViewId="0"/>
  </sheetViews>
  <sheetFormatPr defaultColWidth="16" defaultRowHeight="15" customHeight="1" x14ac:dyDescent="0.15"/>
  <cols>
    <col min="1" max="1" width="17.5" style="1" customWidth="1"/>
    <col min="2" max="2" width="23" style="1" customWidth="1"/>
    <col min="3" max="3" width="39.6640625" style="1" customWidth="1"/>
    <col min="4" max="4" width="34.33203125" style="1" customWidth="1"/>
    <col min="5" max="5" width="8.5" style="1" customWidth="1"/>
    <col min="6" max="6" width="20.33203125" style="1" customWidth="1"/>
    <col min="7" max="7" width="19.83203125" style="1" customWidth="1"/>
    <col min="8" max="8" width="27" style="1" customWidth="1"/>
    <col min="9" max="9" width="25.5" style="1" customWidth="1"/>
    <col min="10" max="10" width="35.83203125" style="1" customWidth="1"/>
    <col min="11" max="11" width="23" style="1" customWidth="1"/>
    <col min="12" max="12" width="14" style="1" customWidth="1"/>
    <col min="13" max="13" width="21" style="1" customWidth="1"/>
    <col min="14" max="14" width="1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53000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34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119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 t="s">
        <v>229</v>
      </c>
      <c r="G33" s="148">
        <v>2202757</v>
      </c>
      <c r="H33" s="58" t="s">
        <v>35</v>
      </c>
      <c r="I33" s="3"/>
      <c r="J33" s="59" t="s">
        <v>36</v>
      </c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38</v>
      </c>
      <c r="I34" s="186" t="s">
        <v>230</v>
      </c>
      <c r="J34" s="47" t="s">
        <v>231</v>
      </c>
      <c r="K34" s="106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2202757</v>
      </c>
      <c r="H35" s="65" t="s">
        <v>42</v>
      </c>
      <c r="I35" s="3">
        <v>1320077</v>
      </c>
      <c r="J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48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50</v>
      </c>
      <c r="B41" s="3"/>
      <c r="C41" s="3"/>
      <c r="D41" s="3"/>
      <c r="E41" s="42"/>
      <c r="F41" s="3"/>
      <c r="G41" s="42">
        <v>0</v>
      </c>
      <c r="H41" s="47" t="s">
        <v>51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54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57</v>
      </c>
      <c r="C45" s="3"/>
      <c r="D45" s="3"/>
      <c r="E45" s="3"/>
      <c r="F45" s="3"/>
      <c r="G45" s="64">
        <f>D55</f>
        <v>0</v>
      </c>
      <c r="H45" s="58" t="s">
        <v>58</v>
      </c>
      <c r="I45" s="42">
        <f>G43+G45</f>
        <v>0</v>
      </c>
      <c r="J45" s="47" t="s">
        <v>59</v>
      </c>
    </row>
    <row r="46" spans="1:12" ht="14.25" customHeight="1" x14ac:dyDescent="0.2">
      <c r="A46" s="47" t="s">
        <v>60</v>
      </c>
      <c r="B46" s="59" t="s">
        <v>61</v>
      </c>
      <c r="C46" s="3"/>
      <c r="D46" s="3"/>
      <c r="E46" s="3"/>
      <c r="F46" s="3"/>
      <c r="G46" s="64">
        <v>0</v>
      </c>
      <c r="H46" s="61" t="s">
        <v>62</v>
      </c>
      <c r="I46" s="71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64</v>
      </c>
      <c r="B47" s="59" t="s">
        <v>65</v>
      </c>
      <c r="C47" s="3"/>
      <c r="D47" s="3"/>
      <c r="E47" s="3"/>
      <c r="F47" s="42"/>
      <c r="G47" s="64">
        <v>0</v>
      </c>
      <c r="H47" s="61" t="s">
        <v>66</v>
      </c>
      <c r="I47" s="84">
        <v>9500000</v>
      </c>
      <c r="J47" s="74" t="s">
        <v>67</v>
      </c>
      <c r="K47" s="73">
        <v>9000000</v>
      </c>
      <c r="L47" s="185"/>
    </row>
    <row r="48" spans="1:12" ht="14.25" customHeight="1" x14ac:dyDescent="0.2">
      <c r="A48" s="47" t="s">
        <v>68</v>
      </c>
      <c r="B48" s="59" t="s">
        <v>69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38"/>
      <c r="K48" s="47" t="s">
        <v>72</v>
      </c>
      <c r="L48" s="104" t="s">
        <v>232</v>
      </c>
    </row>
    <row r="49" spans="1:12" ht="14.25" customHeight="1" x14ac:dyDescent="0.2">
      <c r="A49" s="3"/>
      <c r="B49" s="3"/>
      <c r="C49" s="3"/>
      <c r="D49" s="3"/>
      <c r="E49" s="3"/>
      <c r="F49" s="3"/>
      <c r="G49" s="64">
        <f>G35-G48</f>
        <v>2202757</v>
      </c>
      <c r="H49" s="61" t="s">
        <v>73</v>
      </c>
      <c r="I49" s="76">
        <f>G49-2000000</f>
        <v>202757</v>
      </c>
      <c r="K49" s="47" t="s">
        <v>74</v>
      </c>
      <c r="L49" s="104" t="s">
        <v>233</v>
      </c>
    </row>
    <row r="50" spans="1:12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42"/>
      <c r="H50" s="47"/>
      <c r="I50" s="113"/>
    </row>
    <row r="51" spans="1:12" ht="12.75" customHeight="1" x14ac:dyDescent="0.2">
      <c r="A51" s="47"/>
      <c r="B51" s="3"/>
      <c r="C51" s="3">
        <v>19</v>
      </c>
      <c r="D51" s="78">
        <v>0</v>
      </c>
      <c r="E51" s="7" t="s">
        <v>78</v>
      </c>
      <c r="F51" s="47" t="s">
        <v>79</v>
      </c>
      <c r="G51" s="3"/>
      <c r="H51" s="3"/>
      <c r="I51" s="3"/>
    </row>
    <row r="52" spans="1:12" ht="12.75" customHeight="1" x14ac:dyDescent="0.2">
      <c r="A52" s="3"/>
      <c r="B52" s="3"/>
      <c r="C52" s="3"/>
      <c r="D52" s="188">
        <v>0</v>
      </c>
      <c r="E52" s="79" t="s">
        <v>80</v>
      </c>
      <c r="F52" s="47"/>
      <c r="G52" s="3"/>
      <c r="H52" s="3"/>
      <c r="I52" s="3"/>
    </row>
    <row r="53" spans="1:12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</row>
    <row r="54" spans="1:12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189"/>
      <c r="H54" s="3"/>
      <c r="I54" s="3"/>
    </row>
    <row r="55" spans="1:12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2" ht="15.75" customHeight="1" x14ac:dyDescent="0.25">
      <c r="A56" s="3"/>
      <c r="B56" s="3"/>
      <c r="C56" s="83">
        <f>C53-5</f>
        <v>-5</v>
      </c>
      <c r="D56" s="84">
        <f>C56*25000</f>
        <v>-125000</v>
      </c>
      <c r="E56" s="4"/>
      <c r="F56" s="63" t="s">
        <v>83</v>
      </c>
      <c r="G56" s="3"/>
      <c r="H56" s="3"/>
      <c r="I56" s="3"/>
    </row>
    <row r="57" spans="1:12" ht="12.75" customHeight="1" x14ac:dyDescent="0.2">
      <c r="A57" s="47"/>
      <c r="B57" s="3"/>
      <c r="C57" s="3"/>
      <c r="D57" s="84">
        <f>D56+350000+100000+150000</f>
        <v>475000</v>
      </c>
      <c r="E57" s="4"/>
      <c r="F57" s="63" t="s">
        <v>84</v>
      </c>
      <c r="G57" s="3"/>
      <c r="H57" s="3"/>
      <c r="I57" s="47" t="s">
        <v>104</v>
      </c>
    </row>
    <row r="58" spans="1:12" ht="12.75" customHeight="1" x14ac:dyDescent="0.15">
      <c r="A58" s="3"/>
      <c r="B58" s="3"/>
      <c r="C58" s="3"/>
      <c r="D58" s="42">
        <f>G33-D57</f>
        <v>1727757</v>
      </c>
      <c r="E58" s="4"/>
      <c r="F58" s="3"/>
      <c r="G58" s="3"/>
      <c r="H58" s="3"/>
      <c r="I58" s="3"/>
    </row>
    <row r="59" spans="1:12" ht="12.75" customHeight="1" x14ac:dyDescent="0.15">
      <c r="A59" s="3"/>
      <c r="B59" s="3"/>
      <c r="C59" s="3"/>
      <c r="D59" s="3"/>
      <c r="E59" s="4"/>
      <c r="F59" s="3"/>
      <c r="G59" s="3"/>
      <c r="H59" s="3"/>
      <c r="I59" s="3"/>
    </row>
    <row r="60" spans="1:12" ht="12.75" customHeight="1" x14ac:dyDescent="0.15">
      <c r="A60" s="3"/>
      <c r="B60" s="3"/>
      <c r="C60" s="3"/>
      <c r="D60" s="3"/>
      <c r="E60" s="4"/>
      <c r="F60" s="3"/>
      <c r="G60" s="3"/>
      <c r="H60" s="3"/>
      <c r="I60" s="3"/>
    </row>
    <row r="61" spans="1:12" ht="12.75" customHeight="1" x14ac:dyDescent="0.15">
      <c r="A61" s="3"/>
      <c r="B61" s="3"/>
      <c r="C61" s="3"/>
      <c r="D61" s="3"/>
      <c r="E61" s="4"/>
      <c r="F61" s="3"/>
      <c r="G61" s="3"/>
      <c r="H61" s="3"/>
      <c r="I61" s="3"/>
    </row>
    <row r="62" spans="1:12" ht="12.75" customHeight="1" x14ac:dyDescent="0.15">
      <c r="A62" s="3"/>
      <c r="B62" s="3"/>
      <c r="C62" s="3"/>
      <c r="D62" s="3"/>
      <c r="E62" s="4"/>
      <c r="F62" s="3"/>
      <c r="G62" s="3"/>
      <c r="H62" s="3"/>
      <c r="I62" s="3"/>
    </row>
    <row r="63" spans="1:12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2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/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255"/>
  <sheetViews>
    <sheetView topLeftCell="A10" workbookViewId="0">
      <selection activeCell="E60" sqref="E60"/>
    </sheetView>
  </sheetViews>
  <sheetFormatPr defaultColWidth="16" defaultRowHeight="15" customHeight="1" x14ac:dyDescent="0.15"/>
  <cols>
    <col min="1" max="1" width="23.33203125" style="1" customWidth="1"/>
    <col min="2" max="2" width="22" style="1" customWidth="1"/>
    <col min="3" max="3" width="18.6640625" style="1" customWidth="1"/>
    <col min="4" max="4" width="18.1640625" style="1" customWidth="1"/>
    <col min="5" max="5" width="10.1640625" style="1" customWidth="1"/>
    <col min="6" max="6" width="14.5" style="1" customWidth="1"/>
    <col min="7" max="7" width="19.5" style="1" customWidth="1"/>
    <col min="8" max="8" width="14" style="1" customWidth="1"/>
    <col min="9" max="9" width="14.83203125" style="1" customWidth="1"/>
    <col min="10" max="10" width="8.83203125" style="1" customWidth="1"/>
    <col min="11" max="11" width="13" style="1" customWidth="1"/>
    <col min="12" max="12" width="18.1640625" style="1" customWidth="1"/>
    <col min="13" max="13" width="19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340000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119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110000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65000</v>
      </c>
      <c r="D12" s="11">
        <v>65000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275000</v>
      </c>
      <c r="G13" s="30" t="s">
        <v>21</v>
      </c>
      <c r="H13" s="31">
        <f>SUM(F9,F13)</f>
        <v>938670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119">
        <v>0</v>
      </c>
      <c r="D16" s="119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1278670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120</v>
      </c>
      <c r="I34" s="47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SUM(G33:G34)</f>
        <v>1000000</v>
      </c>
      <c r="H35" s="124">
        <f>SUM(G35)</f>
        <v>1000000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15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55"/>
    </row>
    <row r="40" spans="1:12" ht="13.5" customHeight="1" x14ac:dyDescent="0.2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47" t="s">
        <v>121</v>
      </c>
      <c r="J40" s="104" t="s">
        <v>122</v>
      </c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64">
        <f>D28</f>
        <v>1278670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60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64">
        <f>D55</f>
        <v>500000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 t="s">
        <v>123</v>
      </c>
      <c r="J46" s="71"/>
      <c r="K46" s="72"/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200000</v>
      </c>
      <c r="H47" s="61" t="s">
        <v>66</v>
      </c>
      <c r="I47" s="125" t="s">
        <v>128</v>
      </c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1978670</v>
      </c>
      <c r="H48" s="58" t="s">
        <v>71</v>
      </c>
      <c r="I48" s="3"/>
      <c r="K48" s="47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-978670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200000</v>
      </c>
      <c r="E52" s="79" t="s">
        <v>125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v>300000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500000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3"/>
      <c r="H57" s="3"/>
      <c r="I57" s="3"/>
      <c r="K57" s="95"/>
      <c r="L57" s="96"/>
      <c r="M57" s="126"/>
    </row>
    <row r="58" spans="1:14" ht="12.75" customHeight="1" x14ac:dyDescent="0.2">
      <c r="A58" s="3"/>
      <c r="B58" s="3"/>
      <c r="C58" s="3"/>
      <c r="D58" s="42"/>
      <c r="E58" s="4"/>
      <c r="F58" s="3"/>
      <c r="G58" s="3"/>
      <c r="H58" s="3"/>
      <c r="I58" s="3"/>
      <c r="K58" s="98"/>
      <c r="L58" s="78"/>
      <c r="M58" s="78"/>
    </row>
    <row r="59" spans="1:14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/>
      <c r="L59" s="78"/>
      <c r="M59" s="118"/>
      <c r="N59" s="106"/>
    </row>
    <row r="60" spans="1:14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/>
      <c r="L60" s="116"/>
      <c r="M60" s="78"/>
    </row>
    <row r="61" spans="1:14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/>
      <c r="L61" s="118"/>
      <c r="M61" s="118"/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/>
      <c r="L62" s="78"/>
      <c r="M62" s="78"/>
    </row>
    <row r="63" spans="1:14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5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4"/>
  </sheetPr>
  <dimension ref="A1:N258"/>
  <sheetViews>
    <sheetView topLeftCell="D17" workbookViewId="0">
      <selection activeCell="E60" sqref="E60"/>
    </sheetView>
  </sheetViews>
  <sheetFormatPr defaultColWidth="16" defaultRowHeight="15" customHeight="1" x14ac:dyDescent="0.15"/>
  <cols>
    <col min="1" max="1" width="20.33203125" style="1" customWidth="1"/>
    <col min="2" max="2" width="25" style="1" customWidth="1"/>
    <col min="3" max="3" width="17.6640625" style="1" customWidth="1"/>
    <col min="4" max="4" width="18.1640625" style="1" customWidth="1"/>
    <col min="5" max="5" width="10.1640625" style="1" customWidth="1"/>
    <col min="6" max="6" width="14.5" style="1" customWidth="1"/>
    <col min="7" max="7" width="19" style="1" customWidth="1"/>
    <col min="8" max="8" width="14.6640625" style="1" customWidth="1"/>
    <col min="9" max="9" width="15.1640625" style="1" customWidth="1"/>
    <col min="10" max="10" width="16" style="1" customWidth="1"/>
    <col min="11" max="11" width="14" style="1" customWidth="1"/>
    <col min="12" max="12" width="20" style="1" customWidth="1"/>
    <col min="13" max="13" width="17.16406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400000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110000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65000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280000</v>
      </c>
      <c r="G13" s="30" t="s">
        <v>21</v>
      </c>
      <c r="H13" s="31">
        <f>SUM(F9,F13)</f>
        <v>943670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1343670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4500000</v>
      </c>
      <c r="H34" s="61" t="s">
        <v>38</v>
      </c>
      <c r="I34" s="47" t="s">
        <v>234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5500000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1343670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1320000</v>
      </c>
      <c r="H45" s="58" t="s">
        <v>58</v>
      </c>
      <c r="I45" s="42">
        <f>G43+G45</f>
        <v>2663670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500000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4163670</v>
      </c>
      <c r="H48" s="58" t="s">
        <v>71</v>
      </c>
      <c r="I48" s="3"/>
      <c r="K48" s="47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1336330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250000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350000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1320000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3"/>
      <c r="H57" s="3"/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3"/>
      <c r="G58" s="3"/>
      <c r="H58" s="3"/>
      <c r="I58" s="3"/>
      <c r="K58" s="98" t="s">
        <v>106</v>
      </c>
      <c r="L58" s="78">
        <v>44667657</v>
      </c>
      <c r="M58" s="78">
        <f>L58-190000</f>
        <v>44477657</v>
      </c>
    </row>
    <row r="59" spans="1:14" ht="12.75" customHeight="1" x14ac:dyDescent="0.2">
      <c r="A59" s="3"/>
      <c r="B59" s="3"/>
      <c r="C59" s="3"/>
      <c r="D59" s="3"/>
      <c r="E59" s="4"/>
      <c r="F59" s="3"/>
      <c r="G59" s="3"/>
      <c r="H59" s="3"/>
      <c r="I59" s="3"/>
      <c r="K59" s="100" t="s">
        <v>72</v>
      </c>
      <c r="L59" s="118">
        <v>6000000</v>
      </c>
      <c r="M59" s="118">
        <v>6000000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3"/>
      <c r="G60" s="3"/>
      <c r="H60" s="3"/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3"/>
      <c r="G61" s="3"/>
      <c r="H61" s="3"/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3"/>
      <c r="H62" s="3"/>
      <c r="I62" s="3"/>
      <c r="K62" s="98" t="s">
        <v>42</v>
      </c>
      <c r="L62" s="78">
        <f>SUM(L58:L61)</f>
        <v>50667657</v>
      </c>
      <c r="M62" s="78">
        <f>SUM(M58:M61)</f>
        <v>50477657</v>
      </c>
    </row>
    <row r="63" spans="1:14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indexed="8"/>
  </sheetPr>
  <dimension ref="A1:N258"/>
  <sheetViews>
    <sheetView topLeftCell="B22" workbookViewId="0">
      <selection activeCell="E60" sqref="E60"/>
    </sheetView>
  </sheetViews>
  <sheetFormatPr defaultColWidth="16" defaultRowHeight="15" customHeight="1" x14ac:dyDescent="0.15"/>
  <cols>
    <col min="1" max="1" width="19" style="1" customWidth="1"/>
    <col min="2" max="2" width="33.33203125" style="1" customWidth="1"/>
    <col min="3" max="3" width="15.6640625" style="1" customWidth="1"/>
    <col min="4" max="4" width="19.83203125" style="1" customWidth="1"/>
    <col min="5" max="5" width="12.1640625" style="1" customWidth="1"/>
    <col min="6" max="6" width="15.83203125" style="1" customWidth="1"/>
    <col min="7" max="7" width="21.5" style="1" customWidth="1"/>
    <col min="8" max="8" width="16" style="1" customWidth="1"/>
    <col min="9" max="9" width="17.1640625" style="1" customWidth="1"/>
    <col min="10" max="10" width="10.1640625" style="1" customWidth="1"/>
    <col min="11" max="11" width="13.33203125" style="1" customWidth="1"/>
    <col min="12" max="12" width="18.1640625" style="1" customWidth="1"/>
    <col min="13" max="13" width="20.3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64">
        <v>1000000</v>
      </c>
      <c r="H33" s="61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3"/>
      <c r="E34" s="55"/>
      <c r="F34" s="53"/>
      <c r="G34" s="60">
        <v>0</v>
      </c>
      <c r="H34" s="61" t="s">
        <v>235</v>
      </c>
      <c r="I34" s="47" t="s">
        <v>236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3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42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K48" s="47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>
        <f>G49-2600000</f>
        <v>-2320000</v>
      </c>
      <c r="J49" s="192" t="s">
        <v>237</v>
      </c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6">
        <v>681247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3"/>
      <c r="G58" s="195" t="s">
        <v>240</v>
      </c>
      <c r="H58" s="197">
        <v>156000</v>
      </c>
      <c r="I58" s="3"/>
      <c r="K58" s="98" t="s">
        <v>106</v>
      </c>
      <c r="L58" s="78">
        <v>45047657</v>
      </c>
      <c r="M58" s="78">
        <f>L58-190000</f>
        <v>44857657</v>
      </c>
    </row>
    <row r="59" spans="1:14" ht="12.75" customHeight="1" x14ac:dyDescent="0.2">
      <c r="A59" s="3"/>
      <c r="B59" s="3"/>
      <c r="C59" s="3"/>
      <c r="D59" s="3"/>
      <c r="E59" s="4"/>
      <c r="F59" s="3"/>
      <c r="G59" s="195" t="s">
        <v>241</v>
      </c>
      <c r="H59" s="197">
        <v>336000</v>
      </c>
      <c r="I59" s="3"/>
      <c r="K59" s="100" t="s">
        <v>72</v>
      </c>
      <c r="L59" s="118">
        <v>3000000</v>
      </c>
      <c r="M59" s="118">
        <v>3000000</v>
      </c>
      <c r="N59" s="106"/>
    </row>
    <row r="60" spans="1:14" ht="12.75" customHeight="1" x14ac:dyDescent="0.2">
      <c r="A60" s="3"/>
      <c r="B60" s="3"/>
      <c r="C60" s="3"/>
      <c r="D60" s="3"/>
      <c r="E60" s="41"/>
      <c r="F60" s="3"/>
      <c r="G60" s="195" t="s">
        <v>242</v>
      </c>
      <c r="H60" s="197">
        <v>163000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1"/>
      <c r="F61" s="3"/>
      <c r="G61" s="198" t="s">
        <v>243</v>
      </c>
      <c r="H61" s="197">
        <f>SUM(H58:H60)</f>
        <v>655000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199" t="s">
        <v>244</v>
      </c>
      <c r="H62" s="200">
        <f>H57-H61</f>
        <v>26247</v>
      </c>
      <c r="I62" s="3"/>
      <c r="K62" s="98" t="s">
        <v>42</v>
      </c>
      <c r="L62" s="78">
        <f>SUM(L58:L61)</f>
        <v>48047657</v>
      </c>
      <c r="M62" s="78">
        <f>SUM(M58:M61)</f>
        <v>47857657</v>
      </c>
    </row>
    <row r="63" spans="1:14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47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201"/>
      <c r="G65" s="202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113"/>
      <c r="G66" s="42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201"/>
      <c r="G67" s="42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201"/>
      <c r="G68" s="42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131"/>
      <c r="G69" s="42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47"/>
      <c r="G70" s="42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indexed="8"/>
  </sheetPr>
  <dimension ref="A1:N258"/>
  <sheetViews>
    <sheetView topLeftCell="A13" workbookViewId="0">
      <selection activeCell="E60" sqref="E60"/>
    </sheetView>
  </sheetViews>
  <sheetFormatPr defaultColWidth="16" defaultRowHeight="15" customHeight="1" x14ac:dyDescent="0.15"/>
  <cols>
    <col min="1" max="1" width="17.5" style="1" customWidth="1"/>
    <col min="2" max="2" width="24.33203125" style="1" customWidth="1"/>
    <col min="3" max="4" width="16.83203125" style="1" customWidth="1"/>
    <col min="5" max="5" width="9.6640625" style="1" customWidth="1"/>
    <col min="6" max="6" width="23.6640625" style="1" customWidth="1"/>
    <col min="7" max="7" width="20" style="1" customWidth="1"/>
    <col min="8" max="8" width="20.33203125" style="1" customWidth="1"/>
    <col min="9" max="9" width="15.1640625" style="1" customWidth="1"/>
    <col min="10" max="10" width="13" style="1" customWidth="1"/>
    <col min="11" max="11" width="14.83203125" style="1" customWidth="1"/>
    <col min="12" max="12" width="19" style="1" customWidth="1"/>
    <col min="13" max="13" width="18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  <c r="J33" s="122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246</v>
      </c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  <c r="J35" s="104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/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42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 t="s">
        <v>248</v>
      </c>
      <c r="J48" s="42">
        <f>G33</f>
        <v>1000000</v>
      </c>
      <c r="K48" s="169">
        <f>J48-G48</f>
        <v>280000</v>
      </c>
      <c r="L48" s="9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L49" s="104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06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6">
        <v>643200</v>
      </c>
      <c r="I57" s="63" t="s">
        <v>249</v>
      </c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3"/>
      <c r="G58" s="195" t="s">
        <v>250</v>
      </c>
      <c r="H58" s="204">
        <v>156000</v>
      </c>
      <c r="I58" s="3"/>
      <c r="K58" s="98" t="s">
        <v>106</v>
      </c>
      <c r="L58" s="78">
        <v>44857657</v>
      </c>
      <c r="M58" s="78">
        <f>L58-190000</f>
        <v>44667657</v>
      </c>
    </row>
    <row r="59" spans="1:14" ht="12.75" customHeight="1" x14ac:dyDescent="0.2">
      <c r="A59" s="3"/>
      <c r="B59" s="3"/>
      <c r="C59" s="3"/>
      <c r="D59" s="3"/>
      <c r="E59" s="4"/>
      <c r="F59" s="3"/>
      <c r="G59" s="195" t="s">
        <v>241</v>
      </c>
      <c r="H59" s="204">
        <v>336000</v>
      </c>
      <c r="I59" s="3"/>
      <c r="K59" s="100" t="s">
        <v>72</v>
      </c>
      <c r="L59" s="118">
        <v>3000000</v>
      </c>
      <c r="M59" s="118">
        <v>4500000</v>
      </c>
      <c r="N59" s="205" t="s">
        <v>251</v>
      </c>
    </row>
    <row r="60" spans="1:14" ht="12.75" customHeight="1" x14ac:dyDescent="0.2">
      <c r="A60" s="3"/>
      <c r="B60" s="3"/>
      <c r="C60" s="3"/>
      <c r="D60" s="3"/>
      <c r="E60" s="4"/>
      <c r="F60" s="3"/>
      <c r="G60" s="195" t="s">
        <v>252</v>
      </c>
      <c r="H60" s="197">
        <v>100000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3"/>
      <c r="G61" s="198" t="s">
        <v>243</v>
      </c>
      <c r="H61" s="197">
        <f>SUM(H58:H60)</f>
        <v>592000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3"/>
      <c r="G62" s="198" t="s">
        <v>244</v>
      </c>
      <c r="H62" s="206">
        <f>H57-H61</f>
        <v>51200</v>
      </c>
      <c r="I62" s="3"/>
      <c r="K62" s="98" t="s">
        <v>42</v>
      </c>
      <c r="L62" s="78">
        <f>SUM(L58:L61)</f>
        <v>47857657</v>
      </c>
      <c r="M62" s="78">
        <f>SUM(M58:M61)</f>
        <v>49167657</v>
      </c>
    </row>
    <row r="63" spans="1:14" ht="12.75" customHeight="1" x14ac:dyDescent="0.15">
      <c r="A63" s="3"/>
      <c r="B63" s="3"/>
      <c r="C63" s="3"/>
      <c r="D63" s="3"/>
      <c r="E63" s="4"/>
      <c r="F63" s="3"/>
      <c r="G63" s="3" t="s">
        <v>317</v>
      </c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indexed="8"/>
  </sheetPr>
  <dimension ref="A1:N260"/>
  <sheetViews>
    <sheetView topLeftCell="B26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8.1640625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  <c r="J33" s="122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254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122"/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122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209" t="s">
        <v>255</v>
      </c>
      <c r="J49" s="209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 t="s">
        <v>256</v>
      </c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6">
        <v>636340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47"/>
      <c r="B58" s="3"/>
      <c r="C58" s="3"/>
      <c r="D58" s="84"/>
      <c r="E58" s="4"/>
      <c r="F58" s="53">
        <v>180000</v>
      </c>
      <c r="G58" s="195" t="s">
        <v>257</v>
      </c>
      <c r="H58" s="196">
        <v>0</v>
      </c>
      <c r="I58" s="3"/>
      <c r="K58" s="95"/>
      <c r="L58" s="96"/>
      <c r="M58" s="126"/>
    </row>
    <row r="59" spans="1:14" ht="12.75" customHeight="1" x14ac:dyDescent="0.2">
      <c r="A59" s="3"/>
      <c r="B59" s="3"/>
      <c r="C59" s="3"/>
      <c r="D59" s="42"/>
      <c r="E59" s="4"/>
      <c r="F59" s="53">
        <v>156000</v>
      </c>
      <c r="G59" s="195" t="s">
        <v>240</v>
      </c>
      <c r="H59" s="197">
        <v>0</v>
      </c>
      <c r="I59" s="3"/>
      <c r="K59" s="98" t="s">
        <v>106</v>
      </c>
      <c r="L59" s="78">
        <v>44540005</v>
      </c>
      <c r="M59" s="78">
        <f>L59-190000</f>
        <v>44350005</v>
      </c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72</v>
      </c>
      <c r="L60" s="118">
        <v>0</v>
      </c>
      <c r="M60" s="118">
        <v>6500000</v>
      </c>
      <c r="N60" s="106"/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0"/>
      <c r="L61" s="118"/>
      <c r="M61" s="118"/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0</v>
      </c>
      <c r="I62" s="3"/>
      <c r="K62" s="100" t="s">
        <v>107</v>
      </c>
      <c r="L62" s="78">
        <v>10000000</v>
      </c>
      <c r="M62" s="78">
        <v>3000000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336000</v>
      </c>
      <c r="I63" s="3"/>
      <c r="K63" s="102" t="s">
        <v>108</v>
      </c>
      <c r="L63" s="118">
        <v>0</v>
      </c>
      <c r="M63" s="118">
        <v>0</v>
      </c>
      <c r="N63" s="106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300340</v>
      </c>
      <c r="I64" s="3"/>
      <c r="K64" s="98" t="s">
        <v>42</v>
      </c>
      <c r="L64" s="78">
        <f>SUM(L59:L63)</f>
        <v>54540005</v>
      </c>
      <c r="M64" s="78">
        <f>SUM(M59:M63)</f>
        <v>53850005</v>
      </c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indexed="8"/>
  </sheetPr>
  <dimension ref="A1:N258"/>
  <sheetViews>
    <sheetView topLeftCell="A2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G33-19000</f>
        <v>981000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260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  <c r="K37" s="355" t="s">
        <v>261</v>
      </c>
      <c r="L37" s="355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  <c r="K38" s="355"/>
      <c r="L38" s="355"/>
    </row>
    <row r="39" spans="1:12" ht="12.75" customHeight="1" x14ac:dyDescent="0.2">
      <c r="A39" s="47"/>
      <c r="B39" s="69"/>
      <c r="C39" s="3"/>
      <c r="D39" s="3"/>
      <c r="E39" s="3"/>
      <c r="F39" s="54"/>
      <c r="G39" s="42">
        <v>0</v>
      </c>
      <c r="H39" s="47" t="s">
        <v>47</v>
      </c>
      <c r="I39" s="38" t="s">
        <v>90</v>
      </c>
    </row>
    <row r="40" spans="1:12" ht="12.75" customHeight="1" x14ac:dyDescent="0.2">
      <c r="A40" s="47" t="s">
        <v>91</v>
      </c>
      <c r="B40" s="3"/>
      <c r="C40" s="3"/>
      <c r="D40" s="3"/>
      <c r="E40" s="42"/>
      <c r="F40" s="3"/>
      <c r="G40" s="42">
        <v>0</v>
      </c>
      <c r="H40" s="47" t="s">
        <v>307</v>
      </c>
      <c r="I40" s="3"/>
    </row>
    <row r="41" spans="1:12" ht="13.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49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200000</v>
      </c>
      <c r="J46" s="71" t="s">
        <v>63</v>
      </c>
      <c r="K46" s="72">
        <f>I46+G46</f>
        <v>200000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122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209"/>
      <c r="J49" s="209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487926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7">
        <v>0</v>
      </c>
      <c r="I58" s="3"/>
      <c r="K58" s="98" t="s">
        <v>106</v>
      </c>
      <c r="L58" s="78">
        <v>44350005</v>
      </c>
      <c r="M58" s="78">
        <f>L58-190000</f>
        <v>44160005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0</v>
      </c>
      <c r="I59" s="3"/>
      <c r="K59" s="100" t="s">
        <v>72</v>
      </c>
      <c r="L59" s="118">
        <v>6500000</v>
      </c>
      <c r="M59" s="118">
        <v>6000000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3000000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0</v>
      </c>
      <c r="I62" s="3"/>
      <c r="K62" s="98" t="s">
        <v>42</v>
      </c>
      <c r="L62" s="78">
        <f>SUM(L58:L61)</f>
        <v>53850005</v>
      </c>
      <c r="M62" s="78">
        <f>SUM(M58:M61)</f>
        <v>50160005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336000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151926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122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autoFilter ref="K57:N62" xr:uid="{00000000-0009-0000-0000-000020000000}"/>
  <mergeCells count="2">
    <mergeCell ref="K37:L38"/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indexed="8"/>
  </sheetPr>
  <dimension ref="A1:N258"/>
  <sheetViews>
    <sheetView topLeftCell="F2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262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  <c r="J40" s="1" t="s">
        <v>263</v>
      </c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122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209"/>
      <c r="J49" s="209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302850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6">
        <v>0</v>
      </c>
      <c r="I58" s="3"/>
      <c r="K58" s="98" t="s">
        <v>106</v>
      </c>
      <c r="L58" s="78">
        <v>44142436</v>
      </c>
      <c r="M58" s="78">
        <f>L58-190000</f>
        <v>43952436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0</v>
      </c>
      <c r="I59" s="3"/>
      <c r="K59" s="100" t="s">
        <v>72</v>
      </c>
      <c r="L59" s="118">
        <v>6000000</v>
      </c>
      <c r="M59" s="78">
        <v>4000000</v>
      </c>
      <c r="N59" s="104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100000</v>
      </c>
      <c r="I62" s="3"/>
      <c r="K62" s="98" t="s">
        <v>42</v>
      </c>
      <c r="L62" s="78">
        <f>SUM(L58:L61)</f>
        <v>50142436</v>
      </c>
      <c r="M62" s="78">
        <f>SUM(M58:M61)</f>
        <v>47952436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436000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-133150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1"/>
  </sheetPr>
  <dimension ref="A1:N258"/>
  <sheetViews>
    <sheetView topLeftCell="C28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G33-37000</f>
        <v>963000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122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209"/>
      <c r="J49" s="209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418438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7">
        <v>0</v>
      </c>
      <c r="I58" s="3"/>
      <c r="K58" s="98" t="s">
        <v>106</v>
      </c>
      <c r="L58" s="78">
        <v>43970005</v>
      </c>
      <c r="M58" s="78">
        <f>L58-190000</f>
        <v>43780005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0</v>
      </c>
      <c r="I59" s="3"/>
      <c r="K59" s="100" t="s">
        <v>72</v>
      </c>
      <c r="L59" s="78">
        <v>4000000</v>
      </c>
      <c r="M59" s="118">
        <v>3000000</v>
      </c>
      <c r="N59" s="104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0</v>
      </c>
      <c r="I62" s="3"/>
      <c r="K62" s="98" t="s">
        <v>42</v>
      </c>
      <c r="L62" s="78">
        <f>SUM(L58:L61)</f>
        <v>47970005</v>
      </c>
      <c r="M62" s="78">
        <f>SUM(M58:M61)</f>
        <v>46780005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336000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82438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1"/>
  </sheetPr>
  <dimension ref="A1:N258"/>
  <sheetViews>
    <sheetView topLeftCell="A38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267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G33-4500</f>
        <v>995500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374389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7">
        <v>0</v>
      </c>
      <c r="I58" s="3"/>
      <c r="K58" s="98" t="s">
        <v>106</v>
      </c>
      <c r="L58" s="78">
        <v>43780005</v>
      </c>
      <c r="M58" s="78">
        <f>L58-190000</f>
        <v>43590005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0</v>
      </c>
      <c r="I59" s="3"/>
      <c r="K59" s="100" t="s">
        <v>72</v>
      </c>
      <c r="L59" s="118">
        <v>3000000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  <c r="N60" s="104"/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0</v>
      </c>
      <c r="I62" s="3"/>
      <c r="K62" s="98" t="s">
        <v>42</v>
      </c>
      <c r="L62" s="78">
        <f>SUM(L58:L61)</f>
        <v>46780005</v>
      </c>
      <c r="M62" s="78">
        <f>SUM(M58:M61)</f>
        <v>43590005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336000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38389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1"/>
  </sheetPr>
  <dimension ref="A1:N258"/>
  <sheetViews>
    <sheetView topLeftCell="D31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G33-4500</f>
        <v>995500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1000000</v>
      </c>
      <c r="J46" s="71" t="s">
        <v>63</v>
      </c>
      <c r="K46" s="72">
        <f>I46+G46</f>
        <v>1000000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268</v>
      </c>
      <c r="I47" s="73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629046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7">
        <v>0</v>
      </c>
      <c r="I58" s="3"/>
      <c r="K58" s="98" t="s">
        <v>106</v>
      </c>
      <c r="L58" s="78">
        <v>43590005</v>
      </c>
      <c r="M58" s="78">
        <f>L58-190000</f>
        <v>43400005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156000</v>
      </c>
      <c r="I59" s="3"/>
      <c r="K59" s="100" t="s">
        <v>72</v>
      </c>
      <c r="L59" s="118">
        <v>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100000</v>
      </c>
      <c r="I62" s="3"/>
      <c r="K62" s="98" t="s">
        <v>42</v>
      </c>
      <c r="L62" s="78">
        <f>SUM(L58:L61)</f>
        <v>43590005</v>
      </c>
      <c r="M62" s="78">
        <f>SUM(M58:M61)</f>
        <v>43400005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592000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37046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1"/>
  </sheetPr>
  <dimension ref="A1:N258"/>
  <sheetViews>
    <sheetView topLeftCell="A29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/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/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208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4000000</v>
      </c>
      <c r="J46" s="71" t="s">
        <v>63</v>
      </c>
      <c r="K46" s="72">
        <f>I46+G46</f>
        <v>4000000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269</v>
      </c>
      <c r="I47" s="73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628435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6">
        <v>0</v>
      </c>
      <c r="I58" s="3"/>
      <c r="K58" s="98" t="s">
        <v>106</v>
      </c>
      <c r="L58" s="78">
        <v>43400005</v>
      </c>
      <c r="M58" s="78">
        <f>L58-190000</f>
        <v>43210005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156000</v>
      </c>
      <c r="I59" s="42">
        <f>H57-H59-H62</f>
        <v>372435</v>
      </c>
      <c r="K59" s="100" t="s">
        <v>72</v>
      </c>
      <c r="L59" s="118">
        <v>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100000</v>
      </c>
      <c r="I62" s="3"/>
      <c r="K62" s="98" t="s">
        <v>42</v>
      </c>
      <c r="L62" s="78">
        <f>SUM(L58:L61)</f>
        <v>43400005</v>
      </c>
      <c r="M62" s="78">
        <f>SUM(M58:M61)</f>
        <v>43210005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592000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36435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1"/>
  </sheetPr>
  <dimension ref="A1:N258"/>
  <sheetViews>
    <sheetView topLeftCell="C31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G33-8000</f>
        <v>992000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93</v>
      </c>
      <c r="C45" s="3"/>
      <c r="D45" s="3"/>
      <c r="E45" s="3"/>
      <c r="F45" s="3"/>
      <c r="G45" s="190">
        <f>D55</f>
        <v>720000</v>
      </c>
      <c r="H45" s="58" t="s">
        <v>58</v>
      </c>
      <c r="I45" s="42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800246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6">
        <v>0</v>
      </c>
      <c r="I58" s="3"/>
      <c r="K58" s="98" t="s">
        <v>106</v>
      </c>
      <c r="L58" s="78">
        <v>34370052</v>
      </c>
      <c r="M58" s="78">
        <v>34370052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156000</v>
      </c>
      <c r="I59" s="3"/>
      <c r="K59" s="100" t="s">
        <v>72</v>
      </c>
      <c r="L59" s="118">
        <v>5000000</v>
      </c>
      <c r="M59" s="118">
        <v>2500000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156000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100000</v>
      </c>
      <c r="I62" s="3"/>
      <c r="K62" s="98" t="s">
        <v>42</v>
      </c>
      <c r="L62" s="78">
        <f>SUM(L58:L61)</f>
        <v>39370052</v>
      </c>
      <c r="M62" s="78">
        <f>SUM(M58:M61)</f>
        <v>36870052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592000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208246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1"/>
  </sheetPr>
  <dimension ref="A1:N258"/>
  <sheetViews>
    <sheetView topLeftCell="J2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207" t="s">
        <v>253</v>
      </c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G33-10000</f>
        <v>990000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265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15">
      <c r="A41" s="47" t="s">
        <v>270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271</v>
      </c>
      <c r="C45" s="3"/>
      <c r="D45" s="3"/>
      <c r="E45" s="3"/>
      <c r="F45" s="3"/>
      <c r="G45" s="190">
        <f>D55</f>
        <v>720000</v>
      </c>
      <c r="H45" s="58" t="s">
        <v>58</v>
      </c>
      <c r="I45" s="42">
        <f>G43+G45</f>
        <v>720000</v>
      </c>
      <c r="J45" s="47" t="s">
        <v>59</v>
      </c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/>
      <c r="K47" s="73"/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467831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6">
        <v>0</v>
      </c>
      <c r="I58" s="3"/>
      <c r="K58" s="98" t="s">
        <v>106</v>
      </c>
      <c r="L58" s="78">
        <v>36370052</v>
      </c>
      <c r="M58" s="78">
        <v>34370052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0</v>
      </c>
      <c r="I59" s="3"/>
      <c r="K59" s="100" t="s">
        <v>72</v>
      </c>
      <c r="L59" s="118">
        <v>2500000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I60" s="3"/>
      <c r="K60" s="100" t="s">
        <v>107</v>
      </c>
      <c r="L60" s="78">
        <v>0</v>
      </c>
      <c r="M60" s="78">
        <v>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85000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0</v>
      </c>
      <c r="I62" s="3"/>
      <c r="K62" s="98" t="s">
        <v>42</v>
      </c>
      <c r="L62" s="78">
        <f>SUM(L58:L61)</f>
        <v>38870052</v>
      </c>
      <c r="M62" s="78">
        <f>SUM(M58:M61)</f>
        <v>34370052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265000</v>
      </c>
      <c r="I63" s="3"/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202831</v>
      </c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1"/>
  </sheetPr>
  <dimension ref="A1:N258"/>
  <sheetViews>
    <sheetView topLeftCell="K3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265000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G33-15500</f>
        <v>984500</v>
      </c>
      <c r="H32" s="3"/>
      <c r="I32" s="3"/>
    </row>
    <row r="33" spans="1:12" ht="14.25" customHeight="1" x14ac:dyDescent="0.2">
      <c r="A33" s="48" t="s">
        <v>276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275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15">
      <c r="A41" s="47" t="s">
        <v>270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212" t="s">
        <v>274</v>
      </c>
      <c r="J47" s="74" t="s">
        <v>67</v>
      </c>
      <c r="K47" s="73">
        <f>SUM(L48,L49)</f>
        <v>0</v>
      </c>
    </row>
    <row r="48" spans="1:12" ht="14.25" customHeight="1" x14ac:dyDescent="0.2">
      <c r="A48" s="47"/>
      <c r="B48" s="59"/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264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">
      <c r="A56" s="3"/>
      <c r="B56" s="3"/>
      <c r="C56" s="3"/>
      <c r="D56" s="84"/>
      <c r="E56" s="4"/>
      <c r="F56" s="3"/>
      <c r="G56" s="193"/>
      <c r="H56" s="194" t="s">
        <v>238</v>
      </c>
      <c r="I56" s="3"/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547747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>
        <v>180000</v>
      </c>
      <c r="G58" s="195" t="s">
        <v>257</v>
      </c>
      <c r="H58" s="196">
        <v>0</v>
      </c>
      <c r="I58" s="3"/>
      <c r="K58" s="98" t="s">
        <v>106</v>
      </c>
      <c r="L58" s="78">
        <v>34054156</v>
      </c>
      <c r="M58" s="78">
        <v>34005648</v>
      </c>
    </row>
    <row r="59" spans="1:14" ht="12.75" customHeight="1" x14ac:dyDescent="0.2">
      <c r="A59" s="3"/>
      <c r="B59" s="3"/>
      <c r="C59" s="3"/>
      <c r="D59" s="3"/>
      <c r="E59" s="4"/>
      <c r="F59" s="53">
        <v>156000</v>
      </c>
      <c r="G59" s="195" t="s">
        <v>240</v>
      </c>
      <c r="H59" s="197">
        <v>85000</v>
      </c>
      <c r="K59" s="100" t="s">
        <v>72</v>
      </c>
      <c r="L59" s="118">
        <v>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>
        <v>180000</v>
      </c>
      <c r="G60" s="195" t="s">
        <v>258</v>
      </c>
      <c r="H60" s="197">
        <v>180000</v>
      </c>
      <c r="K60" s="100" t="s">
        <v>107</v>
      </c>
      <c r="L60" s="78">
        <v>0</v>
      </c>
      <c r="M60" s="78">
        <v>14000000</v>
      </c>
    </row>
    <row r="61" spans="1:14" ht="12.75" customHeight="1" x14ac:dyDescent="0.2">
      <c r="A61" s="3"/>
      <c r="B61" s="3"/>
      <c r="C61" s="3"/>
      <c r="D61" s="3"/>
      <c r="E61" s="4"/>
      <c r="F61" s="53">
        <v>156000</v>
      </c>
      <c r="G61" s="195" t="s">
        <v>259</v>
      </c>
      <c r="H61" s="197">
        <v>85000</v>
      </c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>
        <v>400000</v>
      </c>
      <c r="G62" s="195" t="s">
        <v>317</v>
      </c>
      <c r="H62" s="197">
        <v>100000</v>
      </c>
      <c r="K62" s="98" t="s">
        <v>42</v>
      </c>
      <c r="L62" s="78">
        <f>SUM(L58:L61)</f>
        <v>34054156</v>
      </c>
      <c r="M62" s="78">
        <f>SUM(M58:M61)</f>
        <v>48005648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450000</v>
      </c>
    </row>
    <row r="64" spans="1:14" ht="12.75" customHeight="1" x14ac:dyDescent="0.2">
      <c r="A64" s="3"/>
      <c r="B64" s="3"/>
      <c r="C64" s="3"/>
      <c r="D64" s="3"/>
      <c r="E64" s="4"/>
      <c r="F64" s="3"/>
      <c r="G64" s="199" t="s">
        <v>244</v>
      </c>
      <c r="H64" s="210">
        <f>H57-H63</f>
        <v>97747</v>
      </c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1"/>
  </sheetPr>
  <dimension ref="A1:N258"/>
  <sheetViews>
    <sheetView topLeftCell="E18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273</v>
      </c>
      <c r="J34" s="211">
        <f>13*230000</f>
        <v>2990000</v>
      </c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/>
      <c r="B48" s="59"/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  <c r="M54" s="218">
        <v>13014012</v>
      </c>
    </row>
    <row r="55" spans="1:14" ht="12.75" customHeight="1" thickBot="1" x14ac:dyDescent="0.25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  <c r="M55" s="218">
        <v>20833338</v>
      </c>
    </row>
    <row r="56" spans="1:14" ht="15.75" customHeight="1" thickBot="1" x14ac:dyDescent="0.3">
      <c r="A56" s="3"/>
      <c r="B56" s="3"/>
      <c r="C56" s="83"/>
      <c r="D56" s="84"/>
      <c r="E56" s="4"/>
      <c r="F56" s="3"/>
      <c r="G56" s="193"/>
      <c r="H56" s="194" t="s">
        <v>238</v>
      </c>
      <c r="I56" s="3"/>
      <c r="M56" s="214">
        <f>SUM(M54:M55)</f>
        <v>33847350</v>
      </c>
    </row>
    <row r="57" spans="1:14" ht="12.75" customHeight="1" x14ac:dyDescent="0.2">
      <c r="A57" s="47"/>
      <c r="B57" s="3"/>
      <c r="C57" s="3"/>
      <c r="D57" s="84"/>
      <c r="E57" s="4"/>
      <c r="F57" s="3"/>
      <c r="G57" s="195" t="s">
        <v>239</v>
      </c>
      <c r="H57" s="197">
        <v>2070564</v>
      </c>
      <c r="I57" s="3"/>
      <c r="K57" s="95"/>
      <c r="L57" s="96" t="s">
        <v>105</v>
      </c>
      <c r="M57" s="96" t="s">
        <v>116</v>
      </c>
    </row>
    <row r="58" spans="1:14" ht="12.75" customHeight="1" x14ac:dyDescent="0.2">
      <c r="A58" s="3"/>
      <c r="B58" s="3"/>
      <c r="C58" s="3"/>
      <c r="D58" s="42"/>
      <c r="E58" s="4"/>
      <c r="F58" s="53"/>
      <c r="G58" s="195" t="s">
        <v>257</v>
      </c>
      <c r="H58" s="196">
        <v>0</v>
      </c>
      <c r="I58" s="3"/>
      <c r="K58" s="98" t="s">
        <v>106</v>
      </c>
      <c r="L58" s="78">
        <v>34005648</v>
      </c>
      <c r="M58" s="78">
        <v>33847350</v>
      </c>
    </row>
    <row r="59" spans="1:14" ht="12.75" customHeight="1" x14ac:dyDescent="0.2">
      <c r="A59" s="3"/>
      <c r="B59" s="3"/>
      <c r="C59" s="3"/>
      <c r="D59" s="3"/>
      <c r="E59" s="4"/>
      <c r="F59" s="53"/>
      <c r="G59" s="195" t="s">
        <v>240</v>
      </c>
      <c r="H59" s="197">
        <v>0</v>
      </c>
      <c r="I59" s="3"/>
      <c r="K59" s="100" t="s">
        <v>72</v>
      </c>
      <c r="L59" s="118">
        <v>0</v>
      </c>
      <c r="M59" s="118">
        <v>0</v>
      </c>
      <c r="N59" s="106"/>
    </row>
    <row r="60" spans="1:14" ht="12.75" customHeight="1" x14ac:dyDescent="0.2">
      <c r="A60" s="3"/>
      <c r="B60" s="3"/>
      <c r="C60" s="3"/>
      <c r="D60" s="3"/>
      <c r="E60" s="4"/>
      <c r="F60" s="53"/>
      <c r="G60" s="195" t="s">
        <v>258</v>
      </c>
      <c r="H60" s="197">
        <v>0</v>
      </c>
      <c r="I60" s="3"/>
      <c r="K60" s="100" t="s">
        <v>107</v>
      </c>
      <c r="L60" s="78">
        <v>0</v>
      </c>
      <c r="M60" s="78">
        <v>14000000</v>
      </c>
    </row>
    <row r="61" spans="1:14" ht="12.75" customHeight="1" x14ac:dyDescent="0.2">
      <c r="A61" s="3"/>
      <c r="B61" s="3"/>
      <c r="C61" s="3"/>
      <c r="D61" s="3"/>
      <c r="E61" s="4"/>
      <c r="F61" s="53"/>
      <c r="G61" s="195" t="s">
        <v>259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x14ac:dyDescent="0.2">
      <c r="A62" s="3"/>
      <c r="B62" s="3"/>
      <c r="C62" s="3"/>
      <c r="D62" s="3"/>
      <c r="E62" s="4"/>
      <c r="F62" s="53"/>
      <c r="G62" s="195" t="s">
        <v>317</v>
      </c>
      <c r="H62" s="197">
        <v>0</v>
      </c>
      <c r="I62" s="3"/>
      <c r="K62" s="98" t="s">
        <v>42</v>
      </c>
      <c r="L62" s="78">
        <f>SUM(L58:L61)</f>
        <v>34005648</v>
      </c>
      <c r="M62" s="78">
        <f>SUM(M58:M61)</f>
        <v>47847350</v>
      </c>
    </row>
    <row r="63" spans="1:14" ht="12.75" customHeight="1" x14ac:dyDescent="0.2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0</v>
      </c>
      <c r="I63" s="42">
        <f>SUM(H59:H62)</f>
        <v>0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9" t="s">
        <v>244</v>
      </c>
      <c r="H64" s="210">
        <f>H57-H63</f>
        <v>2070564</v>
      </c>
      <c r="I64" s="3"/>
    </row>
    <row r="65" spans="1:10" ht="12.75" customHeight="1" x14ac:dyDescent="0.2">
      <c r="A65" s="3"/>
      <c r="B65" s="3"/>
      <c r="C65" s="3"/>
      <c r="D65" s="3"/>
      <c r="E65" s="4"/>
      <c r="F65" s="3"/>
      <c r="G65" s="3"/>
      <c r="H65" s="217">
        <v>1970564</v>
      </c>
      <c r="I65" s="3"/>
    </row>
    <row r="66" spans="1:10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10" ht="12.75" customHeight="1" x14ac:dyDescent="0.15">
      <c r="A67" s="3"/>
      <c r="B67" s="3"/>
      <c r="C67" s="3"/>
      <c r="D67" s="3"/>
      <c r="E67" s="4"/>
      <c r="F67" s="3"/>
      <c r="G67" s="3"/>
      <c r="H67" s="3"/>
      <c r="I67" s="216">
        <v>2254218</v>
      </c>
      <c r="J67" s="215">
        <f>I67-H59-H62</f>
        <v>2254218</v>
      </c>
    </row>
    <row r="68" spans="1:10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10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0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10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10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10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10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10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10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10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10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10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10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>
      <c r="A191" s="3"/>
      <c r="B191" s="3"/>
      <c r="C191" s="3"/>
      <c r="D191" s="3"/>
      <c r="E191" s="4"/>
      <c r="F191" s="3"/>
      <c r="G191" s="3"/>
      <c r="H191" s="3"/>
      <c r="I191" s="3"/>
    </row>
    <row r="192" spans="1:9" ht="12.75" customHeight="1" x14ac:dyDescent="0.15">
      <c r="A192" s="3"/>
      <c r="B192" s="3"/>
      <c r="C192" s="3"/>
      <c r="D192" s="3"/>
      <c r="E192" s="4"/>
      <c r="F192" s="3"/>
      <c r="G192" s="3"/>
      <c r="H192" s="3"/>
      <c r="I192" s="3"/>
    </row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1" tint="0.499984740745262"/>
  </sheetPr>
  <dimension ref="A1:N258"/>
  <sheetViews>
    <sheetView topLeftCell="A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267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G33-4500</f>
        <v>995500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272</v>
      </c>
      <c r="J34" s="62">
        <f>18*190000</f>
        <v>3420000</v>
      </c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278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thickBot="1" x14ac:dyDescent="0.25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193"/>
      <c r="H56" s="194" t="s">
        <v>238</v>
      </c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5" t="s">
        <v>239</v>
      </c>
      <c r="H57" s="197">
        <v>2070564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257</v>
      </c>
      <c r="H58" s="196">
        <v>180000</v>
      </c>
      <c r="I58" s="3"/>
      <c r="K58" s="98" t="s">
        <v>106</v>
      </c>
      <c r="L58" s="78">
        <v>33847350</v>
      </c>
      <c r="M58" s="78">
        <f>L58-130000</f>
        <v>33717350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240</v>
      </c>
      <c r="H59" s="197">
        <v>85000</v>
      </c>
      <c r="I59" s="3"/>
      <c r="K59" s="100" t="s">
        <v>72</v>
      </c>
      <c r="L59" s="118">
        <v>6000000</v>
      </c>
      <c r="M59" s="118">
        <v>6000000</v>
      </c>
      <c r="N59" s="186" t="s">
        <v>277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258</v>
      </c>
      <c r="H60" s="197">
        <v>180000</v>
      </c>
      <c r="I60" s="3"/>
      <c r="K60" s="100" t="s">
        <v>107</v>
      </c>
      <c r="L60" s="78">
        <f>14000000</f>
        <v>14000000</v>
      </c>
      <c r="M60" s="78">
        <f>14000000-1200000</f>
        <v>12800000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259</v>
      </c>
      <c r="H61" s="197">
        <v>85000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317</v>
      </c>
      <c r="H62" s="197">
        <v>1510000</v>
      </c>
      <c r="I62" s="3"/>
      <c r="K62" s="98" t="s">
        <v>42</v>
      </c>
      <c r="L62" s="78">
        <f>SUM(L58:L61)</f>
        <v>53847350</v>
      </c>
      <c r="M62" s="78">
        <f>SUM(M58:M61)</f>
        <v>52517350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8" t="s">
        <v>317</v>
      </c>
      <c r="H63" s="197">
        <f>SUM(H58:H62)</f>
        <v>2040000</v>
      </c>
      <c r="I63" s="42">
        <f>SUM(H60:H62)</f>
        <v>1775000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9" t="s">
        <v>244</v>
      </c>
      <c r="H64" s="210">
        <f>H57-H63</f>
        <v>30564</v>
      </c>
      <c r="I64" s="3">
        <v>560000</v>
      </c>
    </row>
    <row r="65" spans="1:11" ht="12.75" customHeight="1" x14ac:dyDescent="0.15">
      <c r="A65" s="3"/>
      <c r="B65" s="3"/>
      <c r="C65" s="3"/>
      <c r="D65" s="3"/>
      <c r="E65" s="4"/>
      <c r="F65" s="3"/>
      <c r="G65" s="3"/>
      <c r="H65" s="3"/>
      <c r="I65" s="42">
        <f>SUM(I63:I64)</f>
        <v>2335000</v>
      </c>
      <c r="J65" s="214">
        <v>634218</v>
      </c>
      <c r="K65" s="215">
        <f>I65-J65</f>
        <v>1700782</v>
      </c>
    </row>
    <row r="66" spans="1:11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11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11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11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11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11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11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11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11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11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11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11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11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11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11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0" tint="-0.249977111117893"/>
  </sheetPr>
  <dimension ref="A1:N258"/>
  <sheetViews>
    <sheetView topLeftCell="K2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267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G33-20000</f>
        <v>980000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>
        <v>647890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x14ac:dyDescent="0.25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3"/>
      <c r="H57" s="3"/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3"/>
      <c r="H58" s="194" t="s">
        <v>238</v>
      </c>
      <c r="I58" s="3"/>
      <c r="K58" s="98" t="s">
        <v>106</v>
      </c>
      <c r="L58" s="78">
        <v>33745648</v>
      </c>
      <c r="M58" s="78">
        <f>L58-130000</f>
        <v>33615648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239</v>
      </c>
      <c r="H59" s="197">
        <v>1766173</v>
      </c>
      <c r="I59" s="42">
        <f>H59-H60</f>
        <v>1766173</v>
      </c>
      <c r="K59" s="100" t="s">
        <v>72</v>
      </c>
      <c r="L59" s="118">
        <v>6000000</v>
      </c>
      <c r="M59" s="118">
        <v>6000000</v>
      </c>
      <c r="N59" s="213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257</v>
      </c>
      <c r="H60" s="196">
        <v>0</v>
      </c>
      <c r="I60" s="3"/>
      <c r="K60" s="100" t="s">
        <v>107</v>
      </c>
      <c r="L60" s="78">
        <v>11671335</v>
      </c>
      <c r="M60" s="78">
        <f>L60-1200000</f>
        <v>10471335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240</v>
      </c>
      <c r="H61" s="197">
        <v>85000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258</v>
      </c>
      <c r="H62" s="197">
        <v>180000</v>
      </c>
      <c r="I62" s="3"/>
      <c r="K62" s="98" t="s">
        <v>42</v>
      </c>
      <c r="L62" s="78">
        <f>SUM(L58:L61)</f>
        <v>51416983</v>
      </c>
      <c r="M62" s="78">
        <f>SUM(M58:M61)</f>
        <v>50086983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85000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5" t="s">
        <v>317</v>
      </c>
      <c r="H64" s="197">
        <v>1410000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8" t="s">
        <v>243</v>
      </c>
      <c r="H65" s="197">
        <f>SUM(H60:H64)</f>
        <v>1760000</v>
      </c>
      <c r="I65" s="3"/>
    </row>
    <row r="66" spans="1:9" ht="12.75" customHeight="1" thickBot="1" x14ac:dyDescent="0.25">
      <c r="A66" s="3"/>
      <c r="B66" s="3"/>
      <c r="C66" s="3"/>
      <c r="D66" s="3"/>
      <c r="E66" s="4"/>
      <c r="F66" s="3"/>
      <c r="G66" s="199" t="s">
        <v>244</v>
      </c>
      <c r="H66" s="210">
        <f>H59-H65</f>
        <v>6173</v>
      </c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0" tint="-0.249977111117893"/>
  </sheetPr>
  <dimension ref="A1:N258"/>
  <sheetViews>
    <sheetView topLeftCell="K27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600000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58" t="s">
        <v>279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280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347950</v>
      </c>
      <c r="I58" s="3"/>
      <c r="K58" s="98" t="s">
        <v>106</v>
      </c>
      <c r="L58" s="78">
        <v>33615648</v>
      </c>
      <c r="M58" s="78">
        <f>L58-130000</f>
        <v>33485648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6000000</v>
      </c>
      <c r="M59" s="118">
        <v>6000000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78">
        <v>10641755</v>
      </c>
      <c r="M60" s="78">
        <f>L60-1000000-600000</f>
        <v>9041755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50257403</v>
      </c>
      <c r="M62" s="78">
        <f>SUM(M58:M61)</f>
        <v>48527403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82950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0"/>
  </sheetPr>
  <dimension ref="A1:N258"/>
  <sheetViews>
    <sheetView topLeftCell="K3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285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267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230000</v>
      </c>
      <c r="D16" s="34"/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G33-47000</f>
        <v>953000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281</v>
      </c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800000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f>0</f>
        <v>0</v>
      </c>
      <c r="H47" s="61" t="s">
        <v>284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800000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200000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f>0</f>
        <v>0</v>
      </c>
      <c r="E51" s="7" t="s">
        <v>78</v>
      </c>
      <c r="F51" s="47" t="s">
        <v>283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80000</f>
        <v>80000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800000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425919</v>
      </c>
      <c r="I58" s="3"/>
      <c r="K58" s="98" t="s">
        <v>106</v>
      </c>
      <c r="L58" s="78">
        <v>33485648</v>
      </c>
      <c r="M58" s="78">
        <f>L58-130000</f>
        <v>33355648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6000000</v>
      </c>
      <c r="M59" s="118">
        <v>6000000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78">
        <v>9041755</v>
      </c>
      <c r="M60" s="78">
        <v>7546253</v>
      </c>
      <c r="N60" s="1" t="s">
        <v>282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48527403</v>
      </c>
      <c r="M62" s="78">
        <f>SUM(M58:M61)</f>
        <v>46901901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160919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2"/>
  </sheetPr>
  <dimension ref="A1:N258"/>
  <sheetViews>
    <sheetView topLeftCell="K34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f>0</f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/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100000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G33-11000</f>
        <v>989000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770000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f>2100000-2100000</f>
        <v>0</v>
      </c>
      <c r="H46" s="61" t="s">
        <v>287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770000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230000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286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50000</f>
        <v>50000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770000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544297</v>
      </c>
      <c r="I58" s="3"/>
      <c r="K58" s="98" t="s">
        <v>106</v>
      </c>
      <c r="L58" s="78">
        <v>33355648</v>
      </c>
      <c r="M58" s="78">
        <f>L58-130000</f>
        <v>33225648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6000000</v>
      </c>
      <c r="M59" s="118">
        <v>6000000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78">
        <v>6746253</v>
      </c>
      <c r="M60" s="78">
        <f>5920521</f>
        <v>5920521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46101901</v>
      </c>
      <c r="M62" s="78">
        <f>SUM(M58:M61)</f>
        <v>45146169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279297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0" tint="-0.249977111117893"/>
  </sheetPr>
  <dimension ref="A1:N258"/>
  <sheetViews>
    <sheetView topLeftCell="K34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100000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>
        <v>1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/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G46+I46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758590</v>
      </c>
      <c r="I58" s="3"/>
      <c r="K58" s="98" t="s">
        <v>106</v>
      </c>
      <c r="L58" s="78">
        <v>33225648</v>
      </c>
      <c r="M58" s="78">
        <f>L58-130000</f>
        <v>33095648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6000000</v>
      </c>
      <c r="M59" s="118">
        <v>6000000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/>
      <c r="I60" s="3"/>
      <c r="K60" s="100" t="s">
        <v>107</v>
      </c>
      <c r="L60" s="78">
        <v>5920521</v>
      </c>
      <c r="M60" s="78">
        <f>L60-700000-600000-500000</f>
        <v>4120521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45146169</v>
      </c>
      <c r="M62" s="78">
        <f>SUM(M58:M61)</f>
        <v>43216169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493590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0" tint="-0.249977111117893"/>
  </sheetPr>
  <dimension ref="A1:N258"/>
  <sheetViews>
    <sheetView topLeftCell="I2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f>0</f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100000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>
        <f>G33-9000</f>
        <v>991000</v>
      </c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633773</v>
      </c>
      <c r="I58" s="3"/>
      <c r="K58" s="98" t="s">
        <v>106</v>
      </c>
      <c r="L58" s="78">
        <v>33095648</v>
      </c>
      <c r="M58" s="78">
        <f>L58-130000</f>
        <v>32965648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6000000</v>
      </c>
      <c r="M59" s="118">
        <v>8000000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78">
        <v>4120521</v>
      </c>
      <c r="M60" s="78">
        <f>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43216169</v>
      </c>
      <c r="M62" s="78">
        <f>SUM(M58:M61)</f>
        <v>40965648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200000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550000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83773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0" tint="-0.249977111117893"/>
  </sheetPr>
  <dimension ref="A1:N258"/>
  <sheetViews>
    <sheetView topLeftCell="K28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186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47" t="s">
        <v>91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3"/>
      <c r="B42" s="3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720000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720000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280000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220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>
        <v>71000</v>
      </c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24</v>
      </c>
      <c r="D53" s="78">
        <f>C53*30000</f>
        <v>720000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720000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515840</v>
      </c>
      <c r="I58" s="3"/>
      <c r="K58" s="98" t="s">
        <v>106</v>
      </c>
      <c r="L58" s="78">
        <v>32736793</v>
      </c>
      <c r="M58" s="78">
        <f>L58-130000</f>
        <v>32606793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42">
        <f>H58-H60</f>
        <v>430840</v>
      </c>
      <c r="K60" s="100" t="s">
        <v>107</v>
      </c>
      <c r="L60" s="34">
        <v>14000000</v>
      </c>
      <c r="M60" s="34">
        <v>14000000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46736793</v>
      </c>
      <c r="M62" s="78">
        <f>SUM(M58:M61)</f>
        <v>46606793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100000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450000</v>
      </c>
      <c r="I64" s="42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65840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>
        <v>4</v>
      </c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 t="s">
        <v>288</v>
      </c>
      <c r="B71" s="3">
        <v>470132</v>
      </c>
      <c r="C71" s="3"/>
      <c r="D71" s="3"/>
      <c r="E71" s="42"/>
      <c r="F71" s="3"/>
      <c r="G71" s="3"/>
      <c r="H71" s="3"/>
      <c r="I71" s="3"/>
    </row>
    <row r="72" spans="1:9" ht="12.75" customHeight="1" x14ac:dyDescent="0.15">
      <c r="A72" s="3" t="s">
        <v>289</v>
      </c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 t="s">
        <v>290</v>
      </c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 t="s">
        <v>291</v>
      </c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 t="s">
        <v>292</v>
      </c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 t="s">
        <v>293</v>
      </c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 t="s">
        <v>294</v>
      </c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 t="s">
        <v>295</v>
      </c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 t="s">
        <v>296</v>
      </c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 t="s">
        <v>297</v>
      </c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 t="s">
        <v>298</v>
      </c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 t="s">
        <v>299</v>
      </c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 t="s">
        <v>300</v>
      </c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 t="s">
        <v>301</v>
      </c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 t="s">
        <v>302</v>
      </c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258"/>
  <sheetViews>
    <sheetView topLeftCell="L3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20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1598429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1607429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19" t="s">
        <v>306</v>
      </c>
      <c r="J34" s="62"/>
    </row>
    <row r="35" spans="1:12" ht="14.25" customHeight="1" thickTop="1" thickBot="1" x14ac:dyDescent="0.25">
      <c r="A35" s="48" t="s">
        <v>40</v>
      </c>
      <c r="B35" s="49">
        <v>240000</v>
      </c>
      <c r="C35" s="3"/>
      <c r="D35" s="3"/>
      <c r="E35" s="3"/>
      <c r="F35" s="63" t="s">
        <v>41</v>
      </c>
      <c r="G35" s="64">
        <f>G33+G34</f>
        <v>1607429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1440000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224">
        <v>0</v>
      </c>
      <c r="H41" s="3" t="s">
        <v>308</v>
      </c>
      <c r="I41" s="3"/>
      <c r="J41" s="1">
        <f>67000+45000</f>
        <v>112000</v>
      </c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3" t="s">
        <v>310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1607429</v>
      </c>
      <c r="H49" s="61" t="s">
        <v>73</v>
      </c>
      <c r="I49" s="228">
        <f>G49-1500000</f>
        <v>107429</v>
      </c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221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221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  <c r="L54" s="1">
        <v>14072723</v>
      </c>
      <c r="M54" s="1">
        <f>L54-9000000</f>
        <v>5072723</v>
      </c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225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434473</v>
      </c>
      <c r="I58" s="217"/>
      <c r="K58" s="98" t="s">
        <v>106</v>
      </c>
      <c r="L58" s="226">
        <v>32576792</v>
      </c>
      <c r="M58" s="78">
        <f>L58-130000</f>
        <v>32446792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227">
        <v>0</v>
      </c>
      <c r="M59" s="118">
        <v>8000000</v>
      </c>
      <c r="N59" s="73">
        <f>L60-M59</f>
        <v>6000000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226">
        <v>14000000</v>
      </c>
      <c r="M60" s="34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227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226">
        <f>SUM(L58:L61)</f>
        <v>46576792</v>
      </c>
      <c r="M62" s="78">
        <f>SUM(M58:M61)</f>
        <v>40446792</v>
      </c>
    </row>
    <row r="63" spans="1:14" ht="12.75" customHeight="1" thickBot="1" x14ac:dyDescent="0.25">
      <c r="A63" s="3"/>
      <c r="B63" s="3"/>
      <c r="C63" s="3" t="s">
        <v>303</v>
      </c>
      <c r="D63" s="3"/>
      <c r="E63" s="4"/>
      <c r="F63" s="53">
        <f>570000</f>
        <v>570000</v>
      </c>
      <c r="G63" s="195" t="s">
        <v>317</v>
      </c>
      <c r="H63" s="197">
        <v>58638</v>
      </c>
      <c r="I63" s="3">
        <v>58638</v>
      </c>
    </row>
    <row r="64" spans="1:14" ht="12.75" customHeight="1" thickBot="1" x14ac:dyDescent="0.25">
      <c r="A64" s="3"/>
      <c r="B64" s="3"/>
      <c r="C64" s="3"/>
      <c r="D64" s="3"/>
      <c r="E64" s="113" t="s">
        <v>305</v>
      </c>
      <c r="F64" s="53">
        <f>265000</f>
        <v>265000</v>
      </c>
      <c r="G64" s="198" t="s">
        <v>243</v>
      </c>
      <c r="H64" s="197">
        <f>SUM(H59:H63)</f>
        <v>408638</v>
      </c>
      <c r="I64" s="3"/>
    </row>
    <row r="65" spans="1:9" ht="12.75" customHeight="1" thickBot="1" x14ac:dyDescent="0.25">
      <c r="A65" s="3"/>
      <c r="B65" s="3"/>
      <c r="C65" s="216"/>
      <c r="E65" s="4" t="s">
        <v>304</v>
      </c>
      <c r="F65" s="53">
        <f>SUM(F63:F64)</f>
        <v>835000</v>
      </c>
      <c r="G65" s="199" t="s">
        <v>244</v>
      </c>
      <c r="H65" s="210">
        <f>H58-H64</f>
        <v>25835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0" tint="-4.9989318521683403E-2"/>
  </sheetPr>
  <dimension ref="A1:N258"/>
  <sheetViews>
    <sheetView topLeftCell="K3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230000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1334099</v>
      </c>
      <c r="I32" s="3"/>
    </row>
    <row r="33" spans="1:12" ht="14.25" customHeight="1" thickTop="1" thickBot="1" x14ac:dyDescent="0.25">
      <c r="A33" s="48"/>
      <c r="B33" s="49">
        <v>100000</v>
      </c>
      <c r="C33" s="3"/>
      <c r="D33" s="3"/>
      <c r="E33" s="55"/>
      <c r="F33" s="56"/>
      <c r="G33" s="57">
        <v>1343099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309</v>
      </c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1343099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312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224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3" t="s">
        <v>311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80000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1263099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550366</v>
      </c>
      <c r="I58" s="3"/>
      <c r="K58" s="98" t="s">
        <v>106</v>
      </c>
      <c r="L58" s="78">
        <v>32416651</v>
      </c>
      <c r="M58" s="78">
        <f>L58-130000</f>
        <v>32286651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8000000</v>
      </c>
      <c r="M59" s="118">
        <f>L59-1000000</f>
        <v>7000000</v>
      </c>
      <c r="N59" s="222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34">
        <v>0</v>
      </c>
      <c r="M60" s="34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40416651</v>
      </c>
      <c r="M62" s="78">
        <f>SUM(M58:M61)</f>
        <v>39286651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20366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0" tint="-0.249977111117893"/>
  </sheetPr>
  <dimension ref="A1:N258"/>
  <sheetViews>
    <sheetView topLeftCell="K26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G33-4950</f>
        <v>1279515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1284465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1284465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f>0</f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224">
        <f>0</f>
        <v>0</v>
      </c>
      <c r="H42" s="3" t="s">
        <v>314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22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1284465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549963</v>
      </c>
      <c r="I58" s="3"/>
      <c r="K58" s="98" t="s">
        <v>106</v>
      </c>
      <c r="L58" s="78">
        <v>32286651</v>
      </c>
      <c r="M58" s="78">
        <f>L58-130000</f>
        <v>32156651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7000000</v>
      </c>
      <c r="M59" s="118">
        <f>L59-1500000-500000</f>
        <v>5000000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78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f>L61</f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39286651</v>
      </c>
      <c r="M62" s="78">
        <f>SUM(M58:M61)</f>
        <v>37156651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19963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0" tint="-9.9978637043366805E-2"/>
  </sheetPr>
  <dimension ref="A1:N258"/>
  <sheetViews>
    <sheetView topLeftCell="K26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G33-4950-9000</f>
        <v>1538410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1552360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1552360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1522360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145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331603</v>
      </c>
      <c r="I58" s="3"/>
      <c r="K58" s="98" t="s">
        <v>106</v>
      </c>
      <c r="L58" s="78">
        <v>32156651</v>
      </c>
      <c r="M58" s="78">
        <f>L58-130000</f>
        <v>32026651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221">
        <v>5000000</v>
      </c>
      <c r="M59" s="118">
        <f>L59-1500000</f>
        <v>3500000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78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150000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37156651</v>
      </c>
      <c r="M62" s="78">
        <f>SUM(M58:M61)</f>
        <v>35526651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320000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11603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0" tint="-0.249977111117893"/>
  </sheetPr>
  <dimension ref="A1:N258"/>
  <sheetViews>
    <sheetView topLeftCell="K34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460000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G33-20900</f>
        <v>2038146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2059046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2059046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2059046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598369</v>
      </c>
      <c r="I58" s="3"/>
      <c r="K58" s="98" t="s">
        <v>106</v>
      </c>
      <c r="L58" s="78">
        <v>32026651</v>
      </c>
      <c r="M58" s="78">
        <f>L58-130000</f>
        <v>31896651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3500000</v>
      </c>
      <c r="M59" s="118">
        <f>L59-2500000</f>
        <v>1000000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78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35526651</v>
      </c>
      <c r="M62" s="78">
        <f>SUM(M58:M61)</f>
        <v>32896651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 t="s">
        <v>315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68369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0" tint="-0.249977111117893"/>
  </sheetPr>
  <dimension ref="A1:N258"/>
  <sheetViews>
    <sheetView topLeftCell="L37" zoomScale="115" zoomScaleNormal="11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G33-15000</f>
        <v>2605724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2620724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/>
      <c r="G35" s="64">
        <f>G33+G34</f>
        <v>2620724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80000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/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80000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2540724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715550</v>
      </c>
      <c r="I58" s="3"/>
      <c r="K58" s="98" t="s">
        <v>106</v>
      </c>
      <c r="L58" s="78">
        <v>31896651</v>
      </c>
      <c r="M58" s="78">
        <f>L58-130000</f>
        <v>31766651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1000000</v>
      </c>
      <c r="M59" s="118">
        <f>L59+4000000</f>
        <v>5000000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78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32896651</v>
      </c>
      <c r="M62" s="78">
        <f>SUM(M58:M61)</f>
        <v>36766651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229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5550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0" tint="-0.249977111117893"/>
  </sheetPr>
  <dimension ref="A1:N258"/>
  <sheetViews>
    <sheetView topLeftCell="K29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9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600000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G33-20000</f>
        <v>8885552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8905552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8905552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8905552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  <c r="L54" s="90"/>
      <c r="M54" s="90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  <c r="L55" s="104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415081</v>
      </c>
      <c r="I58" s="3"/>
      <c r="K58" s="98" t="s">
        <v>106</v>
      </c>
      <c r="L58" s="78">
        <v>31766651</v>
      </c>
      <c r="M58" s="78">
        <f>L58-130000</f>
        <v>31636651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5000000</v>
      </c>
      <c r="M59" s="118">
        <f>L59</f>
        <v>5000000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42">
        <f>H58-H60-H63</f>
        <v>415081</v>
      </c>
      <c r="K60" s="100" t="s">
        <v>107</v>
      </c>
      <c r="L60" s="78">
        <v>0</v>
      </c>
      <c r="M60" s="78">
        <f>L60+10000000</f>
        <v>10000000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36766651</v>
      </c>
      <c r="M62" s="78">
        <f>SUM(M58:M61)</f>
        <v>46636651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 t="s">
        <v>316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150081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0" tint="-0.249977111117893"/>
  </sheetPr>
  <dimension ref="A1:N258"/>
  <sheetViews>
    <sheetView topLeftCell="K27" zoomScale="115" zoomScaleNormal="11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230000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x14ac:dyDescent="0.3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x14ac:dyDescent="0.2">
      <c r="A30" s="48" t="s">
        <v>30</v>
      </c>
      <c r="B30" s="49">
        <v>900000</v>
      </c>
      <c r="C30" s="3"/>
      <c r="D30" s="3"/>
      <c r="E30" s="50"/>
      <c r="F30" s="3"/>
      <c r="G30" s="3"/>
      <c r="H30" s="51"/>
      <c r="I30" s="3"/>
    </row>
    <row r="31" spans="1:14" ht="12.75" customHeight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G33-9000-10000</f>
        <v>593139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612139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612139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3">
      <c r="A42" s="216" t="s">
        <v>320</v>
      </c>
      <c r="B42" s="216" t="s">
        <v>321</v>
      </c>
      <c r="C42" s="231" t="s">
        <v>322</v>
      </c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612139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402061</v>
      </c>
      <c r="I58" s="3"/>
      <c r="K58" s="98" t="s">
        <v>106</v>
      </c>
      <c r="L58" s="78">
        <v>31636651</v>
      </c>
      <c r="M58" s="78">
        <f>L58-130000</f>
        <v>31506651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5000000</v>
      </c>
      <c r="M59" s="118">
        <f>L59+4800000</f>
        <v>9800000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8">
        <v>3000000</v>
      </c>
      <c r="M60" s="118">
        <f>L60-3000000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42">
        <f>H61+H62</f>
        <v>265000</v>
      </c>
      <c r="K62" s="98" t="s">
        <v>42</v>
      </c>
      <c r="L62" s="78">
        <f>SUM(L58:L61)</f>
        <v>39636651</v>
      </c>
      <c r="M62" s="78">
        <f>SUM(M58:M61)</f>
        <v>41306651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230" t="s">
        <v>319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137061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2"/>
  </sheetPr>
  <dimension ref="A1:N258"/>
  <sheetViews>
    <sheetView topLeftCell="K27" zoomScale="115" zoomScaleNormal="11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40376651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G33-15000</f>
        <v>915698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930698</v>
      </c>
      <c r="H33" s="58" t="s">
        <v>35</v>
      </c>
      <c r="I33" s="203"/>
      <c r="K33" s="203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>
        <f>26*6</f>
        <v>156</v>
      </c>
      <c r="K34" s="1" t="s">
        <v>324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930698</v>
      </c>
      <c r="H35" s="65" t="s">
        <v>42</v>
      </c>
      <c r="I35" s="3"/>
      <c r="J35" s="234">
        <f>26*10</f>
        <v>260</v>
      </c>
      <c r="K35" s="1" t="s">
        <v>325</v>
      </c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  <c r="J36" s="235">
        <f>SUM(J34:J35)</f>
        <v>416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235000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255000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675698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f>0</f>
        <v>0</v>
      </c>
      <c r="E51" s="7" t="s">
        <v>78</v>
      </c>
      <c r="F51" s="78">
        <f>200000+100000</f>
        <v>300000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78">
        <v>300000</v>
      </c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C53*20000</f>
        <v>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558008</v>
      </c>
      <c r="I58" s="3"/>
      <c r="K58" s="98" t="s">
        <v>106</v>
      </c>
      <c r="L58" s="78">
        <v>31506651</v>
      </c>
      <c r="M58" s="78">
        <f>L58-130000</f>
        <v>31376651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9800000</v>
      </c>
      <c r="M59" s="118">
        <f>L59-800000</f>
        <v>9000000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41306651</v>
      </c>
      <c r="M62" s="78">
        <f>SUM(M58:M61)</f>
        <v>40376651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</f>
        <v>180000</v>
      </c>
      <c r="I63" s="230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28008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0" tint="-0.34998626667073579"/>
  </sheetPr>
  <dimension ref="A1:N258"/>
  <sheetViews>
    <sheetView topLeftCell="L32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45246651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3368757</v>
      </c>
      <c r="I32" s="3"/>
    </row>
    <row r="33" spans="1:13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3377757</v>
      </c>
      <c r="H33" s="58" t="s">
        <v>35</v>
      </c>
      <c r="I33" s="59"/>
    </row>
    <row r="34" spans="1:13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238">
        <v>1000000</v>
      </c>
      <c r="H34" s="61" t="s">
        <v>38</v>
      </c>
      <c r="I34" s="219" t="s">
        <v>332</v>
      </c>
      <c r="J34" s="62"/>
      <c r="M34" s="203" t="s">
        <v>331</v>
      </c>
    </row>
    <row r="35" spans="1:13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4377757</v>
      </c>
      <c r="H35" s="65" t="s">
        <v>42</v>
      </c>
      <c r="I35" s="3"/>
    </row>
    <row r="36" spans="1:13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3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3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3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3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3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3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3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3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3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3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3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327</v>
      </c>
      <c r="I47" s="212"/>
      <c r="J47" s="74" t="s">
        <v>67</v>
      </c>
      <c r="K47" s="73">
        <f>SUM(L48,L49)</f>
        <v>0</v>
      </c>
    </row>
    <row r="48" spans="1:13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4347757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3" t="s">
        <v>330</v>
      </c>
      <c r="G51" s="3"/>
      <c r="H51" s="3"/>
      <c r="I51" s="3"/>
      <c r="K51" s="47" t="s">
        <v>329</v>
      </c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 t="s">
        <v>326</v>
      </c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5">
      <c r="A54" s="3"/>
      <c r="B54" s="3"/>
      <c r="C54" s="81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788043</v>
      </c>
      <c r="I58" s="3"/>
      <c r="K58" s="98" t="s">
        <v>106</v>
      </c>
      <c r="L58" s="78">
        <v>31376651</v>
      </c>
      <c r="M58" s="78">
        <f>L58-130000</f>
        <v>31246651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9000000</v>
      </c>
      <c r="M59" s="118">
        <f>L59- 9000000</f>
        <v>0</v>
      </c>
      <c r="N59" s="18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20000000</v>
      </c>
      <c r="M60" s="78">
        <f>L60-6000000</f>
        <v>14000000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60376651</v>
      </c>
      <c r="M62" s="78">
        <f>SUM(M58:M61)</f>
        <v>45246651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180000+100000</f>
        <v>280000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630000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158043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 tint="-0.249977111117893"/>
  </sheetPr>
  <dimension ref="A1:N258"/>
  <sheetViews>
    <sheetView topLeftCell="K2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45116651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307062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316062</v>
      </c>
      <c r="H33" s="58" t="s">
        <v>35</v>
      </c>
      <c r="I33" s="59"/>
    </row>
    <row r="34" spans="1:12" ht="14.25" customHeight="1" thickTop="1" thickBot="1" x14ac:dyDescent="0.3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334</v>
      </c>
      <c r="J34" s="243" t="s">
        <v>341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316062</v>
      </c>
      <c r="H35" s="65" t="s">
        <v>42</v>
      </c>
      <c r="I35" s="3"/>
      <c r="J35" s="240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343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58" t="s">
        <v>336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316062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f>0</f>
        <v>0</v>
      </c>
      <c r="E51" s="7" t="s">
        <v>78</v>
      </c>
      <c r="F51" s="3" t="s">
        <v>342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3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  <c r="L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242">
        <v>340582</v>
      </c>
      <c r="I58" s="3"/>
      <c r="K58" s="98" t="s">
        <v>106</v>
      </c>
      <c r="L58" s="78">
        <v>31246651</v>
      </c>
      <c r="M58" s="78">
        <f>L58-130000</f>
        <v>31116651</v>
      </c>
    </row>
    <row r="59" spans="1:14" ht="12.75" customHeight="1" thickBot="1" x14ac:dyDescent="0.25">
      <c r="A59" s="3"/>
      <c r="B59" s="3"/>
      <c r="C59" s="3"/>
      <c r="D59" s="3"/>
      <c r="E59" s="4"/>
      <c r="F59" s="3">
        <v>180000</v>
      </c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86"/>
    </row>
    <row r="60" spans="1:14" ht="12.75" customHeight="1" thickBot="1" x14ac:dyDescent="0.25">
      <c r="A60" s="3"/>
      <c r="B60" s="3"/>
      <c r="C60" s="3"/>
      <c r="D60" s="3"/>
      <c r="E60" s="4"/>
      <c r="F60" s="3">
        <v>85000</v>
      </c>
      <c r="G60" s="195" t="s">
        <v>240</v>
      </c>
      <c r="H60" s="197">
        <v>0</v>
      </c>
      <c r="I60" s="3"/>
      <c r="K60" s="100" t="s">
        <v>107</v>
      </c>
      <c r="L60" s="116">
        <v>14000000</v>
      </c>
      <c r="M60" s="78">
        <f>L60</f>
        <v>14000000</v>
      </c>
    </row>
    <row r="61" spans="1:14" ht="12.75" customHeight="1" thickBot="1" x14ac:dyDescent="0.25">
      <c r="A61" s="3"/>
      <c r="B61" s="3"/>
      <c r="C61" s="3"/>
      <c r="D61" s="3"/>
      <c r="E61" s="4"/>
      <c r="F61" s="3">
        <v>280000</v>
      </c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>
        <f>SUM(F59:F61)</f>
        <v>545000</v>
      </c>
      <c r="G62" s="195" t="s">
        <v>259</v>
      </c>
      <c r="H62" s="197">
        <v>85000</v>
      </c>
      <c r="I62" s="3"/>
      <c r="K62" s="98" t="s">
        <v>42</v>
      </c>
      <c r="L62" s="78">
        <f>SUM(L58:L61)</f>
        <v>45246651</v>
      </c>
      <c r="M62" s="78">
        <f>SUM(M58:M61)</f>
        <v>45116651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0</f>
        <v>0</v>
      </c>
      <c r="I63" s="230" t="s">
        <v>335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265000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75582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0" tint="-0.249977111117893"/>
  </sheetPr>
  <dimension ref="A1:N258"/>
  <sheetViews>
    <sheetView topLeftCell="K31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43986651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G33-4500-9000</f>
        <v>974564</v>
      </c>
      <c r="I32" s="3"/>
    </row>
    <row r="33" spans="1:13" ht="14.25" customHeight="1" thickTop="1" thickBot="1" x14ac:dyDescent="0.35">
      <c r="A33" s="48" t="s">
        <v>33</v>
      </c>
      <c r="B33" s="49">
        <v>100000</v>
      </c>
      <c r="C33" s="3"/>
      <c r="D33" s="3"/>
      <c r="E33" s="55"/>
      <c r="F33" s="56"/>
      <c r="G33" s="57">
        <v>988064</v>
      </c>
      <c r="H33" s="58" t="s">
        <v>35</v>
      </c>
      <c r="I33" s="59" t="s">
        <v>337</v>
      </c>
      <c r="J33" s="241"/>
    </row>
    <row r="34" spans="1:13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0</f>
        <v>0</v>
      </c>
      <c r="H34" s="61" t="s">
        <v>38</v>
      </c>
      <c r="I34" s="203" t="s">
        <v>338</v>
      </c>
      <c r="J34" s="240"/>
      <c r="K34" s="1" t="s">
        <v>339</v>
      </c>
      <c r="L34" s="240"/>
      <c r="M34" s="240" t="s">
        <v>333</v>
      </c>
    </row>
    <row r="35" spans="1:13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988064</v>
      </c>
      <c r="H35" s="65" t="s">
        <v>42</v>
      </c>
      <c r="I35" s="3"/>
    </row>
    <row r="36" spans="1:13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3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3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3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3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3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3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3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3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3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3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3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/>
      <c r="H47" s="61" t="s">
        <v>66</v>
      </c>
      <c r="I47" s="73"/>
      <c r="J47" s="74" t="s">
        <v>67</v>
      </c>
      <c r="K47" s="73">
        <f>SUM(L48,L49)</f>
        <v>0</v>
      </c>
    </row>
    <row r="48" spans="1:13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988064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344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618845</v>
      </c>
      <c r="I58" s="3"/>
      <c r="K58" s="98" t="s">
        <v>106</v>
      </c>
      <c r="L58" s="78">
        <v>31116651</v>
      </c>
      <c r="M58" s="78">
        <f>L58-130000</f>
        <v>30986651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10000000</v>
      </c>
      <c r="M59" s="118">
        <f>L59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4000000</v>
      </c>
      <c r="M60" s="78">
        <f>L60-2000000</f>
        <v>2000000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1000000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45116651</v>
      </c>
      <c r="M62" s="78">
        <f>SUM(M58:M61)</f>
        <v>43986651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180000+30000</f>
        <v>210000</v>
      </c>
      <c r="I63" s="230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560000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58845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0" tint="-0.249977111117893"/>
  </sheetPr>
  <dimension ref="A1:N258"/>
  <sheetViews>
    <sheetView topLeftCell="E23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/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267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>
        <v>8</v>
      </c>
      <c r="G30" s="232">
        <f>M62</f>
        <v>42856651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G33-4000</f>
        <v>1543670</v>
      </c>
      <c r="I32" s="3"/>
    </row>
    <row r="33" spans="1:12" ht="14.25" customHeight="1" thickTop="1" thickBot="1" x14ac:dyDescent="0.35">
      <c r="A33" s="48" t="s">
        <v>33</v>
      </c>
      <c r="B33" s="49">
        <v>100000</v>
      </c>
      <c r="C33" s="3"/>
      <c r="D33" s="3"/>
      <c r="E33" s="55"/>
      <c r="F33" s="56"/>
      <c r="G33" s="57">
        <v>1547670</v>
      </c>
      <c r="H33" s="58" t="s">
        <v>35</v>
      </c>
      <c r="I33" s="59" t="s">
        <v>337</v>
      </c>
      <c r="J33" s="241"/>
      <c r="K33" s="1" t="s">
        <v>347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0</f>
        <v>0</v>
      </c>
      <c r="H34" s="61" t="s">
        <v>38</v>
      </c>
      <c r="I34" s="203" t="s">
        <v>348</v>
      </c>
      <c r="J34" s="240"/>
      <c r="K34" s="1" t="s">
        <v>340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1547670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346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1547670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345</v>
      </c>
      <c r="G51" s="3" t="s">
        <v>344</v>
      </c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>
        <f>7*30000</f>
        <v>210000</v>
      </c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>
        <f>0</f>
        <v>0</v>
      </c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>
        <f>50000</f>
        <v>50000</v>
      </c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>
        <f>SUM(G53:G55)</f>
        <v>260000</v>
      </c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550000</v>
      </c>
      <c r="I58" s="3"/>
      <c r="K58" s="98" t="s">
        <v>106</v>
      </c>
      <c r="L58" s="78">
        <v>30986651</v>
      </c>
      <c r="M58" s="78">
        <f>L58-130000</f>
        <v>30856651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13400000</v>
      </c>
      <c r="M59" s="118">
        <f>L59-3400000+2000000</f>
        <v>12000000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2000000</v>
      </c>
      <c r="M60" s="78">
        <f>L60-2000000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f>L61</f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46386651</v>
      </c>
      <c r="M62" s="78">
        <f>SUM(M58:M61)</f>
        <v>42856651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</f>
        <v>180000</v>
      </c>
      <c r="I63" s="230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0" tint="-0.249977111117893"/>
  </sheetPr>
  <dimension ref="A1:N258"/>
  <sheetViews>
    <sheetView topLeftCell="F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230000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40726651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G33-9000-3000-3000</f>
        <v>1603137</v>
      </c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1618137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0</f>
        <v>0</v>
      </c>
      <c r="H34" s="61"/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1618137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f>0</f>
        <v>0</v>
      </c>
      <c r="H46" s="61" t="s">
        <v>349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1618137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345</v>
      </c>
      <c r="G51" s="3" t="s">
        <v>344</v>
      </c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563141</v>
      </c>
      <c r="I58" s="3"/>
      <c r="K58" s="98" t="s">
        <v>106</v>
      </c>
      <c r="L58" s="78">
        <v>30856651</v>
      </c>
      <c r="M58" s="78">
        <f>L58-130000</f>
        <v>30726651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6">
        <v>12000000</v>
      </c>
      <c r="M59" s="118">
        <f>L59-2000000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42856651</v>
      </c>
      <c r="M62" s="78">
        <f>SUM(M58:M61)</f>
        <v>40726651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</f>
        <v>180000</v>
      </c>
      <c r="I63" s="230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33141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0" tint="-0.249977111117893"/>
  </sheetPr>
  <dimension ref="A1:N258"/>
  <sheetViews>
    <sheetView topLeftCell="E26" zoomScale="115" zoomScaleNormal="11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40596651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1969134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1978134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1978134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58" t="s">
        <v>351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1978134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f>0</f>
        <v>0</v>
      </c>
      <c r="E51" s="7" t="s">
        <v>78</v>
      </c>
      <c r="F51" s="3" t="s">
        <v>352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671660</v>
      </c>
      <c r="I58" s="3"/>
      <c r="K58" s="98" t="s">
        <v>106</v>
      </c>
      <c r="L58" s="78">
        <v>30726651</v>
      </c>
      <c r="M58" s="78">
        <f>L58-130000</f>
        <v>30596651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10000000</v>
      </c>
      <c r="M59" s="78">
        <f>L59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40726651</v>
      </c>
      <c r="M62" s="78">
        <f>SUM(M58:M61)</f>
        <v>40596651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180000+100000</f>
        <v>280000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630000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41660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0" tint="-9.9978637043366805E-2"/>
  </sheetPr>
  <dimension ref="A1:N258"/>
  <sheetViews>
    <sheetView topLeftCell="D24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600000</v>
      </c>
      <c r="C30" s="3"/>
      <c r="D30" s="3"/>
      <c r="E30" s="50"/>
      <c r="F30" s="233" t="s">
        <v>328</v>
      </c>
      <c r="G30" s="239">
        <f>M62</f>
        <v>40466651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3065682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3074682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238">
        <f>0</f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3074682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1020000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58" t="s">
        <v>350</v>
      </c>
      <c r="I46" s="72">
        <v>0</v>
      </c>
      <c r="J46" s="71" t="s">
        <v>63</v>
      </c>
      <c r="K46" s="72">
        <f>I46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3044682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920519</v>
      </c>
      <c r="I58" s="3"/>
      <c r="K58" s="98" t="s">
        <v>106</v>
      </c>
      <c r="L58" s="78">
        <v>30596651</v>
      </c>
      <c r="M58" s="78">
        <f>L58-130000</f>
        <v>30466651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10000000</v>
      </c>
      <c r="M59" s="118">
        <f>L59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40596651</v>
      </c>
      <c r="M62" s="78">
        <f>SUM(M58:M61)</f>
        <v>40466651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f>180000+200000</f>
        <v>380000</v>
      </c>
      <c r="I63" s="3" t="s">
        <v>353</v>
      </c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910000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10519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0" tint="-0.249977111117893"/>
  </sheetPr>
  <dimension ref="A1:N258"/>
  <sheetViews>
    <sheetView topLeftCell="E26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36" t="s">
        <v>15</v>
      </c>
      <c r="C10" s="237">
        <v>90000</v>
      </c>
      <c r="D10" s="237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236" t="s">
        <v>16</v>
      </c>
      <c r="C11" s="237">
        <v>55000</v>
      </c>
      <c r="D11" s="237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39336651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1505556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1514556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1514556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 t="s">
        <v>354</v>
      </c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60000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60000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1454556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</v>
      </c>
      <c r="D53" s="78">
        <f>C53*30000</f>
        <v>60000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60000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547209</v>
      </c>
      <c r="I58" s="3"/>
      <c r="K58" s="98" t="s">
        <v>106</v>
      </c>
      <c r="L58" s="78">
        <v>30466651</v>
      </c>
      <c r="M58" s="78">
        <f>L58-130000</f>
        <v>30336651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10000000</v>
      </c>
      <c r="M59" s="118">
        <f>L59-1000000</f>
        <v>9000000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40466651</v>
      </c>
      <c r="M62" s="78">
        <f>SUM(M58:M61)</f>
        <v>39336651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17209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0" tint="-0.249977111117893"/>
  </sheetPr>
  <dimension ref="A1:N258"/>
  <sheetViews>
    <sheetView topLeftCell="A19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36570000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G33-9000</f>
        <v>2398831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2407831</v>
      </c>
      <c r="H33" s="58" t="s">
        <v>35</v>
      </c>
      <c r="I33" s="59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356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2407831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2377831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549072</v>
      </c>
      <c r="I58" s="3"/>
      <c r="K58" s="98" t="s">
        <v>106</v>
      </c>
      <c r="L58" s="78">
        <v>29700000</v>
      </c>
      <c r="M58" s="78">
        <f>L58-130000</f>
        <v>29570000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9000000</v>
      </c>
      <c r="M59" s="118">
        <f>L59-2000000</f>
        <v>7000000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38700000</v>
      </c>
      <c r="M62" s="78">
        <f>SUM(M58:M61)</f>
        <v>36570000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19072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0" tint="-0.249977111117893"/>
  </sheetPr>
  <dimension ref="A1:N258"/>
  <sheetViews>
    <sheetView topLeftCell="F24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768670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39440000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3337711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800000</f>
        <v>800000</v>
      </c>
      <c r="H34" s="61" t="s">
        <v>38</v>
      </c>
      <c r="I34" s="203" t="s">
        <v>357</v>
      </c>
      <c r="J34" s="122"/>
      <c r="L34" s="1">
        <v>0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4137711</v>
      </c>
      <c r="H35" s="65" t="s">
        <v>42</v>
      </c>
      <c r="I35" s="3" t="s">
        <v>360</v>
      </c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768670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1000000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2968670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1169041</v>
      </c>
      <c r="H49" s="61" t="s">
        <v>73</v>
      </c>
      <c r="I49" s="76" t="s">
        <v>358</v>
      </c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f>0</f>
        <v>0</v>
      </c>
      <c r="E51" s="7" t="s">
        <v>78</v>
      </c>
      <c r="F51" s="3" t="s">
        <v>355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250000</v>
      </c>
      <c r="E52" s="79" t="s">
        <v>80</v>
      </c>
      <c r="F52" s="3" t="s">
        <v>359</v>
      </c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25</v>
      </c>
      <c r="D53" s="78">
        <f>C53*30000</f>
        <v>750000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1000000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727915</v>
      </c>
      <c r="I58" s="3"/>
      <c r="K58" s="98" t="s">
        <v>106</v>
      </c>
      <c r="L58" s="78">
        <v>29570000</v>
      </c>
      <c r="M58" s="78">
        <f>L58-130000</f>
        <v>29440000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7000000</v>
      </c>
      <c r="M59" s="118">
        <f>L59+3000000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36570000</v>
      </c>
      <c r="M62" s="78">
        <f>SUM(M58:M61)</f>
        <v>39440000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17915</v>
      </c>
      <c r="I65" s="3">
        <f>710000-307915</f>
        <v>402085</v>
      </c>
    </row>
    <row r="66" spans="1:9" ht="12.75" customHeight="1" x14ac:dyDescent="0.2">
      <c r="A66" s="3"/>
      <c r="B66" s="3"/>
      <c r="C66" s="3"/>
      <c r="D66" s="3"/>
      <c r="E66" s="4"/>
      <c r="F66" s="3"/>
      <c r="G66" s="3"/>
      <c r="H66" s="3"/>
      <c r="I66" s="217"/>
    </row>
    <row r="67" spans="1:9" ht="12.75" customHeight="1" x14ac:dyDescent="0.2">
      <c r="A67" s="3"/>
      <c r="B67" s="3"/>
      <c r="C67" s="3"/>
      <c r="D67" s="3"/>
      <c r="E67" s="4"/>
      <c r="F67" s="3"/>
      <c r="G67" s="3"/>
      <c r="H67" s="3"/>
      <c r="I67" s="217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0" tint="-0.249977111117893"/>
  </sheetPr>
  <dimension ref="A1:N258"/>
  <sheetViews>
    <sheetView topLeftCell="E13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39310000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G33-11400</f>
        <v>772655</v>
      </c>
      <c r="I32" s="3"/>
    </row>
    <row r="33" spans="1:14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784055</v>
      </c>
      <c r="H33" s="58" t="s">
        <v>35</v>
      </c>
      <c r="I33" s="59"/>
      <c r="J33" s="244"/>
    </row>
    <row r="34" spans="1:14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0</f>
        <v>0</v>
      </c>
      <c r="H34" s="61" t="s">
        <v>38</v>
      </c>
      <c r="I34" s="203"/>
      <c r="J34" s="62"/>
      <c r="N34" s="76"/>
    </row>
    <row r="35" spans="1:14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784055</v>
      </c>
      <c r="H35" s="65" t="s">
        <v>42</v>
      </c>
      <c r="I35" s="3"/>
    </row>
    <row r="36" spans="1:14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4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4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4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4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4" ht="12.75" customHeight="1" x14ac:dyDescent="0.2">
      <c r="A41" s="3" t="s">
        <v>313</v>
      </c>
      <c r="B41" s="3"/>
      <c r="C41" s="3"/>
      <c r="D41" s="3"/>
      <c r="E41" s="42"/>
      <c r="F41" s="3"/>
      <c r="G41" s="42">
        <f>0</f>
        <v>0</v>
      </c>
      <c r="H41" s="47" t="s">
        <v>307</v>
      </c>
      <c r="I41" s="3"/>
    </row>
    <row r="42" spans="1:14" ht="13.5" customHeight="1" x14ac:dyDescent="0.15">
      <c r="A42" s="216">
        <v>17763166</v>
      </c>
      <c r="B42" s="216">
        <v>11599090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4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4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4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4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4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4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754055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362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545957</v>
      </c>
      <c r="I58" s="3"/>
      <c r="K58" s="98" t="s">
        <v>106</v>
      </c>
      <c r="L58" s="78">
        <v>29440000</v>
      </c>
      <c r="M58" s="78">
        <f>L58-130000</f>
        <v>29310000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11000000</v>
      </c>
      <c r="M59" s="118">
        <f>L59-1000000</f>
        <v>10000000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40440000</v>
      </c>
      <c r="M62" s="78">
        <f>SUM(M58:M61)</f>
        <v>39310000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15957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0" tint="-0.249977111117893"/>
  </sheetPr>
  <dimension ref="A1:N258"/>
  <sheetViews>
    <sheetView topLeftCell="F2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38180000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G33-20000</f>
        <v>1456983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1476983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 t="s">
        <v>361</v>
      </c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1476983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1476983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548432</v>
      </c>
      <c r="I58" s="3"/>
      <c r="K58" s="98" t="s">
        <v>106</v>
      </c>
      <c r="L58" s="78">
        <v>29310000</v>
      </c>
      <c r="M58" s="78">
        <f>L58-130000</f>
        <v>29180000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10000000</v>
      </c>
      <c r="M59" s="118">
        <f>L59-1000000</f>
        <v>9000000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39310000</v>
      </c>
      <c r="M62" s="78">
        <f>SUM(M58:M61)</f>
        <v>38180000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18432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70C0"/>
  </sheetPr>
  <dimension ref="A1:N258"/>
  <sheetViews>
    <sheetView topLeftCell="A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363670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50000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85000</v>
      </c>
      <c r="G13" s="30" t="s">
        <v>21</v>
      </c>
      <c r="H13" s="31">
        <f>SUM(F9,F13)</f>
        <v>448670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898670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38310000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3500000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4500000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898670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920000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500000</v>
      </c>
      <c r="H46" s="61" t="s">
        <v>62</v>
      </c>
      <c r="I46" s="72">
        <v>0</v>
      </c>
      <c r="J46" s="71" t="s">
        <v>63</v>
      </c>
      <c r="K46" s="72">
        <f>I46+G46</f>
        <v>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3518670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981330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C53*20000</f>
        <v>620000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920000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29440000</v>
      </c>
      <c r="M58" s="78">
        <f>L58-130000</f>
        <v>29310000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9000000</v>
      </c>
      <c r="M59" s="118">
        <f>L59</f>
        <v>9000000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38440000</v>
      </c>
      <c r="M62" s="78">
        <f>SUM(M58:M61)</f>
        <v>38310000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70C0"/>
  </sheetPr>
  <dimension ref="A1:N258"/>
  <sheetViews>
    <sheetView topLeftCell="C1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180000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363670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50000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85000</v>
      </c>
      <c r="G13" s="30" t="s">
        <v>21</v>
      </c>
      <c r="H13" s="31">
        <f>SUM(F9,F13)</f>
        <v>448670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628670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38310000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1000000</v>
      </c>
      <c r="H33" s="58" t="s">
        <v>35</v>
      </c>
      <c r="I33" s="59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3500000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4500000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628670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920000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700000</v>
      </c>
      <c r="H46" s="61" t="s">
        <v>62</v>
      </c>
      <c r="I46" s="72">
        <v>0</v>
      </c>
      <c r="J46" s="71" t="s">
        <v>63</v>
      </c>
      <c r="K46" s="72">
        <f>I46+G46</f>
        <v>700000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3448670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1051330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C53*20000</f>
        <v>620000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920000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29440000</v>
      </c>
      <c r="M58" s="78">
        <f>L58-130000</f>
        <v>29310000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9000000</v>
      </c>
      <c r="M59" s="118">
        <f>L59</f>
        <v>9000000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38440000</v>
      </c>
      <c r="M62" s="78">
        <f>SUM(M58:M61)</f>
        <v>38310000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0" tint="-0.249977111117893"/>
  </sheetPr>
  <dimension ref="A1:N258"/>
  <sheetViews>
    <sheetView topLeftCell="C27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36050000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G33-1900</f>
        <v>1406061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1407961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1407961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49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v>0</v>
      </c>
      <c r="H42" s="47" t="s">
        <v>363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60000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>
        <v>29</v>
      </c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60000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1347961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2</v>
      </c>
      <c r="D53" s="78">
        <f>C53*30000</f>
        <v>60000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60000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551591</v>
      </c>
      <c r="I58" s="3"/>
      <c r="K58" s="98" t="s">
        <v>106</v>
      </c>
      <c r="L58" s="78">
        <v>29180000</v>
      </c>
      <c r="M58" s="78">
        <f>L58-130000</f>
        <v>29050000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9000000</v>
      </c>
      <c r="M59" s="118">
        <f>L59-2000000</f>
        <v>7000000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38180000</v>
      </c>
      <c r="M62" s="78">
        <f>SUM(M58:M61)</f>
        <v>36050000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21591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0" tint="-0.249977111117893"/>
  </sheetPr>
  <dimension ref="A1:N258"/>
  <sheetViews>
    <sheetView topLeftCell="B25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31920000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42">
        <f>G33-1900</f>
        <v>1401808</v>
      </c>
      <c r="I31" s="42">
        <f>H31-G33</f>
        <v>-1900</v>
      </c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G33-1900-1900-7000-7000-9000</f>
        <v>1376908</v>
      </c>
      <c r="I32" s="42">
        <f>H32-G33</f>
        <v>-26800</v>
      </c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1403708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0</f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1403708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/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19956146</v>
      </c>
      <c r="B42" s="216">
        <v>12620646</v>
      </c>
      <c r="C42" s="3"/>
      <c r="D42" s="3"/>
      <c r="E42" s="42"/>
      <c r="F42" s="3"/>
      <c r="G42" s="42">
        <f>0</f>
        <v>0</v>
      </c>
      <c r="H42" s="47" t="s">
        <v>364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1403708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362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548982</v>
      </c>
      <c r="I58" s="3"/>
      <c r="K58" s="98" t="s">
        <v>106</v>
      </c>
      <c r="L58" s="78">
        <v>29050000</v>
      </c>
      <c r="M58" s="78">
        <f>L58-130000</f>
        <v>28920000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7000000</v>
      </c>
      <c r="M59" s="118">
        <f>L59-4000000</f>
        <v>3000000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36050000</v>
      </c>
      <c r="M62" s="78">
        <f>SUM(M58:M61)</f>
        <v>31920000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18982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0" tint="-0.249977111117893"/>
  </sheetPr>
  <dimension ref="A1:N258"/>
  <sheetViews>
    <sheetView topLeftCell="A3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28790000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>
        <f>-8000-1500-6000</f>
        <v>-15500</v>
      </c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G33-6000</f>
        <v>958815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964815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964815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17324570</v>
      </c>
      <c r="B42" s="216">
        <v>11316402</v>
      </c>
      <c r="C42" s="3"/>
      <c r="D42" s="3"/>
      <c r="E42" s="42"/>
      <c r="F42" s="3"/>
      <c r="G42" s="42">
        <v>0</v>
      </c>
      <c r="H42" s="47" t="s">
        <v>366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47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964815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728403</v>
      </c>
      <c r="I58" s="3"/>
      <c r="K58" s="98" t="s">
        <v>106</v>
      </c>
      <c r="L58" s="78">
        <v>28920000</v>
      </c>
      <c r="M58" s="78">
        <f>L58-130000</f>
        <v>28790000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3000000</v>
      </c>
      <c r="M59" s="118">
        <f>L59-3000000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31920000</v>
      </c>
      <c r="M62" s="78">
        <f>SUM(M58:M61)</f>
        <v>28790000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18403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0" tint="-0.249977111117893"/>
  </sheetPr>
  <dimension ref="A1:N258"/>
  <sheetViews>
    <sheetView topLeftCell="F38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>
        <v>1</v>
      </c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28660000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>
        <f>-7000</f>
        <v>-7000</v>
      </c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G33+H31</f>
        <v>2493104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2500104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2500104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71" t="s">
        <v>63</v>
      </c>
      <c r="K46" s="72">
        <f>I46+G46</f>
        <v>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2470104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C58" s="3"/>
      <c r="D58" s="42"/>
      <c r="E58" s="4"/>
      <c r="F58" s="3"/>
      <c r="G58" s="195" t="s">
        <v>239</v>
      </c>
      <c r="H58" s="197">
        <v>737871</v>
      </c>
      <c r="I58" s="3"/>
      <c r="K58" s="98" t="s">
        <v>106</v>
      </c>
      <c r="L58" s="78">
        <v>28790000</v>
      </c>
      <c r="M58" s="78">
        <f>L58-130000</f>
        <v>28660000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28790000</v>
      </c>
      <c r="M62" s="78">
        <f>SUM(M58:M61)</f>
        <v>28660000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27871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0" tint="-0.249977111117893"/>
  </sheetPr>
  <dimension ref="A1:N258"/>
  <sheetViews>
    <sheetView topLeftCell="E7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36.75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v>28364998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>
        <f>-8000-1500</f>
        <v>-9500</v>
      </c>
      <c r="I31" s="3"/>
    </row>
    <row r="32" spans="1:14" ht="13.5" customHeight="1" x14ac:dyDescent="0.2">
      <c r="A32" s="48" t="s">
        <v>32</v>
      </c>
      <c r="B32" s="49">
        <v>100000</v>
      </c>
      <c r="C32" s="3"/>
      <c r="D32" s="3"/>
      <c r="E32" s="52"/>
      <c r="F32" s="53"/>
      <c r="G32" s="54"/>
      <c r="H32" s="42">
        <f>H31+G33</f>
        <v>1300635</v>
      </c>
      <c r="I32" s="3"/>
    </row>
    <row r="33" spans="1:12" ht="14.25" customHeight="1" x14ac:dyDescent="0.2">
      <c r="A33" s="48" t="s">
        <v>33</v>
      </c>
      <c r="B33" s="49">
        <v>100000</v>
      </c>
      <c r="C33" s="3"/>
      <c r="D33" s="3"/>
      <c r="E33" s="55"/>
      <c r="F33" s="56"/>
      <c r="G33" s="57">
        <v>1310135</v>
      </c>
      <c r="H33" s="58" t="s">
        <v>35</v>
      </c>
      <c r="I33" s="59"/>
      <c r="J33" s="245"/>
    </row>
    <row r="34" spans="1:12" ht="14.25" customHeight="1" x14ac:dyDescent="0.2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x14ac:dyDescent="0.2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1310135</v>
      </c>
      <c r="H35" s="65" t="s">
        <v>42</v>
      </c>
      <c r="I35" s="3"/>
    </row>
    <row r="36" spans="1:12" ht="13.5" customHeight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368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x14ac:dyDescent="0.15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369</v>
      </c>
      <c r="I42" s="3"/>
    </row>
    <row r="43" spans="1:12" ht="14.25" customHeight="1" x14ac:dyDescent="0.2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x14ac:dyDescent="0.2">
      <c r="A44" s="47"/>
      <c r="B44" s="3"/>
      <c r="C44" s="70" t="s">
        <v>92</v>
      </c>
      <c r="D44" s="70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x14ac:dyDescent="0.2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x14ac:dyDescent="0.2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5000000</v>
      </c>
      <c r="J46" s="71" t="s">
        <v>63</v>
      </c>
      <c r="K46" s="72">
        <f>I46+G46</f>
        <v>5000000</v>
      </c>
    </row>
    <row r="47" spans="1:12" ht="14.25" customHeight="1" x14ac:dyDescent="0.2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x14ac:dyDescent="0.2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x14ac:dyDescent="0.2">
      <c r="A49" s="3"/>
      <c r="B49" s="3"/>
      <c r="C49" s="3"/>
      <c r="D49" s="3"/>
      <c r="E49" s="3"/>
      <c r="F49" s="3"/>
      <c r="G49" s="64">
        <f>G35-G48</f>
        <v>1310135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582340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42">
        <f>H58-H59</f>
        <v>582340</v>
      </c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530000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52340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0" tint="-4.9989318521683403E-2"/>
  </sheetPr>
  <dimension ref="A1:N258"/>
  <sheetViews>
    <sheetView topLeftCell="F26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380000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1148670</v>
      </c>
      <c r="E28" s="41"/>
      <c r="F28" s="42"/>
      <c r="G28" s="3"/>
      <c r="H28" s="3"/>
      <c r="I28" s="3"/>
    </row>
    <row r="29" spans="1:14" ht="16.5" customHeight="1" thickBot="1" x14ac:dyDescent="0.2">
      <c r="A29" s="43" t="s">
        <v>29</v>
      </c>
      <c r="B29" s="44"/>
      <c r="C29" s="3"/>
      <c r="D29" s="3"/>
      <c r="E29" s="45"/>
      <c r="F29" s="3"/>
      <c r="G29" s="3"/>
      <c r="H29" s="145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v>28277198</v>
      </c>
      <c r="H30" s="145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246">
        <f>109649+56800</f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-8000</f>
        <v>-8000</v>
      </c>
      <c r="G33" s="57">
        <v>1001685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>
        <f>F33+G33</f>
        <v>993685</v>
      </c>
      <c r="G34" s="60">
        <v>7250000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8251685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224">
        <v>0</v>
      </c>
      <c r="H36" s="47" t="s">
        <v>367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224">
        <v>0</v>
      </c>
      <c r="H37" s="47" t="s">
        <v>368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45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250000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1150000</v>
      </c>
      <c r="H41" s="47" t="s">
        <v>370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1148670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1130000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1000000</v>
      </c>
      <c r="H46" s="61" t="s">
        <v>62</v>
      </c>
      <c r="I46" s="72">
        <f>2000000</f>
        <v>2000000</v>
      </c>
      <c r="J46" s="71" t="s">
        <v>63</v>
      </c>
      <c r="K46" s="72">
        <f>I46+G46</f>
        <v>3000000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5678670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2573015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330000</v>
      </c>
      <c r="E51" s="7" t="s">
        <v>78</v>
      </c>
      <c r="F51" s="47" t="s">
        <v>373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360000</v>
      </c>
      <c r="E52" s="79" t="s">
        <v>80</v>
      </c>
      <c r="F52" s="47"/>
      <c r="H52" s="3"/>
      <c r="I52" s="3"/>
      <c r="L52" s="104"/>
    </row>
    <row r="53" spans="1:14" ht="15.75" customHeight="1" x14ac:dyDescent="0.25">
      <c r="A53" s="3"/>
      <c r="B53" s="80"/>
      <c r="C53" s="81">
        <v>22</v>
      </c>
      <c r="D53" s="78">
        <f>C53*20000</f>
        <v>440000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1130000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353891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-356109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258"/>
  <sheetViews>
    <sheetView topLeftCell="G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28308198-G31</f>
        <v>28141749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-9000-4000-10000-80002</f>
        <v>-103002</v>
      </c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>
        <f>F33+G33</f>
        <v>2396998</v>
      </c>
      <c r="G34" s="60">
        <f>7250000+1000000</f>
        <v>8250000</v>
      </c>
      <c r="H34" s="61" t="s">
        <v>374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10750000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3000000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0</v>
      </c>
      <c r="H46" s="61" t="s">
        <v>62</v>
      </c>
      <c r="I46" s="72">
        <v>3000000</v>
      </c>
      <c r="J46" s="71" t="s">
        <v>63</v>
      </c>
      <c r="K46" s="72">
        <f>I46+G46</f>
        <v>3000000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7955670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2794330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C53*30000</f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258"/>
  <sheetViews>
    <sheetView topLeftCell="F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28141749-G31</f>
        <v>27975300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f>22*250000</f>
        <v>5500000</v>
      </c>
      <c r="H34" s="61" t="s">
        <v>38</v>
      </c>
      <c r="I34" s="203" t="s">
        <v>371</v>
      </c>
      <c r="J34" s="122" t="s">
        <v>372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8000000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500000</v>
      </c>
      <c r="H46" s="61" t="s">
        <v>62</v>
      </c>
      <c r="I46" s="72">
        <v>3000000</v>
      </c>
      <c r="J46" s="71" t="s">
        <v>63</v>
      </c>
      <c r="K46" s="72">
        <f>I46+G46</f>
        <v>3500000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5455670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258"/>
  <sheetViews>
    <sheetView topLeftCell="F27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27975300-G31</f>
        <v>27808851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3500000</v>
      </c>
      <c r="J46" s="71" t="s">
        <v>63</v>
      </c>
      <c r="K46" s="72">
        <f>I46+G46</f>
        <v>6000000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258"/>
  <sheetViews>
    <sheetView topLeftCell="H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600000</v>
      </c>
      <c r="D15" s="34">
        <v>500000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1718670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27808851-G31</f>
        <v>27642402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1718670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2000000</v>
      </c>
      <c r="H46" s="61" t="s">
        <v>62</v>
      </c>
      <c r="I46" s="72">
        <v>6000000</v>
      </c>
      <c r="J46" s="71" t="s">
        <v>63</v>
      </c>
      <c r="K46" s="72">
        <f>I46+G46</f>
        <v>8000000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258"/>
  <sheetViews>
    <sheetView topLeftCell="I28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27642402-G31</f>
        <v>27475953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8000000</v>
      </c>
      <c r="J46" s="71" t="s">
        <v>63</v>
      </c>
      <c r="K46" s="72">
        <f>I46+G46</f>
        <v>10500000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258"/>
  <sheetViews>
    <sheetView topLeftCell="H30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27475953-G31</f>
        <v>27309504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10500000</v>
      </c>
      <c r="J46" s="71" t="s">
        <v>63</v>
      </c>
      <c r="K46" s="72">
        <f>I46+G46</f>
        <v>13000000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258"/>
  <sheetViews>
    <sheetView topLeftCell="J26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27309504-G31</f>
        <v>27143055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13000000</v>
      </c>
      <c r="J46" s="71" t="s">
        <v>63</v>
      </c>
      <c r="K46" s="72">
        <f>I46+G46</f>
        <v>15500000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258"/>
  <sheetViews>
    <sheetView topLeftCell="J2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27143055-G31</f>
        <v>26976606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500000</v>
      </c>
      <c r="H36" s="47" t="s">
        <v>364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2000000</v>
      </c>
      <c r="H46" s="61" t="s">
        <v>62</v>
      </c>
      <c r="I46" s="72">
        <v>15500000</v>
      </c>
      <c r="J46" s="71" t="s">
        <v>63</v>
      </c>
      <c r="K46" s="72">
        <f>I46+G46</f>
        <v>17500000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58"/>
  <sheetViews>
    <sheetView topLeftCell="J2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26976606-G31</f>
        <v>26810157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17500000</v>
      </c>
      <c r="J46" s="71" t="s">
        <v>63</v>
      </c>
      <c r="K46" s="72">
        <f>I46+G46</f>
        <v>20000000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258"/>
  <sheetViews>
    <sheetView topLeftCell="H29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26810157-G31</f>
        <v>26643708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20000000</v>
      </c>
      <c r="J46" s="71" t="s">
        <v>63</v>
      </c>
      <c r="K46" s="72">
        <f>I46+G46</f>
        <v>22500000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258"/>
  <sheetViews>
    <sheetView topLeftCell="E2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26643708-G31</f>
        <v>26477259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>
        <v>166449</v>
      </c>
      <c r="H31" s="3" t="s">
        <v>375</v>
      </c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22500000</v>
      </c>
      <c r="J46" s="71" t="s">
        <v>63</v>
      </c>
      <c r="K46" s="72">
        <f>I46+G46</f>
        <v>25000000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F11D-2941-7141-B71D-336C8CEA3CAD}">
  <dimension ref="A1:N258"/>
  <sheetViews>
    <sheetView topLeftCell="F33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25000000</v>
      </c>
      <c r="J46" s="71" t="s">
        <v>63</v>
      </c>
      <c r="K46" s="72">
        <f>I46+G46</f>
        <v>27500000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DE7-C84E-EF4F-95CB-406F99DDFE56}">
  <dimension ref="A1:N258"/>
  <sheetViews>
    <sheetView topLeftCell="E23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27500000</v>
      </c>
      <c r="J46" s="71" t="s">
        <v>63</v>
      </c>
      <c r="K46" s="72">
        <f>I46+G46</f>
        <v>30000000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7939-B0F1-CA49-A535-8C665C2464A5}">
  <dimension ref="A1:N258"/>
  <sheetViews>
    <sheetView topLeftCell="B16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340000</v>
      </c>
      <c r="D3" s="11">
        <v>450000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300000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663670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768670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1218670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1218670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30000000</v>
      </c>
      <c r="J46" s="71" t="s">
        <v>63</v>
      </c>
      <c r="K46" s="72">
        <f>I46+G46</f>
        <v>32500000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7455670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2544330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650000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180000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85000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180000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85000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710000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-60000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0189-502E-AC43-AE7E-9216CD5ABF9A}">
  <dimension ref="A1:N258"/>
  <sheetViews>
    <sheetView topLeftCell="F25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180000</v>
      </c>
      <c r="D3" s="11">
        <v>200000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363670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468670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668670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668670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3000000</v>
      </c>
      <c r="H46" s="61" t="s">
        <v>62</v>
      </c>
      <c r="I46" s="72">
        <v>0</v>
      </c>
      <c r="J46" s="71" t="s">
        <v>63</v>
      </c>
      <c r="K46" s="72">
        <f>I46+G46</f>
        <v>3000000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7405670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2594330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200000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180000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863C-E981-CA47-9A61-9A8C5267ACDC}">
  <dimension ref="A1:N258"/>
  <sheetViews>
    <sheetView topLeftCell="I22" zoomScaleNormal="100" workbookViewId="0">
      <selection activeCell="E60" sqref="E60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180000</v>
      </c>
      <c r="D3" s="11">
        <v>200000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363670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468670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500000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1168670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1168670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2500000</v>
      </c>
      <c r="H46" s="61" t="s">
        <v>62</v>
      </c>
      <c r="I46" s="72">
        <v>3000000</v>
      </c>
      <c r="J46" s="71" t="s">
        <v>63</v>
      </c>
      <c r="K46" s="72">
        <f>I46+G46</f>
        <v>5500000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7405670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2594330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200000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180000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F4BFA-D241-A44C-AB4F-6066F5165DDA}">
  <dimension ref="A1:N258"/>
  <sheetViews>
    <sheetView zoomScaleNormal="100" workbookViewId="0">
      <selection activeCell="B4" sqref="B4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180000</v>
      </c>
      <c r="D3" s="11">
        <v>200000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10000</v>
      </c>
      <c r="D9" s="16">
        <v>10000</v>
      </c>
      <c r="E9" s="23">
        <v>3</v>
      </c>
      <c r="F9" s="17">
        <f>SUM(D4:D9)</f>
        <v>363670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20</v>
      </c>
      <c r="C13" s="11">
        <v>35000</v>
      </c>
      <c r="D13" s="29">
        <v>35000</v>
      </c>
      <c r="E13" s="7">
        <v>2</v>
      </c>
      <c r="F13" s="27">
        <f>SUM(D10:D13)</f>
        <v>105000</v>
      </c>
      <c r="G13" s="30" t="s">
        <v>21</v>
      </c>
      <c r="H13" s="31">
        <f>SUM(F9,F13)</f>
        <v>468670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668670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28530000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57">
        <v>2500000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7500000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10000000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117000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240000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2">
      <c r="A41" s="3" t="s">
        <v>313</v>
      </c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>
        <v>17324570</v>
      </c>
      <c r="B42" s="216">
        <v>11372955</v>
      </c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668670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70" t="s">
        <v>92</v>
      </c>
      <c r="D44" s="70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 t="s">
        <v>56</v>
      </c>
      <c r="B45" s="47" t="s">
        <v>266</v>
      </c>
      <c r="C45" s="3"/>
      <c r="D45" s="3"/>
      <c r="E45" s="3"/>
      <c r="F45" s="3"/>
      <c r="G45" s="190">
        <f>D55</f>
        <v>1880000</v>
      </c>
      <c r="H45" s="58" t="s">
        <v>58</v>
      </c>
      <c r="I45" s="42"/>
      <c r="J45" s="47"/>
    </row>
    <row r="46" spans="1:12" ht="14.25" customHeight="1" thickTop="1" thickBot="1" x14ac:dyDescent="0.25">
      <c r="A46" s="47" t="s">
        <v>94</v>
      </c>
      <c r="B46" s="59" t="s">
        <v>95</v>
      </c>
      <c r="C46" s="3"/>
      <c r="D46" s="3"/>
      <c r="E46" s="3"/>
      <c r="F46" s="3"/>
      <c r="G46" s="64">
        <v>3000000</v>
      </c>
      <c r="H46" s="61" t="s">
        <v>62</v>
      </c>
      <c r="I46" s="72">
        <v>5500000</v>
      </c>
      <c r="J46" s="71" t="s">
        <v>63</v>
      </c>
      <c r="K46" s="72">
        <f>I46+G46</f>
        <v>8500000</v>
      </c>
    </row>
    <row r="47" spans="1:12" ht="14.25" customHeight="1" thickTop="1" thickBot="1" x14ac:dyDescent="0.25">
      <c r="A47" s="47" t="s">
        <v>96</v>
      </c>
      <c r="B47" s="59" t="s">
        <v>97</v>
      </c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 t="s">
        <v>98</v>
      </c>
      <c r="B48" s="59" t="s">
        <v>99</v>
      </c>
      <c r="C48" s="3"/>
      <c r="D48" s="3"/>
      <c r="E48" s="3"/>
      <c r="F48" s="63" t="s">
        <v>70</v>
      </c>
      <c r="G48" s="64">
        <f>SUM(G36:G47)</f>
        <v>7405670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2594330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450000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500000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1880000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200000</v>
      </c>
      <c r="I58" s="3"/>
      <c r="K58" s="98" t="s">
        <v>106</v>
      </c>
      <c r="L58" s="78">
        <v>28660000</v>
      </c>
      <c r="M58" s="78">
        <f>L58-130000</f>
        <v>28530000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28660000</v>
      </c>
      <c r="M62" s="78">
        <f>SUM(M58:M61)</f>
        <v>28530000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180000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16266-DCCB-6B4F-A133-E587FF8D8C4B}">
  <sheetPr>
    <tabColor theme="0" tint="-9.9978637043366805E-2"/>
  </sheetPr>
  <dimension ref="A1:N258"/>
  <sheetViews>
    <sheetView zoomScale="115" zoomScaleNormal="115" workbookViewId="0">
      <selection activeCell="B4" sqref="B4"/>
    </sheetView>
  </sheetViews>
  <sheetFormatPr defaultColWidth="16" defaultRowHeight="15" customHeight="1" x14ac:dyDescent="0.15"/>
  <cols>
    <col min="1" max="1" width="18.6640625" style="1" customWidth="1"/>
    <col min="2" max="2" width="24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10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12.75" customHeight="1" x14ac:dyDescent="0.2">
      <c r="A4" s="9"/>
      <c r="B4" s="14" t="s">
        <v>7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36.75" customHeight="1" x14ac:dyDescent="0.2">
      <c r="A5" s="9"/>
      <c r="B5" s="20" t="s">
        <v>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0" t="s">
        <v>10</v>
      </c>
      <c r="C6" s="11">
        <v>300000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14.25" customHeight="1" x14ac:dyDescent="0.2">
      <c r="A7" s="9"/>
      <c r="B7" s="22" t="s">
        <v>11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14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14" t="s">
        <v>13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10" t="s">
        <v>15</v>
      </c>
      <c r="C10" s="11">
        <v>90000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/>
      <c r="B11" s="14" t="s">
        <v>16</v>
      </c>
      <c r="C11" s="11">
        <v>55000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14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14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14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14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14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14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14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14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14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148">
        <v>2569848</v>
      </c>
      <c r="H33" s="58" t="s">
        <v>35</v>
      </c>
      <c r="I33" s="59"/>
      <c r="J33" s="245">
        <v>7500000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 t="s">
        <v>245</v>
      </c>
      <c r="E34" s="55"/>
      <c r="F34" s="53"/>
      <c r="G34" s="60">
        <v>0</v>
      </c>
      <c r="H34" s="61" t="s">
        <v>38</v>
      </c>
      <c r="I34" s="203"/>
      <c r="J34" s="6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2569848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64">
        <v>0</v>
      </c>
      <c r="H46" s="61" t="s">
        <v>62</v>
      </c>
      <c r="I46" s="72">
        <v>8000000</v>
      </c>
      <c r="J46" s="71" t="s">
        <v>63</v>
      </c>
      <c r="K46" s="72">
        <f>I46+G46</f>
        <v>8000000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2569848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471114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233200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233200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237914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3ACF-9C7A-46D4-9121-0F25C1C4C4F5}">
  <sheetPr>
    <tabColor theme="0" tint="-9.9978637043366805E-2"/>
  </sheetPr>
  <dimension ref="A1:N258"/>
  <sheetViews>
    <sheetView topLeftCell="A31" zoomScale="115" zoomScaleNormal="115" workbookViewId="0">
      <selection activeCell="G33" sqref="G3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4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32.25" customHeight="1" x14ac:dyDescent="0.2">
      <c r="A4" s="9"/>
      <c r="B4" s="261" t="s">
        <v>378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69" customHeight="1" x14ac:dyDescent="0.2">
      <c r="A5" s="9"/>
      <c r="B5" s="261" t="s">
        <v>389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1" customHeight="1" x14ac:dyDescent="0.2">
      <c r="A6" s="9"/>
      <c r="B6" s="277" t="s">
        <v>392</v>
      </c>
      <c r="C6" s="11">
        <v>500000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39" customHeight="1" x14ac:dyDescent="0.2">
      <c r="A7" s="9"/>
      <c r="B7" s="263" t="s">
        <v>377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382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9" t="s">
        <v>386</v>
      </c>
      <c r="B10" s="275" t="s">
        <v>15</v>
      </c>
      <c r="C10" s="11">
        <v>140000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 t="s">
        <v>386</v>
      </c>
      <c r="B11" s="274" t="s">
        <v>16</v>
      </c>
      <c r="C11" s="11">
        <v>60000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G33-27000</f>
        <v>5569236</v>
      </c>
      <c r="G33" s="148">
        <v>5596236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53"/>
      <c r="G34" s="60">
        <v>0</v>
      </c>
      <c r="H34" s="61" t="s">
        <v>38</v>
      </c>
      <c r="I34" s="260">
        <v>-5000000</v>
      </c>
      <c r="J34" s="122"/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5596236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259"/>
      <c r="H46" s="61" t="s">
        <v>62</v>
      </c>
      <c r="I46" s="72">
        <v>3000000</v>
      </c>
      <c r="J46" s="71" t="s">
        <v>63</v>
      </c>
      <c r="K46" s="72">
        <f>I46+G46</f>
        <v>3000000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30000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5566236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 t="s">
        <v>393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228262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239780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239780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-11518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27EC-E95D-444D-81C1-11075BAF8D55}">
  <sheetPr>
    <tabColor rgb="FF0070C0"/>
  </sheetPr>
  <dimension ref="A1:N258"/>
  <sheetViews>
    <sheetView topLeftCell="A16" zoomScaleNormal="100" workbookViewId="0">
      <selection activeCell="G44" sqref="G44"/>
    </sheetView>
  </sheetViews>
  <sheetFormatPr defaultColWidth="16" defaultRowHeight="15" customHeight="1" x14ac:dyDescent="0.15"/>
  <cols>
    <col min="1" max="1" width="18.6640625" style="1" customWidth="1"/>
    <col min="2" max="2" width="49.16406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265"/>
      <c r="C2" s="6" t="s">
        <v>1</v>
      </c>
      <c r="D2" s="35" t="s">
        <v>2</v>
      </c>
      <c r="E2" s="6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6" t="s">
        <v>5</v>
      </c>
      <c r="C3" s="11">
        <v>180000</v>
      </c>
      <c r="D3" s="11">
        <v>0</v>
      </c>
      <c r="E3" s="35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71.25" customHeight="1" x14ac:dyDescent="0.2">
      <c r="A4" s="9"/>
      <c r="B4" s="261" t="s">
        <v>394</v>
      </c>
      <c r="C4" s="11">
        <v>68000</v>
      </c>
      <c r="D4" s="16">
        <v>0</v>
      </c>
      <c r="E4" s="35">
        <v>3</v>
      </c>
      <c r="F4" s="17"/>
      <c r="G4" s="18"/>
      <c r="H4" s="9"/>
      <c r="I4" s="9"/>
      <c r="J4" s="248" t="s">
        <v>8</v>
      </c>
      <c r="K4" s="9"/>
      <c r="L4" s="9"/>
      <c r="M4" s="9"/>
      <c r="N4" s="9"/>
    </row>
    <row r="5" spans="1:14" ht="86.25" customHeight="1" x14ac:dyDescent="0.2">
      <c r="A5" s="9"/>
      <c r="B5" s="261" t="s">
        <v>379</v>
      </c>
      <c r="C5" s="11">
        <v>208000</v>
      </c>
      <c r="D5" s="16">
        <v>0</v>
      </c>
      <c r="E5" s="249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71.25" customHeight="1" x14ac:dyDescent="0.2">
      <c r="A6" s="9"/>
      <c r="B6" s="278" t="s">
        <v>392</v>
      </c>
      <c r="C6" s="11">
        <v>500000</v>
      </c>
      <c r="D6" s="16">
        <v>0</v>
      </c>
      <c r="E6" s="35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71.25" customHeight="1" x14ac:dyDescent="0.2">
      <c r="A7" s="9"/>
      <c r="B7" s="263" t="s">
        <v>395</v>
      </c>
      <c r="C7" s="11">
        <v>67670</v>
      </c>
      <c r="D7" s="16">
        <v>67670</v>
      </c>
      <c r="E7" s="250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10000</v>
      </c>
      <c r="E8" s="35">
        <v>3</v>
      </c>
      <c r="F8" s="17"/>
      <c r="G8" s="18"/>
      <c r="H8" s="9"/>
      <c r="I8" s="9"/>
      <c r="J8" s="251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13</v>
      </c>
      <c r="C9" s="11">
        <v>23000</v>
      </c>
      <c r="D9" s="16">
        <v>23000</v>
      </c>
      <c r="E9" s="250">
        <v>3</v>
      </c>
      <c r="F9" s="17">
        <f>SUM(D4:D9)</f>
        <v>100670</v>
      </c>
      <c r="G9" s="25" t="s">
        <v>14</v>
      </c>
      <c r="H9" s="9"/>
      <c r="I9" s="9"/>
      <c r="J9" s="251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75" t="s">
        <v>15</v>
      </c>
      <c r="C10" s="11">
        <v>140000</v>
      </c>
      <c r="D10" s="11">
        <v>140000</v>
      </c>
      <c r="E10" s="35">
        <v>3</v>
      </c>
      <c r="F10" s="27"/>
      <c r="G10" s="28"/>
      <c r="H10" s="9"/>
      <c r="I10" s="9"/>
      <c r="J10" s="251" t="s">
        <v>8</v>
      </c>
      <c r="K10" s="9"/>
      <c r="L10" s="9"/>
      <c r="M10" s="9"/>
      <c r="N10" s="9"/>
    </row>
    <row r="11" spans="1:14" ht="12.75" customHeight="1" x14ac:dyDescent="0.2">
      <c r="A11" s="9"/>
      <c r="B11" s="274" t="s">
        <v>16</v>
      </c>
      <c r="C11" s="11">
        <v>60000</v>
      </c>
      <c r="D11" s="11">
        <v>60000</v>
      </c>
      <c r="E11" s="250">
        <v>3</v>
      </c>
      <c r="F11" s="27"/>
      <c r="G11" s="28"/>
      <c r="H11" s="9"/>
      <c r="I11" s="9"/>
      <c r="J11" s="251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70000</v>
      </c>
      <c r="E12" s="35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20</v>
      </c>
      <c r="C13" s="11">
        <v>35000</v>
      </c>
      <c r="D13" s="29">
        <v>35000</v>
      </c>
      <c r="E13" s="35">
        <v>2</v>
      </c>
      <c r="F13" s="27">
        <f>SUM(D10:D13)</f>
        <v>305000</v>
      </c>
      <c r="G13" s="30" t="s">
        <v>21</v>
      </c>
      <c r="H13" s="31">
        <f>SUM(F9,F13)</f>
        <v>405670</v>
      </c>
      <c r="I13" s="25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35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267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267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267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267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268"/>
      <c r="C25" s="11"/>
      <c r="D25" s="11"/>
      <c r="E25" s="35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268"/>
      <c r="C26" s="11"/>
      <c r="D26" s="11"/>
      <c r="E26" s="35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268"/>
      <c r="C27" s="37"/>
      <c r="D27" s="37"/>
      <c r="E27" s="35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269"/>
      <c r="C28" s="39"/>
      <c r="D28" s="40">
        <f>SUM(D3:D27)</f>
        <v>405670</v>
      </c>
      <c r="E28" s="4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270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271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271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271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271">
        <v>100000</v>
      </c>
      <c r="C33" s="3"/>
      <c r="D33" s="3"/>
      <c r="E33" s="55"/>
      <c r="F33" s="56"/>
      <c r="G33" s="57">
        <v>1500000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271">
        <v>0</v>
      </c>
      <c r="C34" s="3"/>
      <c r="D34" s="122" t="s">
        <v>245</v>
      </c>
      <c r="E34" s="55"/>
      <c r="F34" s="53"/>
      <c r="G34" s="60">
        <v>4200000</v>
      </c>
      <c r="H34" s="61" t="s">
        <v>38</v>
      </c>
      <c r="I34" s="245" t="s">
        <v>398</v>
      </c>
      <c r="J34" s="203"/>
    </row>
    <row r="35" spans="1:12" ht="14.25" customHeight="1" thickTop="1" thickBot="1" x14ac:dyDescent="0.25">
      <c r="A35" s="48" t="s">
        <v>40</v>
      </c>
      <c r="B35" s="271">
        <v>120000</v>
      </c>
      <c r="C35" s="3"/>
      <c r="D35" s="3"/>
      <c r="E35" s="3"/>
      <c r="F35" s="63" t="s">
        <v>41</v>
      </c>
      <c r="G35" s="64">
        <f>G33+G34</f>
        <v>5700000</v>
      </c>
      <c r="H35" s="65" t="s">
        <v>42</v>
      </c>
      <c r="I35" s="3"/>
    </row>
    <row r="36" spans="1:12" ht="13.5" customHeight="1" thickTop="1" x14ac:dyDescent="0.15">
      <c r="A36" s="66" t="s">
        <v>43</v>
      </c>
      <c r="B36" s="271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405670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253"/>
      <c r="D44" s="253"/>
      <c r="E44" s="3"/>
      <c r="F44" s="42"/>
      <c r="G44" s="191">
        <v>1000000</v>
      </c>
      <c r="H44" s="61" t="s">
        <v>55</v>
      </c>
      <c r="I44" s="122"/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1230000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64">
        <v>500000</v>
      </c>
      <c r="H46" s="61" t="s">
        <v>62</v>
      </c>
      <c r="I46" s="72">
        <v>0</v>
      </c>
      <c r="J46" s="254" t="s">
        <v>63</v>
      </c>
      <c r="K46" s="72">
        <f>I46+G46</f>
        <v>500000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212"/>
      <c r="J47" s="173" t="s">
        <v>67</v>
      </c>
      <c r="K47" s="212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3635670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2064330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6" t="s">
        <v>75</v>
      </c>
      <c r="E50" s="356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35" t="s">
        <v>78</v>
      </c>
      <c r="F51" s="245" t="s">
        <v>398</v>
      </c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300000</v>
      </c>
      <c r="E52" s="255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C53*30000</f>
        <v>930000</v>
      </c>
      <c r="E53" s="35" t="s">
        <v>81</v>
      </c>
      <c r="F53" s="3"/>
      <c r="G53" s="3"/>
      <c r="H53" s="3"/>
      <c r="I53" s="3"/>
      <c r="L53" s="186"/>
    </row>
    <row r="54" spans="1:14" ht="12.75" customHeight="1" x14ac:dyDescent="0.2">
      <c r="A54" s="3"/>
      <c r="B54" s="3"/>
      <c r="C54" s="3"/>
      <c r="D54" s="78">
        <v>0</v>
      </c>
      <c r="E54" s="35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1230000</v>
      </c>
      <c r="E55" s="35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126" t="s">
        <v>105</v>
      </c>
      <c r="M57" s="12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200000</v>
      </c>
      <c r="I58" s="3"/>
      <c r="K58" s="256" t="s">
        <v>106</v>
      </c>
      <c r="L58" s="78">
        <v>0</v>
      </c>
      <c r="M58" s="78"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8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257" t="s">
        <v>108</v>
      </c>
      <c r="L61" s="118">
        <v>0</v>
      </c>
      <c r="M61" s="118">
        <v>0</v>
      </c>
      <c r="N61" s="18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0</v>
      </c>
      <c r="I62" s="3"/>
      <c r="K62" s="256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258" t="s">
        <v>243</v>
      </c>
      <c r="H64" s="197">
        <f>SUM(H59:H63)</f>
        <v>180000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A97C-5199-45A7-99D7-628D7D5C0DA0}">
  <sheetPr>
    <tabColor rgb="FF0070C0"/>
  </sheetPr>
  <dimension ref="A1:N258"/>
  <sheetViews>
    <sheetView topLeftCell="A16" zoomScaleNormal="100" workbookViewId="0">
      <selection activeCell="G35" sqref="G35"/>
    </sheetView>
  </sheetViews>
  <sheetFormatPr defaultColWidth="16" defaultRowHeight="15" customHeight="1" x14ac:dyDescent="0.15"/>
  <cols>
    <col min="1" max="1" width="18.6640625" style="1" customWidth="1"/>
    <col min="2" max="2" width="49.16406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265"/>
      <c r="C2" s="6" t="s">
        <v>1</v>
      </c>
      <c r="D2" s="35" t="s">
        <v>2</v>
      </c>
      <c r="E2" s="6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6" t="s">
        <v>5</v>
      </c>
      <c r="C3" s="11">
        <v>180000</v>
      </c>
      <c r="D3" s="11">
        <v>0</v>
      </c>
      <c r="E3" s="35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61.5" customHeight="1" x14ac:dyDescent="0.2">
      <c r="A4" s="9"/>
      <c r="B4" s="261" t="s">
        <v>394</v>
      </c>
      <c r="C4" s="11">
        <v>68000</v>
      </c>
      <c r="D4" s="16">
        <v>0</v>
      </c>
      <c r="E4" s="35">
        <v>3</v>
      </c>
      <c r="F4" s="17"/>
      <c r="G4" s="18"/>
      <c r="H4" s="9"/>
      <c r="I4" s="9"/>
      <c r="J4" s="248" t="s">
        <v>8</v>
      </c>
      <c r="K4" s="9"/>
      <c r="L4" s="9"/>
      <c r="M4" s="9"/>
      <c r="N4" s="9"/>
    </row>
    <row r="5" spans="1:14" ht="86.25" customHeight="1" x14ac:dyDescent="0.2">
      <c r="A5" s="9"/>
      <c r="B5" s="261" t="s">
        <v>379</v>
      </c>
      <c r="C5" s="11">
        <v>208000</v>
      </c>
      <c r="D5" s="16">
        <v>0</v>
      </c>
      <c r="E5" s="249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9.25" customHeight="1" x14ac:dyDescent="0.2">
      <c r="A6" s="9"/>
      <c r="B6" s="278" t="s">
        <v>392</v>
      </c>
      <c r="C6" s="11">
        <v>500000</v>
      </c>
      <c r="D6" s="16">
        <v>0</v>
      </c>
      <c r="E6" s="35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66.75" customHeight="1" x14ac:dyDescent="0.2">
      <c r="A7" s="9"/>
      <c r="B7" s="263" t="s">
        <v>395</v>
      </c>
      <c r="C7" s="11">
        <v>67670</v>
      </c>
      <c r="D7" s="16">
        <v>67670</v>
      </c>
      <c r="E7" s="250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10000</v>
      </c>
      <c r="E8" s="35">
        <v>3</v>
      </c>
      <c r="F8" s="17"/>
      <c r="G8" s="18"/>
      <c r="H8" s="9"/>
      <c r="I8" s="9"/>
      <c r="J8" s="251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13</v>
      </c>
      <c r="C9" s="11">
        <v>23000</v>
      </c>
      <c r="D9" s="16">
        <v>23000</v>
      </c>
      <c r="E9" s="250">
        <v>3</v>
      </c>
      <c r="F9" s="17">
        <f>SUM(D4:D9)</f>
        <v>100670</v>
      </c>
      <c r="G9" s="25" t="s">
        <v>14</v>
      </c>
      <c r="H9" s="9"/>
      <c r="I9" s="9"/>
      <c r="J9" s="251" t="s">
        <v>8</v>
      </c>
      <c r="K9" s="9"/>
      <c r="L9" s="9"/>
      <c r="M9" s="9"/>
      <c r="N9" s="9"/>
    </row>
    <row r="10" spans="1:14" ht="12.75" customHeight="1" x14ac:dyDescent="0.2">
      <c r="A10" s="26" t="str">
        <f>HYPERLINK("http://www.eapat.co.kr/","www.eapat.co.kr")</f>
        <v>www.eapat.co.kr</v>
      </c>
      <c r="B10" s="275" t="s">
        <v>15</v>
      </c>
      <c r="C10" s="11">
        <v>140000</v>
      </c>
      <c r="D10" s="11">
        <v>140000</v>
      </c>
      <c r="E10" s="35">
        <v>3</v>
      </c>
      <c r="F10" s="27"/>
      <c r="G10" s="28"/>
      <c r="H10" s="9"/>
      <c r="I10" s="9"/>
      <c r="J10" s="251" t="s">
        <v>8</v>
      </c>
      <c r="K10" s="9"/>
      <c r="L10" s="9"/>
      <c r="M10" s="9"/>
      <c r="N10" s="9"/>
    </row>
    <row r="11" spans="1:14" ht="12.75" customHeight="1" x14ac:dyDescent="0.2">
      <c r="A11" s="9"/>
      <c r="B11" s="274" t="s">
        <v>16</v>
      </c>
      <c r="C11" s="11">
        <v>60000</v>
      </c>
      <c r="D11" s="11">
        <v>60000</v>
      </c>
      <c r="E11" s="250">
        <v>3</v>
      </c>
      <c r="F11" s="27"/>
      <c r="G11" s="28"/>
      <c r="H11" s="9"/>
      <c r="I11" s="9"/>
      <c r="J11" s="251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70000</v>
      </c>
      <c r="E12" s="35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20</v>
      </c>
      <c r="C13" s="11">
        <v>35000</v>
      </c>
      <c r="D13" s="29">
        <v>35000</v>
      </c>
      <c r="E13" s="35">
        <v>2</v>
      </c>
      <c r="F13" s="27">
        <f>SUM(D10:D13)</f>
        <v>305000</v>
      </c>
      <c r="G13" s="30" t="s">
        <v>21</v>
      </c>
      <c r="H13" s="31">
        <f>SUM(F9,F13)</f>
        <v>405670</v>
      </c>
      <c r="I13" s="25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35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267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267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267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267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268"/>
      <c r="C25" s="11"/>
      <c r="D25" s="11"/>
      <c r="E25" s="35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268"/>
      <c r="C26" s="11"/>
      <c r="D26" s="11"/>
      <c r="E26" s="35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268"/>
      <c r="C27" s="37"/>
      <c r="D27" s="37"/>
      <c r="E27" s="35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269"/>
      <c r="C28" s="39"/>
      <c r="D28" s="40">
        <f>SUM(D3:D27)</f>
        <v>405670</v>
      </c>
      <c r="E28" s="4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270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271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271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271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271">
        <v>100000</v>
      </c>
      <c r="C33" s="3"/>
      <c r="D33" s="3"/>
      <c r="E33" s="55"/>
      <c r="F33" s="56"/>
      <c r="G33" s="57">
        <v>1500000</v>
      </c>
      <c r="H33" s="58" t="s">
        <v>35</v>
      </c>
      <c r="I33" s="59"/>
      <c r="J33" s="245"/>
    </row>
    <row r="34" spans="1:12" ht="14.25" customHeight="1" thickTop="1" thickBot="1" x14ac:dyDescent="0.25">
      <c r="A34" s="48" t="s">
        <v>37</v>
      </c>
      <c r="B34" s="271">
        <v>0</v>
      </c>
      <c r="C34" s="3"/>
      <c r="D34" s="122" t="s">
        <v>245</v>
      </c>
      <c r="E34" s="55"/>
      <c r="F34" s="53"/>
      <c r="G34" s="60">
        <v>3000000</v>
      </c>
      <c r="H34" s="61" t="s">
        <v>38</v>
      </c>
      <c r="I34" s="203"/>
      <c r="J34" s="122"/>
    </row>
    <row r="35" spans="1:12" ht="14.25" customHeight="1" thickTop="1" thickBot="1" x14ac:dyDescent="0.25">
      <c r="A35" s="48" t="s">
        <v>40</v>
      </c>
      <c r="B35" s="271">
        <v>120000</v>
      </c>
      <c r="C35" s="3"/>
      <c r="D35" s="3"/>
      <c r="E35" s="3"/>
      <c r="F35" s="63" t="s">
        <v>41</v>
      </c>
      <c r="G35" s="64">
        <f>G33+G34</f>
        <v>4500000</v>
      </c>
      <c r="H35" s="65" t="s">
        <v>42</v>
      </c>
      <c r="I35" s="3"/>
    </row>
    <row r="36" spans="1:12" ht="13.5" customHeight="1" thickTop="1" x14ac:dyDescent="0.15">
      <c r="A36" s="66" t="s">
        <v>43</v>
      </c>
      <c r="B36" s="271">
        <v>0</v>
      </c>
      <c r="C36" s="3"/>
      <c r="D36" s="3"/>
      <c r="E36" s="3"/>
      <c r="F36" s="3"/>
      <c r="G36" s="42">
        <v>0</v>
      </c>
      <c r="H36" s="47" t="s">
        <v>44</v>
      </c>
      <c r="I36" s="3"/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405670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253"/>
      <c r="D44" s="253"/>
      <c r="E44" s="3"/>
      <c r="F44" s="42"/>
      <c r="G44" s="191">
        <v>1000000</v>
      </c>
      <c r="H44" s="61" t="s">
        <v>55</v>
      </c>
      <c r="I44" s="122"/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920000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64">
        <v>0</v>
      </c>
      <c r="H46" s="61" t="s">
        <v>62</v>
      </c>
      <c r="I46" s="72">
        <v>0</v>
      </c>
      <c r="J46" s="254" t="s">
        <v>63</v>
      </c>
      <c r="K46" s="72">
        <f>I46+G46</f>
        <v>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212"/>
      <c r="J47" s="173" t="s">
        <v>67</v>
      </c>
      <c r="K47" s="212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2825670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1674330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6" t="s">
        <v>75</v>
      </c>
      <c r="E50" s="356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35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300000</v>
      </c>
      <c r="E52" s="255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C53*20000</f>
        <v>620000</v>
      </c>
      <c r="E53" s="35" t="s">
        <v>81</v>
      </c>
      <c r="F53" s="3"/>
      <c r="G53" s="3"/>
      <c r="H53" s="3"/>
      <c r="I53" s="3"/>
      <c r="L53" s="186"/>
    </row>
    <row r="54" spans="1:14" ht="12.75" customHeight="1" x14ac:dyDescent="0.2">
      <c r="A54" s="3"/>
      <c r="B54" s="3"/>
      <c r="C54" s="3"/>
      <c r="D54" s="78">
        <v>0</v>
      </c>
      <c r="E54" s="35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920000</v>
      </c>
      <c r="E55" s="35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126" t="s">
        <v>105</v>
      </c>
      <c r="M57" s="12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200000</v>
      </c>
      <c r="I58" s="3"/>
      <c r="K58" s="256" t="s">
        <v>106</v>
      </c>
      <c r="L58" s="78">
        <v>0</v>
      </c>
      <c r="M58" s="78"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8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257" t="s">
        <v>108</v>
      </c>
      <c r="L61" s="118">
        <v>0</v>
      </c>
      <c r="M61" s="118">
        <v>0</v>
      </c>
      <c r="N61" s="186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5" t="s">
        <v>259</v>
      </c>
      <c r="H62" s="197">
        <v>0</v>
      </c>
      <c r="I62" s="3"/>
      <c r="K62" s="256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180000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258" t="s">
        <v>243</v>
      </c>
      <c r="H64" s="197">
        <f>SUM(H59:H63)</f>
        <v>180000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20000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E66E5-75DA-4DE5-813A-4211ADB00E44}">
  <sheetPr>
    <tabColor theme="0" tint="-0.249977111117893"/>
  </sheetPr>
  <dimension ref="A1:N258"/>
  <sheetViews>
    <sheetView topLeftCell="F25" zoomScale="115" zoomScaleNormal="115" workbookViewId="0">
      <selection activeCell="G49" sqref="G49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4" t="s">
        <v>385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62.25" customHeight="1" x14ac:dyDescent="0.2">
      <c r="A4" s="9"/>
      <c r="B4" s="261" t="s">
        <v>394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69" customHeight="1" x14ac:dyDescent="0.2">
      <c r="A5" s="9"/>
      <c r="B5" s="261" t="s">
        <v>379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1" customHeight="1" x14ac:dyDescent="0.2">
      <c r="A6" s="9"/>
      <c r="B6" s="278" t="s">
        <v>392</v>
      </c>
      <c r="C6" s="11">
        <v>500000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66.75" customHeight="1" x14ac:dyDescent="0.2">
      <c r="A7" s="9"/>
      <c r="B7" s="263" t="s">
        <v>395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381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9" t="s">
        <v>386</v>
      </c>
      <c r="B10" s="275" t="s">
        <v>15</v>
      </c>
      <c r="C10" s="11">
        <v>140000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 t="s">
        <v>386</v>
      </c>
      <c r="B11" s="274" t="s">
        <v>16</v>
      </c>
      <c r="C11" s="11">
        <v>60000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G33-27000</f>
        <v>1703816</v>
      </c>
      <c r="G33" s="148">
        <v>1730816</v>
      </c>
      <c r="H33" s="58" t="s">
        <v>35</v>
      </c>
      <c r="I33" s="59"/>
      <c r="J33" s="245" t="s">
        <v>383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53"/>
      <c r="G34" s="60">
        <v>0</v>
      </c>
      <c r="H34" s="61" t="s">
        <v>38</v>
      </c>
      <c r="I34" s="260">
        <v>0</v>
      </c>
      <c r="J34" s="122" t="s">
        <v>384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1730816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388</v>
      </c>
      <c r="I36" s="3"/>
      <c r="L36" s="1" t="s">
        <v>380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178000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161000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364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52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100000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259"/>
      <c r="H46" s="61" t="s">
        <v>62</v>
      </c>
      <c r="I46" s="72">
        <v>0</v>
      </c>
      <c r="J46" s="71" t="s">
        <v>63</v>
      </c>
      <c r="K46" s="72">
        <f>I46+I34</f>
        <v>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439000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1291816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3" t="s">
        <v>399</v>
      </c>
      <c r="G51" s="3"/>
      <c r="H51" s="3"/>
      <c r="I51" s="3" t="s">
        <v>400</v>
      </c>
      <c r="L51" s="90"/>
      <c r="M51" s="90"/>
    </row>
    <row r="52" spans="1:14" ht="12.75" customHeight="1" x14ac:dyDescent="0.2">
      <c r="A52" s="3"/>
      <c r="B52" s="3"/>
      <c r="C52" s="3"/>
      <c r="D52" s="78">
        <f>70000+(80000*0)+(50000*0)</f>
        <v>70000</v>
      </c>
      <c r="E52" s="79" t="s">
        <v>80</v>
      </c>
      <c r="F52" s="47"/>
      <c r="G52" s="3"/>
      <c r="H52" s="3"/>
      <c r="I52" s="3" t="s">
        <v>401</v>
      </c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100000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228262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200000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200000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28262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55FB-196D-447C-95B6-E042AD0A46A5}">
  <sheetPr>
    <tabColor theme="0" tint="-0.249977111117893"/>
  </sheetPr>
  <dimension ref="A1:N258"/>
  <sheetViews>
    <sheetView topLeftCell="F25" zoomScale="115" zoomScaleNormal="115" workbookViewId="0">
      <selection activeCell="G49" sqref="G49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4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55.5" customHeight="1" x14ac:dyDescent="0.2">
      <c r="A4" s="9"/>
      <c r="B4" s="261" t="s">
        <v>394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69" customHeight="1" x14ac:dyDescent="0.2">
      <c r="A5" s="9"/>
      <c r="B5" s="261" t="s">
        <v>379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1" customHeight="1" x14ac:dyDescent="0.2">
      <c r="A6" s="9"/>
      <c r="B6" s="278" t="s">
        <v>392</v>
      </c>
      <c r="C6" s="11">
        <v>500000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61.5" customHeight="1" x14ac:dyDescent="0.2">
      <c r="A7" s="9"/>
      <c r="B7" s="263" t="s">
        <v>395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381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9" t="s">
        <v>386</v>
      </c>
      <c r="B10" s="275" t="s">
        <v>15</v>
      </c>
      <c r="C10" s="11">
        <v>140000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 t="s">
        <v>386</v>
      </c>
      <c r="B11" s="274" t="s">
        <v>16</v>
      </c>
      <c r="C11" s="11">
        <v>60000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G33-27000</f>
        <v>1458207</v>
      </c>
      <c r="G33" s="148">
        <v>1485207</v>
      </c>
      <c r="H33" s="58" t="s">
        <v>35</v>
      </c>
      <c r="I33" s="59"/>
      <c r="J33" s="245" t="s">
        <v>383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276" t="s">
        <v>387</v>
      </c>
      <c r="G34" s="60">
        <f>0</f>
        <v>0</v>
      </c>
      <c r="H34" s="61" t="s">
        <v>38</v>
      </c>
      <c r="I34" s="260">
        <v>7467550</v>
      </c>
      <c r="J34" s="122" t="s">
        <v>384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1485207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388</v>
      </c>
      <c r="I36" s="3"/>
      <c r="L36" s="1" t="s">
        <v>380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0</v>
      </c>
      <c r="H38" s="47" t="s">
        <v>46</v>
      </c>
      <c r="I38" s="3"/>
    </row>
    <row r="39" spans="1:12" ht="12.75" customHeight="1" x14ac:dyDescent="0.15">
      <c r="A39" s="47"/>
      <c r="B39" s="69"/>
      <c r="C39" s="3"/>
      <c r="D39" s="3"/>
      <c r="E39" s="3"/>
      <c r="F39" s="3"/>
      <c r="G39" s="42">
        <v>0</v>
      </c>
      <c r="H39" s="47" t="s">
        <v>391</v>
      </c>
      <c r="I39" s="38"/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404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64">
        <v>0</v>
      </c>
      <c r="H46" s="61" t="s">
        <v>62</v>
      </c>
      <c r="I46" s="72">
        <v>2000000</v>
      </c>
      <c r="J46" s="71" t="s">
        <v>63</v>
      </c>
      <c r="K46" s="72">
        <f>I46+G46</f>
        <v>2000000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1485207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0+(80000*0)+(50000*0)</f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254202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239780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239780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14422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A0AC-42A7-9A4D-BE0E-FDD1749618C8}">
  <sheetPr>
    <tabColor rgb="FF00B050"/>
  </sheetPr>
  <dimension ref="A1:N258"/>
  <sheetViews>
    <sheetView topLeftCell="A29" zoomScale="115" zoomScaleNormal="115" workbookViewId="0">
      <selection activeCell="G34" sqref="G34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4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75.75" customHeight="1" x14ac:dyDescent="0.2">
      <c r="A4" s="9"/>
      <c r="B4" s="261" t="s">
        <v>394</v>
      </c>
      <c r="C4" s="11">
        <v>68000</v>
      </c>
      <c r="D4" s="16">
        <v>68000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77.25" customHeight="1" x14ac:dyDescent="0.2">
      <c r="A5" s="9"/>
      <c r="B5" s="261" t="s">
        <v>379</v>
      </c>
      <c r="C5" s="11">
        <v>208000</v>
      </c>
      <c r="D5" s="16">
        <v>208000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1" customHeight="1" x14ac:dyDescent="0.2">
      <c r="A6" s="9"/>
      <c r="B6" s="278" t="s">
        <v>392</v>
      </c>
      <c r="C6" s="11">
        <v>500000</v>
      </c>
      <c r="D6" s="16">
        <v>500000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74.25" customHeight="1" x14ac:dyDescent="0.2">
      <c r="A7" s="9"/>
      <c r="B7" s="263" t="s">
        <v>395</v>
      </c>
      <c r="C7" s="11">
        <v>67670</v>
      </c>
      <c r="D7" s="16">
        <v>67670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10000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381</v>
      </c>
      <c r="C9" s="11">
        <v>23000</v>
      </c>
      <c r="D9" s="16">
        <v>23000</v>
      </c>
      <c r="E9" s="23">
        <v>3</v>
      </c>
      <c r="F9" s="17">
        <f>SUM(D4:D9)</f>
        <v>876670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9" t="s">
        <v>386</v>
      </c>
      <c r="B10" s="275" t="s">
        <v>15</v>
      </c>
      <c r="C10" s="11">
        <v>140000</v>
      </c>
      <c r="D10" s="11">
        <v>140000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 t="s">
        <v>386</v>
      </c>
      <c r="B11" s="274" t="s">
        <v>16</v>
      </c>
      <c r="C11" s="11">
        <v>60000</v>
      </c>
      <c r="D11" s="11">
        <v>60000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70000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376</v>
      </c>
      <c r="C13" s="11">
        <v>35000</v>
      </c>
      <c r="D13" s="29">
        <v>35000</v>
      </c>
      <c r="E13" s="7">
        <v>2</v>
      </c>
      <c r="F13" s="27">
        <f>SUM(D10:D13)</f>
        <v>305000</v>
      </c>
      <c r="G13" s="30" t="s">
        <v>21</v>
      </c>
      <c r="H13" s="31">
        <f>SUM(F9,F13)</f>
        <v>1181670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1181670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G33-27000</f>
        <v>973000</v>
      </c>
      <c r="G33" s="148">
        <v>1000000</v>
      </c>
      <c r="H33" s="58" t="s">
        <v>35</v>
      </c>
      <c r="I33" s="59"/>
      <c r="J33" s="245" t="s">
        <v>383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53"/>
      <c r="G34" s="60">
        <v>6000000</v>
      </c>
      <c r="H34" s="61" t="s">
        <v>38</v>
      </c>
      <c r="I34" s="260"/>
      <c r="J34" s="122" t="s">
        <v>384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7000000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388</v>
      </c>
      <c r="I36" s="3"/>
      <c r="L36" s="1" t="s">
        <v>380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200000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190000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/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300000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200000</v>
      </c>
      <c r="H41" s="47" t="s">
        <v>307</v>
      </c>
      <c r="I41" s="3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405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1181670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1000000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1140000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272">
        <v>1000000</v>
      </c>
      <c r="H46" s="61" t="s">
        <v>62</v>
      </c>
      <c r="I46" s="72">
        <v>0</v>
      </c>
      <c r="J46" s="71" t="s">
        <v>63</v>
      </c>
      <c r="K46" s="72">
        <f>I46+G46</f>
        <v>1000000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5211670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1788330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f>50000+(80000*2)</f>
        <v>210000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31</v>
      </c>
      <c r="D53" s="78">
        <f>C53*30000</f>
        <v>930000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1140000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0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239780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239780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-239780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87D2-9584-4290-8B24-07078DD444D9}">
  <sheetPr>
    <tabColor theme="0" tint="-0.249977111117893"/>
  </sheetPr>
  <dimension ref="A1:N258"/>
  <sheetViews>
    <sheetView topLeftCell="A35" zoomScale="115" zoomScaleNormal="115" workbookViewId="0">
      <selection activeCell="G33" sqref="G3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12.75" customHeight="1" x14ac:dyDescent="0.2">
      <c r="A3" s="9" t="s">
        <v>4</v>
      </c>
      <c r="B3" s="264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</row>
    <row r="4" spans="1:14" ht="63.75" customHeight="1" x14ac:dyDescent="0.2">
      <c r="A4" s="9"/>
      <c r="B4" s="261" t="s">
        <v>394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</row>
    <row r="5" spans="1:14" ht="80.25" customHeight="1" x14ac:dyDescent="0.2">
      <c r="A5" s="9"/>
      <c r="B5" s="261" t="s">
        <v>379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51" customHeight="1" x14ac:dyDescent="0.2">
      <c r="A6" s="9"/>
      <c r="B6" s="278" t="s">
        <v>392</v>
      </c>
      <c r="C6" s="11">
        <v>500000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</row>
    <row r="7" spans="1:14" ht="70.5" customHeight="1" x14ac:dyDescent="0.2">
      <c r="A7" s="9"/>
      <c r="B7" s="263" t="s">
        <v>395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</row>
    <row r="8" spans="1:14" ht="14.25" customHeight="1" x14ac:dyDescent="0.2">
      <c r="A8" s="9"/>
      <c r="B8" s="262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</row>
    <row r="9" spans="1:14" ht="12.75" customHeight="1" x14ac:dyDescent="0.2">
      <c r="A9" s="9"/>
      <c r="B9" s="262" t="s">
        <v>381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</row>
    <row r="10" spans="1:14" ht="12.75" customHeight="1" x14ac:dyDescent="0.2">
      <c r="A10" s="9" t="s">
        <v>386</v>
      </c>
      <c r="B10" s="275" t="s">
        <v>15</v>
      </c>
      <c r="C10" s="11">
        <v>140000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</row>
    <row r="11" spans="1:14" ht="12.75" customHeight="1" x14ac:dyDescent="0.2">
      <c r="A11" s="9" t="s">
        <v>386</v>
      </c>
      <c r="B11" s="274" t="s">
        <v>16</v>
      </c>
      <c r="C11" s="11">
        <v>60000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</row>
    <row r="12" spans="1:14" ht="12.75" customHeight="1" x14ac:dyDescent="0.2">
      <c r="A12" s="9"/>
      <c r="B12" s="262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</row>
    <row r="13" spans="1:14" ht="12.75" customHeight="1" x14ac:dyDescent="0.2">
      <c r="A13" s="9"/>
      <c r="B13" s="262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</row>
    <row r="14" spans="1:14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</row>
    <row r="16" spans="1:14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</row>
    <row r="26" spans="1:14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</row>
    <row r="27" spans="1:14" ht="12.75" customHeight="1" x14ac:dyDescent="0.15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</row>
    <row r="28" spans="1:14" ht="12.75" customHeight="1" x14ac:dyDescent="0.2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</row>
    <row r="29" spans="1:14" ht="16.5" customHeight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</row>
    <row r="30" spans="1:14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</row>
    <row r="31" spans="1:14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/>
      <c r="I31" s="3"/>
    </row>
    <row r="32" spans="1:14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"/>
      <c r="I32" s="3"/>
    </row>
    <row r="33" spans="1:12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>
        <f>G33-27000</f>
        <v>1175977</v>
      </c>
      <c r="G33" s="148">
        <v>1202977</v>
      </c>
      <c r="H33" s="58" t="s">
        <v>35</v>
      </c>
      <c r="I33" s="59"/>
      <c r="J33" s="245" t="s">
        <v>383</v>
      </c>
    </row>
    <row r="34" spans="1:12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53"/>
      <c r="G34" s="60">
        <v>0</v>
      </c>
      <c r="H34" s="61" t="s">
        <v>38</v>
      </c>
      <c r="I34" s="260" t="s">
        <v>402</v>
      </c>
      <c r="J34" s="122" t="s">
        <v>384</v>
      </c>
    </row>
    <row r="35" spans="1:12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 t="s">
        <v>41</v>
      </c>
      <c r="G35" s="64">
        <f>G33+G34</f>
        <v>1202977</v>
      </c>
      <c r="H35" s="65" t="s">
        <v>42</v>
      </c>
      <c r="I35" s="3"/>
    </row>
    <row r="36" spans="1:12" ht="13.5" customHeight="1" thickTop="1" x14ac:dyDescent="0.2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388</v>
      </c>
      <c r="I36" s="3"/>
      <c r="L36" s="1" t="s">
        <v>380</v>
      </c>
    </row>
    <row r="37" spans="1:12" ht="12.75" customHeight="1" x14ac:dyDescent="0.2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178000</v>
      </c>
      <c r="H37" s="47" t="s">
        <v>45</v>
      </c>
      <c r="I37" s="3"/>
    </row>
    <row r="38" spans="1:12" ht="12.75" customHeight="1" x14ac:dyDescent="0.15">
      <c r="A38" s="47"/>
      <c r="B38" s="69"/>
      <c r="C38" s="3"/>
      <c r="D38" s="3"/>
      <c r="E38" s="3"/>
      <c r="F38" s="3"/>
      <c r="G38" s="42">
        <v>161000</v>
      </c>
      <c r="H38" s="47" t="s">
        <v>46</v>
      </c>
      <c r="I38" s="3"/>
    </row>
    <row r="39" spans="1:12" ht="12.75" customHeight="1" x14ac:dyDescent="0.2">
      <c r="A39" s="47"/>
      <c r="B39" s="69"/>
      <c r="C39" s="3"/>
      <c r="D39" s="3"/>
      <c r="E39" s="3"/>
      <c r="F39" s="3"/>
      <c r="G39" s="47">
        <v>0</v>
      </c>
      <c r="H39" s="47" t="s">
        <v>47</v>
      </c>
      <c r="I39" s="38" t="s">
        <v>90</v>
      </c>
    </row>
    <row r="40" spans="1:12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</row>
    <row r="41" spans="1:12" ht="12.75" customHeight="1" x14ac:dyDescent="0.15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  <c r="J41" s="47"/>
      <c r="K41" s="38"/>
    </row>
    <row r="42" spans="1:12" ht="13.5" customHeight="1" thickBot="1" x14ac:dyDescent="0.2">
      <c r="A42" s="216"/>
      <c r="B42" s="216"/>
      <c r="C42" s="3"/>
      <c r="D42" s="3"/>
      <c r="E42" s="42"/>
      <c r="F42" s="3"/>
      <c r="G42" s="42">
        <v>0</v>
      </c>
      <c r="H42" s="47" t="s">
        <v>406</v>
      </c>
      <c r="I42" s="3"/>
    </row>
    <row r="43" spans="1:12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</row>
    <row r="44" spans="1:12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</row>
    <row r="45" spans="1:12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30000</v>
      </c>
      <c r="H45" s="58" t="s">
        <v>58</v>
      </c>
      <c r="I45" s="42"/>
      <c r="J45" s="47"/>
    </row>
    <row r="46" spans="1:12" ht="14.25" customHeight="1" thickTop="1" thickBot="1" x14ac:dyDescent="0.25">
      <c r="A46" s="47"/>
      <c r="B46" s="59"/>
      <c r="C46" s="3"/>
      <c r="D46" s="3"/>
      <c r="E46" s="3"/>
      <c r="F46" s="3"/>
      <c r="G46" s="272">
        <v>0</v>
      </c>
      <c r="H46" s="61" t="s">
        <v>62</v>
      </c>
      <c r="I46" s="72">
        <v>1000000</v>
      </c>
      <c r="J46" s="71" t="s">
        <v>63</v>
      </c>
      <c r="K46" s="72">
        <f>I46+G46</f>
        <v>1000000</v>
      </c>
    </row>
    <row r="47" spans="1:12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73"/>
      <c r="J47" s="74" t="s">
        <v>67</v>
      </c>
      <c r="K47" s="73">
        <f>SUM(L48,L49)</f>
        <v>0</v>
      </c>
    </row>
    <row r="48" spans="1:12" ht="14.25" customHeight="1" thickTop="1" thickBot="1" x14ac:dyDescent="0.25">
      <c r="A48" s="47"/>
      <c r="B48" s="59"/>
      <c r="C48" s="3"/>
      <c r="D48" s="3"/>
      <c r="E48" s="3"/>
      <c r="F48" s="63" t="s">
        <v>70</v>
      </c>
      <c r="G48" s="64">
        <f>SUM(G36:G47)</f>
        <v>369000</v>
      </c>
      <c r="H48" s="58" t="s">
        <v>71</v>
      </c>
      <c r="I48" s="63"/>
      <c r="J48" s="42"/>
      <c r="K48" s="169"/>
      <c r="L48" s="120"/>
    </row>
    <row r="49" spans="1:14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833977</v>
      </c>
      <c r="H49" s="61" t="s">
        <v>73</v>
      </c>
      <c r="I49" s="76"/>
      <c r="J49" s="121"/>
      <c r="K49" s="47"/>
      <c r="L49" s="75"/>
      <c r="M49" s="104"/>
      <c r="N49" s="122"/>
    </row>
    <row r="50" spans="1:14" ht="13.5" customHeight="1" thickTop="1" x14ac:dyDescent="0.2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M50" s="104"/>
    </row>
    <row r="51" spans="1:14" ht="12.75" customHeight="1" x14ac:dyDescent="0.2">
      <c r="A51" s="47"/>
      <c r="B51" s="3"/>
      <c r="C51" s="3"/>
      <c r="D51" s="78">
        <v>0</v>
      </c>
      <c r="E51" s="7" t="s">
        <v>78</v>
      </c>
      <c r="F51" s="47"/>
      <c r="G51" s="3"/>
      <c r="H51" s="273"/>
      <c r="I51" s="3"/>
      <c r="L51" s="90"/>
      <c r="M51" s="90"/>
    </row>
    <row r="52" spans="1:14" ht="12.75" customHeight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104"/>
    </row>
    <row r="53" spans="1:14" ht="15.75" customHeight="1" x14ac:dyDescent="0.25">
      <c r="A53" s="3"/>
      <c r="B53" s="80"/>
      <c r="C53" s="81">
        <v>1</v>
      </c>
      <c r="D53" s="78">
        <f>C53*30000</f>
        <v>30000</v>
      </c>
      <c r="E53" s="7" t="s">
        <v>81</v>
      </c>
      <c r="F53" s="3"/>
      <c r="G53" s="3"/>
      <c r="H53" s="3"/>
      <c r="I53" s="3"/>
      <c r="L53" s="106"/>
    </row>
    <row r="54" spans="1:14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</row>
    <row r="55" spans="1:14" ht="12.75" customHeight="1" x14ac:dyDescent="0.2">
      <c r="A55" s="3"/>
      <c r="B55" s="3"/>
      <c r="C55" s="3"/>
      <c r="D55" s="78">
        <f>SUM(D51:D54)</f>
        <v>30000</v>
      </c>
      <c r="E55" s="7" t="s">
        <v>42</v>
      </c>
      <c r="F55" s="3"/>
      <c r="G55" s="3"/>
      <c r="H55" s="3"/>
      <c r="I55" s="3"/>
    </row>
    <row r="56" spans="1:14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</row>
    <row r="57" spans="1:14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</row>
    <row r="58" spans="1:14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42691</v>
      </c>
      <c r="I58" s="3"/>
      <c r="K58" s="98" t="s">
        <v>106</v>
      </c>
      <c r="L58" s="78">
        <v>0</v>
      </c>
      <c r="M58" s="78">
        <f>L58</f>
        <v>0</v>
      </c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106"/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</row>
    <row r="61" spans="1:14" ht="12.75" customHeight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106"/>
    </row>
    <row r="62" spans="1:14" ht="12.75" customHeight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</row>
    <row r="63" spans="1:14" ht="12.75" customHeight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</row>
    <row r="64" spans="1:14" ht="12.75" customHeight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0</v>
      </c>
      <c r="I64" s="3"/>
    </row>
    <row r="65" spans="1:9" ht="12.75" customHeight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42691</v>
      </c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1">
    <mergeCell ref="D50:E50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E6A07-0439-44CE-BD0D-594DC3C11FA4}">
  <sheetPr>
    <tabColor theme="0" tint="-0.34998626667073579"/>
  </sheetPr>
  <dimension ref="A1:W258"/>
  <sheetViews>
    <sheetView topLeftCell="A27" zoomScale="130" zoomScaleNormal="130" workbookViewId="0">
      <selection activeCell="G33" sqref="G3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4.6640625" style="1" customWidth="1"/>
    <col min="15" max="15" width="18.6640625" style="1" bestFit="1" customWidth="1"/>
    <col min="16" max="16" width="31" style="280" customWidth="1"/>
    <col min="17" max="17" width="32.33203125" style="235" customWidth="1"/>
    <col min="18" max="18" width="19" style="304" customWidth="1"/>
    <col min="19" max="19" width="16" style="304"/>
    <col min="20" max="20" width="16.83203125" style="308" bestFit="1" customWidth="1"/>
    <col min="21" max="21" width="16" style="1"/>
    <col min="22" max="22" width="16" style="235"/>
    <col min="23" max="16384" width="16" style="1"/>
  </cols>
  <sheetData>
    <row r="1" spans="1:16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6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  <c r="O2" s="9"/>
      <c r="P2" s="282"/>
    </row>
    <row r="3" spans="1:16" ht="12.75" customHeight="1" x14ac:dyDescent="0.2">
      <c r="A3" s="9" t="s">
        <v>4</v>
      </c>
      <c r="B3" s="264" t="s">
        <v>5</v>
      </c>
      <c r="C3" s="11">
        <v>180000</v>
      </c>
      <c r="D3" s="11">
        <v>0</v>
      </c>
      <c r="E3" s="7">
        <v>1</v>
      </c>
      <c r="F3" s="12"/>
      <c r="G3" s="13"/>
      <c r="H3" s="14"/>
      <c r="I3" s="9"/>
      <c r="J3" s="15" t="s">
        <v>6</v>
      </c>
      <c r="K3" s="9"/>
      <c r="L3" s="9"/>
      <c r="M3" s="9"/>
      <c r="N3" s="9"/>
      <c r="O3" s="9"/>
      <c r="P3" s="282"/>
    </row>
    <row r="4" spans="1:16" ht="61.5" customHeight="1" x14ac:dyDescent="0.2">
      <c r="A4" s="9"/>
      <c r="B4" s="261" t="s">
        <v>394</v>
      </c>
      <c r="C4" s="11">
        <v>68000</v>
      </c>
      <c r="D4" s="16">
        <v>0</v>
      </c>
      <c r="E4" s="7">
        <v>3</v>
      </c>
      <c r="F4" s="17"/>
      <c r="G4" s="18"/>
      <c r="H4" s="9"/>
      <c r="I4" s="9"/>
      <c r="J4" s="19" t="s">
        <v>8</v>
      </c>
      <c r="K4" s="9"/>
      <c r="L4" s="9"/>
      <c r="M4" s="9"/>
      <c r="N4" s="9"/>
      <c r="O4" s="9"/>
      <c r="P4" s="282"/>
    </row>
    <row r="5" spans="1:16" ht="80.25" customHeight="1" x14ac:dyDescent="0.2">
      <c r="A5" s="9"/>
      <c r="B5" s="261" t="s">
        <v>379</v>
      </c>
      <c r="C5" s="11">
        <v>208000</v>
      </c>
      <c r="D5" s="16">
        <v>0</v>
      </c>
      <c r="E5" s="21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  <c r="O5" s="9"/>
      <c r="P5" s="282"/>
    </row>
    <row r="6" spans="1:16" ht="54" customHeight="1" x14ac:dyDescent="0.2">
      <c r="A6" s="9"/>
      <c r="B6" s="278" t="s">
        <v>392</v>
      </c>
      <c r="C6" s="11">
        <v>500000</v>
      </c>
      <c r="D6" s="16">
        <v>0</v>
      </c>
      <c r="E6" s="7">
        <v>3</v>
      </c>
      <c r="F6" s="17"/>
      <c r="G6" s="18"/>
      <c r="H6" s="9"/>
      <c r="I6" s="9"/>
      <c r="J6" s="15" t="s">
        <v>8</v>
      </c>
      <c r="K6" s="9"/>
      <c r="L6" s="9"/>
      <c r="M6" s="9"/>
      <c r="N6" s="9"/>
      <c r="O6" s="9"/>
      <c r="P6" s="282"/>
    </row>
    <row r="7" spans="1:16" ht="74.25" customHeight="1" x14ac:dyDescent="0.2">
      <c r="A7" s="9"/>
      <c r="B7" s="263" t="s">
        <v>395</v>
      </c>
      <c r="C7" s="11">
        <v>67670</v>
      </c>
      <c r="D7" s="16">
        <v>0</v>
      </c>
      <c r="E7" s="23">
        <v>3</v>
      </c>
      <c r="F7" s="17"/>
      <c r="G7" s="18"/>
      <c r="H7" s="9"/>
      <c r="I7" s="9"/>
      <c r="J7" s="15" t="s">
        <v>8</v>
      </c>
      <c r="K7" s="9"/>
      <c r="L7" s="9"/>
      <c r="M7" s="9"/>
      <c r="N7" s="9"/>
      <c r="O7" s="9"/>
      <c r="P7" s="282"/>
    </row>
    <row r="8" spans="1:16" ht="14.25" customHeight="1" x14ac:dyDescent="0.2">
      <c r="A8" s="9"/>
      <c r="B8" s="262" t="s">
        <v>12</v>
      </c>
      <c r="C8" s="11">
        <v>10000</v>
      </c>
      <c r="D8" s="16">
        <v>0</v>
      </c>
      <c r="E8" s="7">
        <v>3</v>
      </c>
      <c r="F8" s="17"/>
      <c r="G8" s="18"/>
      <c r="H8" s="9"/>
      <c r="I8" s="9"/>
      <c r="J8" s="24" t="s">
        <v>8</v>
      </c>
      <c r="K8" s="9"/>
      <c r="L8" s="9"/>
      <c r="M8" s="9"/>
      <c r="N8" s="9"/>
      <c r="O8" s="9"/>
      <c r="P8" s="282"/>
    </row>
    <row r="9" spans="1:16" ht="12.75" customHeight="1" x14ac:dyDescent="0.2">
      <c r="A9" s="9"/>
      <c r="B9" s="262" t="s">
        <v>381</v>
      </c>
      <c r="C9" s="11">
        <v>23000</v>
      </c>
      <c r="D9" s="16">
        <v>0</v>
      </c>
      <c r="E9" s="23">
        <v>3</v>
      </c>
      <c r="F9" s="17">
        <f>SUM(D4:D9)</f>
        <v>0</v>
      </c>
      <c r="G9" s="25" t="s">
        <v>14</v>
      </c>
      <c r="H9" s="9"/>
      <c r="I9" s="9"/>
      <c r="J9" s="24" t="s">
        <v>8</v>
      </c>
      <c r="K9" s="9"/>
      <c r="L9" s="9"/>
      <c r="M9" s="9"/>
      <c r="N9" s="9"/>
      <c r="O9" s="9"/>
      <c r="P9" s="282"/>
    </row>
    <row r="10" spans="1:16" ht="12.75" customHeight="1" x14ac:dyDescent="0.2">
      <c r="A10" s="9" t="s">
        <v>386</v>
      </c>
      <c r="B10" s="275" t="s">
        <v>15</v>
      </c>
      <c r="C10" s="11">
        <v>140000</v>
      </c>
      <c r="D10" s="11">
        <v>0</v>
      </c>
      <c r="E10" s="7">
        <v>3</v>
      </c>
      <c r="F10" s="27"/>
      <c r="G10" s="28"/>
      <c r="H10" s="9"/>
      <c r="I10" s="9"/>
      <c r="J10" s="24" t="s">
        <v>8</v>
      </c>
      <c r="K10" s="9"/>
      <c r="L10" s="9"/>
      <c r="M10" s="9"/>
      <c r="N10" s="9"/>
      <c r="O10" s="9"/>
      <c r="P10" s="282"/>
    </row>
    <row r="11" spans="1:16" ht="12.75" customHeight="1" x14ac:dyDescent="0.2">
      <c r="A11" s="9" t="s">
        <v>386</v>
      </c>
      <c r="B11" s="274" t="s">
        <v>16</v>
      </c>
      <c r="C11" s="11">
        <v>60000</v>
      </c>
      <c r="D11" s="11">
        <v>0</v>
      </c>
      <c r="E11" s="23">
        <v>3</v>
      </c>
      <c r="F11" s="27"/>
      <c r="G11" s="28"/>
      <c r="H11" s="9"/>
      <c r="I11" s="9"/>
      <c r="J11" s="24" t="s">
        <v>17</v>
      </c>
      <c r="K11" s="9"/>
      <c r="L11" s="9"/>
      <c r="M11" s="9"/>
      <c r="N11" s="9"/>
      <c r="O11" s="9"/>
      <c r="P11" s="282"/>
    </row>
    <row r="12" spans="1:16" ht="12.75" customHeight="1" x14ac:dyDescent="0.2">
      <c r="A12" s="9"/>
      <c r="B12" s="262" t="s">
        <v>318</v>
      </c>
      <c r="C12" s="11">
        <v>70000</v>
      </c>
      <c r="D12" s="11">
        <v>0</v>
      </c>
      <c r="E12" s="7">
        <v>2</v>
      </c>
      <c r="F12" s="27"/>
      <c r="G12" s="28"/>
      <c r="H12" s="9"/>
      <c r="I12" s="9"/>
      <c r="J12" s="15" t="s">
        <v>19</v>
      </c>
      <c r="K12" s="9"/>
      <c r="L12" s="9"/>
      <c r="M12" s="9"/>
      <c r="N12" s="9"/>
      <c r="O12" s="9"/>
      <c r="P12" s="282"/>
    </row>
    <row r="13" spans="1:16" ht="12.75" customHeight="1" x14ac:dyDescent="0.2">
      <c r="A13" s="9"/>
      <c r="B13" s="262" t="s">
        <v>376</v>
      </c>
      <c r="C13" s="11">
        <v>35000</v>
      </c>
      <c r="D13" s="29">
        <v>0</v>
      </c>
      <c r="E13" s="7">
        <v>2</v>
      </c>
      <c r="F13" s="27">
        <f>SUM(D10:D13)</f>
        <v>0</v>
      </c>
      <c r="G13" s="30" t="s">
        <v>21</v>
      </c>
      <c r="H13" s="31">
        <f>SUM(F9,F13)</f>
        <v>0</v>
      </c>
      <c r="I13" s="32" t="s">
        <v>22</v>
      </c>
      <c r="J13" s="15" t="s">
        <v>19</v>
      </c>
      <c r="K13" s="9"/>
      <c r="L13" s="9"/>
      <c r="M13" s="9"/>
      <c r="N13" s="9"/>
      <c r="O13" s="9"/>
      <c r="P13" s="282"/>
    </row>
    <row r="14" spans="1:16" ht="12.75" customHeight="1" x14ac:dyDescent="0.2">
      <c r="A14" s="9"/>
      <c r="B14" s="262"/>
      <c r="C14" s="11"/>
      <c r="D14" s="11"/>
      <c r="E14" s="7"/>
      <c r="F14" s="33"/>
      <c r="G14" s="9"/>
      <c r="H14" s="9"/>
      <c r="I14" s="9"/>
      <c r="J14" s="9"/>
      <c r="K14" s="9"/>
      <c r="L14" s="9"/>
      <c r="M14" s="9"/>
      <c r="N14" s="9"/>
      <c r="O14" s="9"/>
      <c r="P14" s="282"/>
    </row>
    <row r="15" spans="1:16" ht="12.75" customHeight="1" x14ac:dyDescent="0.2">
      <c r="A15" s="14" t="s">
        <v>23</v>
      </c>
      <c r="B15" s="262" t="s">
        <v>23</v>
      </c>
      <c r="C15" s="34">
        <v>0</v>
      </c>
      <c r="D15" s="34">
        <v>0</v>
      </c>
      <c r="E15" s="35"/>
      <c r="F15" s="33"/>
      <c r="G15" s="9"/>
      <c r="H15" s="9"/>
      <c r="I15" s="11"/>
      <c r="J15" s="9"/>
      <c r="K15" s="9"/>
      <c r="L15" s="9"/>
      <c r="M15" s="9"/>
      <c r="N15" s="9"/>
      <c r="O15" s="9"/>
      <c r="P15" s="282"/>
    </row>
    <row r="16" spans="1:16" ht="12.75" customHeight="1" x14ac:dyDescent="0.2">
      <c r="A16" s="14" t="s">
        <v>24</v>
      </c>
      <c r="B16" s="262" t="s">
        <v>24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  <c r="O16" s="9"/>
      <c r="P16" s="282"/>
    </row>
    <row r="17" spans="1:23" ht="12.75" customHeight="1" x14ac:dyDescent="0.2">
      <c r="A17" s="14" t="s">
        <v>25</v>
      </c>
      <c r="B17" s="262" t="s">
        <v>25</v>
      </c>
      <c r="C17" s="34">
        <v>0</v>
      </c>
      <c r="D17" s="119">
        <v>0</v>
      </c>
      <c r="E17" s="35"/>
      <c r="F17" s="33">
        <v>0</v>
      </c>
      <c r="G17" s="14"/>
      <c r="H17" s="9"/>
      <c r="I17" s="9"/>
      <c r="J17" s="9"/>
      <c r="K17" s="9"/>
      <c r="L17" s="9"/>
      <c r="M17" s="9"/>
      <c r="N17" s="9"/>
      <c r="O17" s="9"/>
      <c r="P17" s="282"/>
    </row>
    <row r="18" spans="1:23" ht="12.75" customHeight="1" x14ac:dyDescent="0.2">
      <c r="A18" s="14" t="s">
        <v>26</v>
      </c>
      <c r="B18" s="262" t="s">
        <v>26</v>
      </c>
      <c r="C18" s="34">
        <v>0</v>
      </c>
      <c r="D18" s="34">
        <v>0</v>
      </c>
      <c r="E18" s="35"/>
      <c r="F18" s="33"/>
      <c r="G18" s="9"/>
      <c r="H18" s="9"/>
      <c r="I18" s="9"/>
      <c r="J18" s="9"/>
      <c r="K18" s="9"/>
      <c r="L18" s="9"/>
      <c r="M18" s="9"/>
      <c r="N18" s="9"/>
      <c r="O18" s="9"/>
      <c r="P18" s="282"/>
    </row>
    <row r="19" spans="1:23" ht="12.75" customHeight="1" x14ac:dyDescent="0.2">
      <c r="A19" s="14" t="s">
        <v>27</v>
      </c>
      <c r="B19" s="262" t="s">
        <v>27</v>
      </c>
      <c r="C19" s="34">
        <v>0</v>
      </c>
      <c r="D19" s="34">
        <v>0</v>
      </c>
      <c r="E19" s="35"/>
      <c r="F19" s="33"/>
      <c r="G19" s="9"/>
      <c r="H19" s="9"/>
      <c r="I19" s="9"/>
      <c r="J19" s="9"/>
      <c r="K19" s="9"/>
      <c r="L19" s="9"/>
      <c r="M19" s="9"/>
      <c r="N19" s="9"/>
      <c r="O19" s="9"/>
      <c r="P19" s="282"/>
    </row>
    <row r="20" spans="1:23" ht="12.75" customHeight="1" x14ac:dyDescent="0.2">
      <c r="A20" s="14" t="s">
        <v>28</v>
      </c>
      <c r="B20" s="262" t="s">
        <v>28</v>
      </c>
      <c r="C20" s="34">
        <v>0</v>
      </c>
      <c r="D20" s="34">
        <v>0</v>
      </c>
      <c r="E20" s="35"/>
      <c r="F20" s="33">
        <v>0</v>
      </c>
      <c r="G20" s="9"/>
      <c r="H20" s="9"/>
      <c r="I20" s="9"/>
      <c r="J20" s="9"/>
      <c r="K20" s="9"/>
      <c r="L20" s="9"/>
      <c r="M20" s="9"/>
      <c r="N20" s="9"/>
      <c r="O20" s="9"/>
      <c r="P20" s="282"/>
    </row>
    <row r="21" spans="1:23" ht="12.75" customHeight="1" x14ac:dyDescent="0.2">
      <c r="A21" s="9"/>
      <c r="B21" s="9"/>
      <c r="C21" s="34"/>
      <c r="D21" s="3"/>
      <c r="E21" s="34"/>
      <c r="F21" s="33"/>
      <c r="G21" s="9"/>
      <c r="H21" s="9"/>
      <c r="I21" s="9"/>
      <c r="J21" s="9"/>
      <c r="K21" s="9"/>
      <c r="L21" s="9"/>
      <c r="M21" s="9"/>
      <c r="N21" s="9"/>
      <c r="O21" s="9"/>
      <c r="P21" s="282"/>
    </row>
    <row r="22" spans="1:23" ht="12.75" customHeight="1" x14ac:dyDescent="0.2">
      <c r="A22" s="9"/>
      <c r="B22" s="9"/>
      <c r="C22" s="34"/>
      <c r="D22" s="34"/>
      <c r="E22" s="35"/>
      <c r="F22" s="33"/>
      <c r="G22" s="9"/>
      <c r="H22" s="9"/>
      <c r="I22" s="9"/>
      <c r="J22" s="9"/>
      <c r="K22" s="9"/>
      <c r="L22" s="9"/>
      <c r="M22" s="9"/>
      <c r="N22" s="9"/>
      <c r="O22" s="9"/>
      <c r="P22" s="282"/>
    </row>
    <row r="23" spans="1:23" ht="12.75" customHeight="1" x14ac:dyDescent="0.2">
      <c r="A23" s="9"/>
      <c r="B23" s="9"/>
      <c r="C23" s="34"/>
      <c r="D23" s="34"/>
      <c r="E23" s="35"/>
      <c r="F23" s="33"/>
      <c r="G23" s="9"/>
      <c r="H23" s="9"/>
      <c r="I23" s="9"/>
      <c r="J23" s="9"/>
      <c r="K23" s="9"/>
      <c r="L23" s="9"/>
      <c r="M23" s="9"/>
      <c r="N23" s="9"/>
      <c r="O23" s="9"/>
      <c r="P23" s="282"/>
    </row>
    <row r="24" spans="1:23" ht="12.75" customHeight="1" x14ac:dyDescent="0.2">
      <c r="A24" s="9"/>
      <c r="B24" s="9"/>
      <c r="C24" s="34"/>
      <c r="D24" s="34"/>
      <c r="E24" s="35"/>
      <c r="F24" s="33"/>
      <c r="G24" s="9"/>
      <c r="H24" s="9"/>
      <c r="I24" s="9"/>
      <c r="J24" s="9"/>
      <c r="K24" s="9"/>
      <c r="L24" s="9"/>
      <c r="M24" s="9"/>
      <c r="N24" s="9"/>
      <c r="O24" s="9"/>
      <c r="P24" s="282"/>
    </row>
    <row r="25" spans="1:23" ht="12.75" customHeight="1" x14ac:dyDescent="0.2">
      <c r="A25" s="9"/>
      <c r="B25" s="36"/>
      <c r="C25" s="11"/>
      <c r="D25" s="11"/>
      <c r="E25" s="7"/>
      <c r="F25" s="33"/>
      <c r="G25" s="9"/>
      <c r="H25" s="9"/>
      <c r="I25" s="9"/>
      <c r="J25" s="9"/>
      <c r="K25" s="9"/>
      <c r="L25" s="9"/>
      <c r="M25" s="9"/>
      <c r="N25" s="9"/>
      <c r="O25" s="9"/>
      <c r="P25" s="282"/>
    </row>
    <row r="26" spans="1:23" ht="12.75" customHeight="1" x14ac:dyDescent="0.2">
      <c r="A26" s="9"/>
      <c r="B26" s="36"/>
      <c r="C26" s="11"/>
      <c r="D26" s="11"/>
      <c r="E26" s="7"/>
      <c r="F26" s="33"/>
      <c r="G26" s="9"/>
      <c r="H26" s="9"/>
      <c r="I26" s="9"/>
      <c r="J26" s="9"/>
      <c r="K26" s="9"/>
      <c r="L26" s="9"/>
      <c r="M26" s="9"/>
      <c r="N26" s="9"/>
      <c r="O26" s="9"/>
      <c r="P26" s="282"/>
    </row>
    <row r="27" spans="1:23" ht="12.75" customHeight="1" thickBot="1" x14ac:dyDescent="0.2">
      <c r="A27" s="9"/>
      <c r="B27" s="36"/>
      <c r="C27" s="37"/>
      <c r="D27" s="37"/>
      <c r="E27" s="7"/>
      <c r="F27" s="33"/>
      <c r="G27" s="9"/>
      <c r="H27" s="9"/>
      <c r="I27" s="9"/>
      <c r="J27" s="9"/>
      <c r="K27" s="9"/>
      <c r="L27" s="9"/>
      <c r="M27" s="9"/>
      <c r="N27" s="9"/>
      <c r="O27" s="9"/>
      <c r="P27" s="282"/>
    </row>
    <row r="28" spans="1:23" ht="12.75" customHeight="1" thickTop="1" thickBot="1" x14ac:dyDescent="0.25">
      <c r="A28" s="3"/>
      <c r="B28" s="38"/>
      <c r="C28" s="39"/>
      <c r="D28" s="40">
        <f>SUM(D3:D27)</f>
        <v>0</v>
      </c>
      <c r="E28" s="41"/>
      <c r="F28" s="42"/>
      <c r="G28" s="3"/>
      <c r="H28" s="3"/>
      <c r="I28" s="3"/>
      <c r="Q28" s="316" t="s">
        <v>440</v>
      </c>
      <c r="R28" s="317"/>
      <c r="T28" s="323" t="s">
        <v>435</v>
      </c>
      <c r="U28" s="324"/>
      <c r="V28" s="325"/>
      <c r="W28" s="286"/>
    </row>
    <row r="29" spans="1:23" ht="16.5" customHeight="1" thickTop="1" thickBot="1" x14ac:dyDescent="0.35">
      <c r="A29" s="43" t="s">
        <v>29</v>
      </c>
      <c r="B29" s="44"/>
      <c r="C29" s="3"/>
      <c r="D29" s="3"/>
      <c r="E29" s="45"/>
      <c r="F29" s="3"/>
      <c r="G29" s="3"/>
      <c r="H29" s="46"/>
      <c r="I29" s="47"/>
      <c r="Q29" s="312" t="s">
        <v>433</v>
      </c>
      <c r="R29" s="313"/>
      <c r="T29" s="318" t="s">
        <v>445</v>
      </c>
      <c r="W29" s="283"/>
    </row>
    <row r="30" spans="1:23" ht="14.25" customHeight="1" thickTop="1" thickBot="1" x14ac:dyDescent="0.25">
      <c r="A30" s="48" t="s">
        <v>30</v>
      </c>
      <c r="B30" s="49">
        <v>900000</v>
      </c>
      <c r="C30" s="3"/>
      <c r="D30" s="3"/>
      <c r="E30" s="50"/>
      <c r="F30" s="233" t="s">
        <v>323</v>
      </c>
      <c r="G30" s="232">
        <f>M62</f>
        <v>0</v>
      </c>
      <c r="H30" s="51"/>
      <c r="I30" s="3"/>
      <c r="Q30" s="312" t="s">
        <v>441</v>
      </c>
      <c r="R30" s="313"/>
      <c r="T30" s="318" t="s">
        <v>446</v>
      </c>
      <c r="W30" s="283"/>
    </row>
    <row r="31" spans="1:23" ht="12.75" customHeight="1" thickTop="1" x14ac:dyDescent="0.2">
      <c r="A31" s="48" t="s">
        <v>31</v>
      </c>
      <c r="B31" s="49">
        <v>100000</v>
      </c>
      <c r="C31" s="3"/>
      <c r="D31" s="3"/>
      <c r="E31" s="50"/>
      <c r="F31" s="3"/>
      <c r="G31" s="3"/>
      <c r="H31" s="3" t="s">
        <v>451</v>
      </c>
      <c r="I31" s="3" t="s">
        <v>450</v>
      </c>
      <c r="Q31" s="312" t="s">
        <v>434</v>
      </c>
      <c r="R31" s="313"/>
      <c r="T31" s="318" t="s">
        <v>447</v>
      </c>
      <c r="W31" s="283"/>
    </row>
    <row r="32" spans="1:23" ht="13.5" customHeight="1" thickBot="1" x14ac:dyDescent="0.25">
      <c r="A32" s="48" t="s">
        <v>32</v>
      </c>
      <c r="B32" s="49">
        <v>100000</v>
      </c>
      <c r="C32" s="3"/>
      <c r="D32" s="3"/>
      <c r="E32" s="52"/>
      <c r="F32" s="53"/>
      <c r="G32" s="54"/>
      <c r="H32" s="335">
        <v>45289.698245717591</v>
      </c>
      <c r="I32" s="335">
        <f ca="1">NOW()</f>
        <v>45446.378049537037</v>
      </c>
      <c r="Q32" s="312" t="s">
        <v>442</v>
      </c>
      <c r="R32" s="313"/>
      <c r="T32" s="318"/>
      <c r="W32" s="283"/>
    </row>
    <row r="33" spans="1:23" ht="14.25" customHeight="1" thickTop="1" thickBot="1" x14ac:dyDescent="0.25">
      <c r="A33" s="48" t="s">
        <v>33</v>
      </c>
      <c r="B33" s="49">
        <v>100000</v>
      </c>
      <c r="C33" s="3"/>
      <c r="D33" s="3"/>
      <c r="E33" s="55"/>
      <c r="F33" s="56"/>
      <c r="G33" s="148">
        <v>6471202</v>
      </c>
      <c r="H33" s="58" t="s">
        <v>35</v>
      </c>
      <c r="I33" s="59"/>
      <c r="J33" s="245" t="s">
        <v>383</v>
      </c>
      <c r="Q33" s="312" t="s">
        <v>443</v>
      </c>
      <c r="R33" s="313"/>
      <c r="T33" s="318"/>
      <c r="W33" s="283"/>
    </row>
    <row r="34" spans="1:23" ht="14.25" customHeight="1" thickTop="1" thickBot="1" x14ac:dyDescent="0.25">
      <c r="A34" s="48" t="s">
        <v>37</v>
      </c>
      <c r="B34" s="49">
        <v>0</v>
      </c>
      <c r="C34" s="3"/>
      <c r="D34" s="62"/>
      <c r="E34" s="55"/>
      <c r="F34" s="53"/>
      <c r="G34" s="60">
        <v>0</v>
      </c>
      <c r="H34" s="61" t="s">
        <v>38</v>
      </c>
      <c r="I34" s="260" t="s">
        <v>432</v>
      </c>
      <c r="J34" s="122" t="s">
        <v>384</v>
      </c>
      <c r="Q34" s="314" t="s">
        <v>444</v>
      </c>
      <c r="R34" s="315"/>
      <c r="T34" s="319"/>
      <c r="U34" s="320"/>
      <c r="V34" s="321"/>
      <c r="W34" s="322"/>
    </row>
    <row r="35" spans="1:23" ht="14.25" customHeight="1" thickTop="1" thickBot="1" x14ac:dyDescent="0.25">
      <c r="A35" s="48" t="s">
        <v>40</v>
      </c>
      <c r="B35" s="49">
        <v>120000</v>
      </c>
      <c r="C35" s="3"/>
      <c r="D35" s="3"/>
      <c r="E35" s="3"/>
      <c r="F35" s="63"/>
      <c r="G35" s="64">
        <f>G33+G34</f>
        <v>6471202</v>
      </c>
      <c r="H35" s="65" t="s">
        <v>42</v>
      </c>
      <c r="I35" s="3"/>
    </row>
    <row r="36" spans="1:23" ht="23.25" customHeight="1" thickTop="1" x14ac:dyDescent="0.25">
      <c r="A36" s="66" t="s">
        <v>43</v>
      </c>
      <c r="B36" s="49">
        <v>0</v>
      </c>
      <c r="C36" s="3"/>
      <c r="D36" s="3"/>
      <c r="E36" s="3"/>
      <c r="F36" s="3"/>
      <c r="G36" s="42">
        <v>0</v>
      </c>
      <c r="H36" s="47" t="s">
        <v>448</v>
      </c>
      <c r="I36" s="3"/>
      <c r="L36" s="1" t="s">
        <v>380</v>
      </c>
      <c r="Q36" s="311" t="s">
        <v>427</v>
      </c>
    </row>
    <row r="37" spans="1:23" ht="17.25" customHeight="1" x14ac:dyDescent="0.25">
      <c r="A37" s="67" t="s">
        <v>42</v>
      </c>
      <c r="B37" s="68">
        <f>SUM(B30:B36)</f>
        <v>1320000</v>
      </c>
      <c r="C37" s="3"/>
      <c r="D37" s="3"/>
      <c r="E37" s="3"/>
      <c r="F37" s="3"/>
      <c r="G37" s="42">
        <v>200000</v>
      </c>
      <c r="H37" s="47" t="s">
        <v>45</v>
      </c>
      <c r="I37" s="3"/>
      <c r="Q37" s="235" t="s">
        <v>430</v>
      </c>
    </row>
    <row r="38" spans="1:23" ht="12.75" customHeight="1" x14ac:dyDescent="0.15">
      <c r="A38" s="47"/>
      <c r="B38" s="69"/>
      <c r="C38" s="3"/>
      <c r="D38" s="3"/>
      <c r="E38" s="3"/>
      <c r="F38" s="3"/>
      <c r="G38" s="42">
        <v>190000</v>
      </c>
      <c r="H38" s="47" t="s">
        <v>46</v>
      </c>
      <c r="I38" s="3"/>
      <c r="Q38" s="235" t="s">
        <v>431</v>
      </c>
    </row>
    <row r="39" spans="1:23" ht="12.75" customHeight="1" x14ac:dyDescent="0.2">
      <c r="A39" s="47"/>
      <c r="B39" s="69"/>
      <c r="C39" s="3"/>
      <c r="D39" s="3"/>
      <c r="E39" s="3"/>
      <c r="F39" s="3"/>
      <c r="G39" s="42">
        <v>0</v>
      </c>
      <c r="H39" s="47" t="s">
        <v>390</v>
      </c>
      <c r="I39" s="38" t="s">
        <v>90</v>
      </c>
      <c r="Q39" s="235" t="s">
        <v>429</v>
      </c>
    </row>
    <row r="40" spans="1:23" ht="13.5" customHeight="1" x14ac:dyDescent="0.15">
      <c r="A40" s="3"/>
      <c r="B40" s="3"/>
      <c r="C40" s="3"/>
      <c r="D40" s="3"/>
      <c r="E40" s="42"/>
      <c r="F40" s="3"/>
      <c r="G40" s="42">
        <v>0</v>
      </c>
      <c r="H40" s="47" t="s">
        <v>365</v>
      </c>
      <c r="I40" s="3"/>
      <c r="Q40" s="235" t="s">
        <v>428</v>
      </c>
    </row>
    <row r="41" spans="1:23" ht="12.75" customHeight="1" thickBot="1" x14ac:dyDescent="0.2">
      <c r="A41" s="3"/>
      <c r="B41" s="3"/>
      <c r="C41" s="3"/>
      <c r="D41" s="3"/>
      <c r="E41" s="42"/>
      <c r="F41" s="3"/>
      <c r="G41" s="42">
        <v>0</v>
      </c>
      <c r="H41" s="47" t="s">
        <v>307</v>
      </c>
      <c r="I41" s="3"/>
    </row>
    <row r="42" spans="1:23" ht="13.5" customHeight="1" thickTop="1" thickBot="1" x14ac:dyDescent="0.2">
      <c r="A42" s="216"/>
      <c r="B42" s="216"/>
      <c r="C42" s="3"/>
      <c r="D42" s="3"/>
      <c r="E42" s="42"/>
      <c r="F42" s="42"/>
      <c r="G42" s="42">
        <v>0</v>
      </c>
      <c r="H42" s="47" t="s">
        <v>416</v>
      </c>
      <c r="I42" s="224"/>
      <c r="O42" s="1" t="s">
        <v>423</v>
      </c>
      <c r="P42" s="285" t="s">
        <v>411</v>
      </c>
      <c r="Q42" s="287"/>
      <c r="R42" s="305" t="s">
        <v>420</v>
      </c>
      <c r="S42" s="305"/>
      <c r="T42" s="302" t="s">
        <v>421</v>
      </c>
      <c r="U42" s="286"/>
      <c r="V42" s="235" t="s">
        <v>422</v>
      </c>
    </row>
    <row r="43" spans="1:23" ht="14.25" customHeight="1" thickTop="1" thickBot="1" x14ac:dyDescent="0.25">
      <c r="A43" s="47"/>
      <c r="B43" s="3"/>
      <c r="C43" s="3"/>
      <c r="D43" s="3"/>
      <c r="E43" s="3"/>
      <c r="F43" s="3"/>
      <c r="G43" s="190">
        <f>D28</f>
        <v>0</v>
      </c>
      <c r="H43" s="58" t="s">
        <v>53</v>
      </c>
      <c r="I43" s="3"/>
      <c r="P43" s="291">
        <v>1000000</v>
      </c>
      <c r="Q43" s="288" t="s">
        <v>413</v>
      </c>
      <c r="U43" s="283"/>
    </row>
    <row r="44" spans="1:23" ht="14.25" customHeight="1" thickTop="1" thickBot="1" x14ac:dyDescent="0.25">
      <c r="A44" s="47"/>
      <c r="B44" s="3"/>
      <c r="C44" s="3"/>
      <c r="D44" s="3"/>
      <c r="E44" s="3"/>
      <c r="F44" s="42"/>
      <c r="G44" s="191">
        <v>0</v>
      </c>
      <c r="H44" s="61" t="s">
        <v>55</v>
      </c>
      <c r="I44" s="62" t="s">
        <v>247</v>
      </c>
      <c r="P44" s="292">
        <v>2950000</v>
      </c>
      <c r="Q44" s="288" t="s">
        <v>413</v>
      </c>
      <c r="U44" s="283"/>
    </row>
    <row r="45" spans="1:23" ht="14.25" customHeight="1" thickTop="1" thickBot="1" x14ac:dyDescent="0.25">
      <c r="A45" s="47"/>
      <c r="B45" s="47"/>
      <c r="C45" s="3"/>
      <c r="D45" s="3"/>
      <c r="E45" s="3"/>
      <c r="F45" s="3"/>
      <c r="G45" s="190">
        <f>D55</f>
        <v>0</v>
      </c>
      <c r="H45" s="58" t="s">
        <v>58</v>
      </c>
      <c r="I45" s="42"/>
      <c r="J45" s="47"/>
      <c r="P45" s="293">
        <v>3200000</v>
      </c>
      <c r="Q45" s="288" t="s">
        <v>413</v>
      </c>
      <c r="U45" s="283"/>
    </row>
    <row r="46" spans="1:23" ht="14.25" customHeight="1" thickTop="1" thickBot="1" x14ac:dyDescent="0.25">
      <c r="A46" s="47"/>
      <c r="B46" s="59"/>
      <c r="C46" s="3"/>
      <c r="D46" s="3"/>
      <c r="E46" s="3"/>
      <c r="F46" s="3"/>
      <c r="G46" s="272">
        <v>0</v>
      </c>
      <c r="H46" s="61" t="s">
        <v>62</v>
      </c>
      <c r="I46" s="72">
        <v>7120000</v>
      </c>
      <c r="J46" s="71" t="s">
        <v>63</v>
      </c>
      <c r="K46" s="72">
        <f>I46+G46</f>
        <v>7120000</v>
      </c>
      <c r="P46" s="294">
        <v>6320000</v>
      </c>
      <c r="Q46" s="288" t="s">
        <v>413</v>
      </c>
      <c r="U46" s="283"/>
    </row>
    <row r="47" spans="1:23" ht="14.25" customHeight="1" thickTop="1" thickBot="1" x14ac:dyDescent="0.25">
      <c r="A47" s="47"/>
      <c r="B47" s="59"/>
      <c r="C47" s="3"/>
      <c r="D47" s="3"/>
      <c r="E47" s="3"/>
      <c r="F47" s="42"/>
      <c r="G47" s="64">
        <v>0</v>
      </c>
      <c r="H47" s="61" t="s">
        <v>66</v>
      </c>
      <c r="I47" s="212"/>
      <c r="J47" s="74"/>
      <c r="K47" s="73"/>
      <c r="P47" s="294">
        <v>-100000</v>
      </c>
      <c r="Q47" s="289" t="s">
        <v>414</v>
      </c>
      <c r="R47" s="306"/>
      <c r="S47" s="306"/>
      <c r="U47" s="283"/>
    </row>
    <row r="48" spans="1:23" ht="14.25" customHeight="1" thickTop="1" thickBot="1" x14ac:dyDescent="0.25">
      <c r="A48" s="47"/>
      <c r="B48" s="59"/>
      <c r="C48" s="3"/>
      <c r="D48" s="3"/>
      <c r="E48" s="3"/>
      <c r="F48" s="63"/>
      <c r="G48" s="64">
        <f>SUM(G36:G47)</f>
        <v>390000</v>
      </c>
      <c r="H48" s="58" t="s">
        <v>71</v>
      </c>
      <c r="I48" s="63"/>
      <c r="J48" s="42"/>
      <c r="K48" s="169"/>
      <c r="L48" s="120"/>
      <c r="P48" s="292">
        <v>-6120000</v>
      </c>
      <c r="Q48" s="289" t="s">
        <v>414</v>
      </c>
      <c r="R48" s="306"/>
      <c r="S48" s="306"/>
      <c r="U48" s="283"/>
    </row>
    <row r="49" spans="1:22" ht="14.25" customHeight="1" thickTop="1" thickBot="1" x14ac:dyDescent="0.25">
      <c r="A49" s="3"/>
      <c r="B49" s="3"/>
      <c r="C49" s="3"/>
      <c r="D49" s="3"/>
      <c r="E49" s="3"/>
      <c r="F49" s="3"/>
      <c r="G49" s="64">
        <f>G35-G48</f>
        <v>6081202</v>
      </c>
      <c r="H49" s="61" t="s">
        <v>73</v>
      </c>
      <c r="I49" s="76"/>
      <c r="J49" s="121"/>
      <c r="K49" s="47"/>
      <c r="L49" s="75"/>
      <c r="P49" s="292">
        <v>-160000</v>
      </c>
      <c r="Q49" s="289" t="s">
        <v>414</v>
      </c>
      <c r="R49" s="306"/>
      <c r="S49" s="306"/>
      <c r="U49" s="283"/>
    </row>
    <row r="50" spans="1:22" ht="13.5" customHeight="1" thickTop="1" thickBot="1" x14ac:dyDescent="0.25">
      <c r="A50" s="3"/>
      <c r="B50" s="3"/>
      <c r="C50" s="3"/>
      <c r="D50" s="354" t="s">
        <v>75</v>
      </c>
      <c r="E50" s="354"/>
      <c r="F50" s="63" t="s">
        <v>76</v>
      </c>
      <c r="G50" s="112"/>
      <c r="H50" s="47"/>
      <c r="I50" s="113"/>
      <c r="L50" s="123"/>
      <c r="P50" s="295">
        <v>6710000</v>
      </c>
      <c r="Q50" s="290" t="s">
        <v>413</v>
      </c>
      <c r="R50" s="307"/>
      <c r="S50" s="307"/>
      <c r="T50" s="300">
        <v>13800000</v>
      </c>
      <c r="U50" s="284" t="s">
        <v>425</v>
      </c>
    </row>
    <row r="51" spans="1:22" ht="12.75" customHeight="1" thickTop="1" thickBot="1" x14ac:dyDescent="0.25">
      <c r="A51" s="47"/>
      <c r="B51" s="3"/>
      <c r="C51" s="3"/>
      <c r="D51" s="78">
        <v>0</v>
      </c>
      <c r="E51" s="7" t="s">
        <v>78</v>
      </c>
      <c r="F51" s="47"/>
      <c r="G51" s="3"/>
      <c r="H51" s="3"/>
      <c r="I51" s="3"/>
      <c r="L51" s="90"/>
      <c r="O51" s="303">
        <v>45273</v>
      </c>
      <c r="P51" s="298">
        <v>2300000</v>
      </c>
      <c r="Q51" s="299" t="s">
        <v>415</v>
      </c>
      <c r="R51" s="307"/>
      <c r="S51" s="307"/>
      <c r="T51" s="301">
        <f>13800000-2300000</f>
        <v>11500000</v>
      </c>
      <c r="U51" s="310" t="s">
        <v>424</v>
      </c>
      <c r="V51" s="309" t="s">
        <v>417</v>
      </c>
    </row>
    <row r="52" spans="1:22" ht="12.75" customHeight="1" thickTop="1" x14ac:dyDescent="0.2">
      <c r="A52" s="3"/>
      <c r="B52" s="3"/>
      <c r="C52" s="3"/>
      <c r="D52" s="78">
        <v>0</v>
      </c>
      <c r="E52" s="79" t="s">
        <v>80</v>
      </c>
      <c r="F52" s="47"/>
      <c r="G52" s="3"/>
      <c r="H52" s="3"/>
      <c r="I52" s="3"/>
      <c r="L52" s="90"/>
      <c r="O52" s="303">
        <v>45274</v>
      </c>
      <c r="P52" s="280">
        <v>-1500000</v>
      </c>
      <c r="Q52" s="235" t="s">
        <v>418</v>
      </c>
      <c r="T52" s="308">
        <v>13000000</v>
      </c>
      <c r="U52" s="245" t="s">
        <v>425</v>
      </c>
      <c r="V52" s="309" t="s">
        <v>419</v>
      </c>
    </row>
    <row r="53" spans="1:22" ht="15.75" customHeight="1" x14ac:dyDescent="0.25">
      <c r="A53" s="3" t="s">
        <v>412</v>
      </c>
      <c r="B53" s="80"/>
      <c r="C53" s="81">
        <v>0</v>
      </c>
      <c r="D53" s="78">
        <f>C53*30000</f>
        <v>0</v>
      </c>
      <c r="E53" s="7" t="s">
        <v>81</v>
      </c>
      <c r="F53" s="3"/>
      <c r="G53" s="3"/>
      <c r="H53" s="3"/>
      <c r="I53" s="3"/>
      <c r="L53" s="106"/>
      <c r="O53" s="303">
        <v>45274</v>
      </c>
      <c r="R53" s="304">
        <v>8028093</v>
      </c>
      <c r="T53" s="308">
        <v>11500000</v>
      </c>
      <c r="U53" s="234" t="s">
        <v>424</v>
      </c>
      <c r="V53" s="308">
        <f>R53-T53</f>
        <v>-3471907</v>
      </c>
    </row>
    <row r="54" spans="1:22" ht="12.75" customHeight="1" x14ac:dyDescent="0.2">
      <c r="A54" s="3"/>
      <c r="B54" s="3"/>
      <c r="C54" s="3"/>
      <c r="D54" s="78">
        <v>0</v>
      </c>
      <c r="E54" s="7" t="s">
        <v>82</v>
      </c>
      <c r="F54" s="3"/>
      <c r="G54" s="82"/>
      <c r="H54" s="3"/>
      <c r="I54" s="3"/>
      <c r="O54" s="303">
        <v>45275</v>
      </c>
      <c r="Q54" s="235" t="s">
        <v>426</v>
      </c>
      <c r="R54" s="304">
        <v>5161228</v>
      </c>
      <c r="T54" s="308">
        <v>11500000</v>
      </c>
      <c r="U54" s="1" t="s">
        <v>425</v>
      </c>
      <c r="V54" s="308">
        <f>R54-T54</f>
        <v>-6338772</v>
      </c>
    </row>
    <row r="55" spans="1:22" ht="12.75" customHeight="1" x14ac:dyDescent="0.2">
      <c r="A55" s="3"/>
      <c r="B55" s="3"/>
      <c r="C55" s="3"/>
      <c r="D55" s="78">
        <f>SUM(D51:D54)</f>
        <v>0</v>
      </c>
      <c r="E55" s="7" t="s">
        <v>42</v>
      </c>
      <c r="F55" s="3"/>
      <c r="G55" s="3"/>
      <c r="H55" s="3"/>
      <c r="I55" s="3"/>
      <c r="O55" s="303">
        <v>45275</v>
      </c>
      <c r="R55" s="304">
        <v>5083738</v>
      </c>
      <c r="V55" s="308"/>
    </row>
    <row r="56" spans="1:22" ht="15.75" customHeight="1" thickBot="1" x14ac:dyDescent="0.3">
      <c r="A56" s="3"/>
      <c r="B56" s="3"/>
      <c r="C56" s="83"/>
      <c r="D56" s="84"/>
      <c r="E56" s="4"/>
      <c r="F56" s="3"/>
      <c r="G56" s="3"/>
      <c r="H56" s="3"/>
      <c r="I56" s="3"/>
      <c r="O56" s="303">
        <v>45275</v>
      </c>
      <c r="R56" s="304">
        <v>5148313</v>
      </c>
      <c r="V56" s="308"/>
    </row>
    <row r="57" spans="1:22" ht="12.75" customHeight="1" thickBot="1" x14ac:dyDescent="0.25">
      <c r="A57" s="47"/>
      <c r="B57" s="3"/>
      <c r="C57" s="3"/>
      <c r="D57" s="84"/>
      <c r="E57" s="4"/>
      <c r="F57" s="3"/>
      <c r="G57" s="193"/>
      <c r="H57" s="194" t="s">
        <v>238</v>
      </c>
      <c r="I57" s="3"/>
      <c r="K57" s="95"/>
      <c r="L57" s="96" t="s">
        <v>105</v>
      </c>
      <c r="M57" s="96" t="s">
        <v>116</v>
      </c>
      <c r="N57" s="296"/>
      <c r="O57" s="303">
        <v>45275</v>
      </c>
      <c r="R57" s="304">
        <v>5212888</v>
      </c>
      <c r="T57" s="308">
        <v>11500000</v>
      </c>
      <c r="V57" s="308">
        <f t="shared" ref="V57" si="0">R57-T57</f>
        <v>-6287112</v>
      </c>
    </row>
    <row r="58" spans="1:22" ht="12.75" customHeight="1" thickBot="1" x14ac:dyDescent="0.25">
      <c r="A58" s="3"/>
      <c r="B58" s="3"/>
      <c r="D58" s="42"/>
      <c r="E58" s="4"/>
      <c r="F58" s="3"/>
      <c r="G58" s="195" t="s">
        <v>239</v>
      </c>
      <c r="H58" s="197">
        <v>57711</v>
      </c>
      <c r="I58" s="3"/>
      <c r="K58" s="98" t="s">
        <v>106</v>
      </c>
      <c r="L58" s="78">
        <v>0</v>
      </c>
      <c r="M58" s="78">
        <f>L58</f>
        <v>0</v>
      </c>
      <c r="N58" s="75"/>
      <c r="O58" s="303"/>
    </row>
    <row r="59" spans="1:22" ht="12.75" customHeight="1" thickBot="1" x14ac:dyDescent="0.25">
      <c r="A59" s="3"/>
      <c r="B59" s="3"/>
      <c r="C59" s="3"/>
      <c r="D59" s="3"/>
      <c r="E59" s="4"/>
      <c r="F59" s="3"/>
      <c r="G59" s="195" t="s">
        <v>257</v>
      </c>
      <c r="H59" s="196">
        <v>0</v>
      </c>
      <c r="I59" s="3"/>
      <c r="K59" s="100" t="s">
        <v>72</v>
      </c>
      <c r="L59" s="118">
        <v>0</v>
      </c>
      <c r="M59" s="118">
        <f>L59</f>
        <v>0</v>
      </c>
      <c r="N59" s="297"/>
      <c r="O59" s="303"/>
      <c r="P59" s="281"/>
    </row>
    <row r="60" spans="1:22" ht="12.75" customHeight="1" thickBot="1" x14ac:dyDescent="0.25">
      <c r="A60" s="3"/>
      <c r="B60" s="3"/>
      <c r="C60" s="3"/>
      <c r="D60" s="3"/>
      <c r="E60" s="4"/>
      <c r="F60" s="3"/>
      <c r="G60" s="195" t="s">
        <v>240</v>
      </c>
      <c r="H60" s="197">
        <v>0</v>
      </c>
      <c r="I60" s="3"/>
      <c r="K60" s="100" t="s">
        <v>107</v>
      </c>
      <c r="L60" s="116">
        <v>0</v>
      </c>
      <c r="M60" s="78">
        <f>L60</f>
        <v>0</v>
      </c>
      <c r="N60" s="75"/>
      <c r="O60" s="303"/>
    </row>
    <row r="61" spans="1:22" ht="12.75" customHeight="1" thickTop="1" thickBot="1" x14ac:dyDescent="0.25">
      <c r="A61" s="3"/>
      <c r="B61" s="3"/>
      <c r="C61" s="3"/>
      <c r="D61" s="3"/>
      <c r="E61" s="4"/>
      <c r="F61" s="3"/>
      <c r="G61" s="195" t="s">
        <v>258</v>
      </c>
      <c r="H61" s="197">
        <v>0</v>
      </c>
      <c r="I61" s="3"/>
      <c r="K61" s="102" t="s">
        <v>108</v>
      </c>
      <c r="L61" s="118">
        <v>0</v>
      </c>
      <c r="M61" s="118">
        <v>0</v>
      </c>
      <c r="N61" s="297"/>
      <c r="O61" s="357" t="s">
        <v>436</v>
      </c>
      <c r="P61" s="358"/>
      <c r="Q61" s="358"/>
      <c r="R61" s="358"/>
      <c r="S61" s="359"/>
    </row>
    <row r="62" spans="1:22" ht="12.75" customHeight="1" thickTop="1" thickBot="1" x14ac:dyDescent="0.25">
      <c r="A62" s="3"/>
      <c r="B62" s="3"/>
      <c r="C62" s="3"/>
      <c r="D62" s="247"/>
      <c r="E62" s="4"/>
      <c r="F62" s="3"/>
      <c r="G62" s="195" t="s">
        <v>259</v>
      </c>
      <c r="H62" s="197">
        <v>0</v>
      </c>
      <c r="I62" s="3"/>
      <c r="K62" s="98" t="s">
        <v>42</v>
      </c>
      <c r="L62" s="78">
        <f>SUM(L58:L61)</f>
        <v>0</v>
      </c>
      <c r="M62" s="78">
        <f>SUM(M58:M61)</f>
        <v>0</v>
      </c>
      <c r="N62" s="75"/>
      <c r="O62" s="329"/>
      <c r="P62" s="333" t="s">
        <v>411</v>
      </c>
      <c r="Q62" s="329"/>
      <c r="R62" s="334" t="s">
        <v>420</v>
      </c>
      <c r="S62" s="334" t="s">
        <v>439</v>
      </c>
    </row>
    <row r="63" spans="1:22" ht="12.75" customHeight="1" thickTop="1" thickBot="1" x14ac:dyDescent="0.25">
      <c r="A63" s="3"/>
      <c r="B63" s="3"/>
      <c r="C63" s="3"/>
      <c r="D63" s="3"/>
      <c r="E63" s="4"/>
      <c r="F63" s="3"/>
      <c r="G63" s="195" t="s">
        <v>317</v>
      </c>
      <c r="H63" s="197">
        <v>0</v>
      </c>
      <c r="I63" s="3"/>
      <c r="O63" s="328" t="s">
        <v>437</v>
      </c>
      <c r="P63" s="298">
        <f>10500000-500000</f>
        <v>10000000</v>
      </c>
      <c r="Q63" s="329" t="s">
        <v>413</v>
      </c>
      <c r="R63" s="327">
        <v>10596129</v>
      </c>
      <c r="S63" s="327">
        <v>500000</v>
      </c>
      <c r="T63" s="330" t="s">
        <v>438</v>
      </c>
      <c r="U63" s="331"/>
    </row>
    <row r="64" spans="1:22" ht="12.75" customHeight="1" thickTop="1" thickBot="1" x14ac:dyDescent="0.25">
      <c r="A64" s="3"/>
      <c r="B64" s="3"/>
      <c r="C64" s="3"/>
      <c r="D64" s="3"/>
      <c r="E64" s="4"/>
      <c r="F64" s="3"/>
      <c r="G64" s="198" t="s">
        <v>243</v>
      </c>
      <c r="H64" s="197">
        <f>SUM(H59:H63)</f>
        <v>0</v>
      </c>
      <c r="I64" s="3"/>
      <c r="O64" s="326"/>
      <c r="P64" s="298"/>
      <c r="Q64" s="299"/>
      <c r="R64" s="332"/>
      <c r="S64" s="332"/>
    </row>
    <row r="65" spans="1:19" ht="12.75" customHeight="1" thickTop="1" thickBot="1" x14ac:dyDescent="0.25">
      <c r="A65" s="3"/>
      <c r="B65" s="3"/>
      <c r="C65" s="3"/>
      <c r="D65" s="3"/>
      <c r="E65" s="4"/>
      <c r="F65" s="3"/>
      <c r="G65" s="199" t="s">
        <v>244</v>
      </c>
      <c r="H65" s="210">
        <f>H58-H64</f>
        <v>57711</v>
      </c>
      <c r="I65" s="3"/>
      <c r="O65" s="326"/>
      <c r="P65" s="298"/>
      <c r="Q65" s="299"/>
      <c r="R65" s="332"/>
      <c r="S65" s="332"/>
    </row>
    <row r="66" spans="1:19" ht="12.75" customHeight="1" thickTop="1" thickBot="1" x14ac:dyDescent="0.2">
      <c r="A66" s="3"/>
      <c r="B66" s="3"/>
      <c r="C66" s="3"/>
      <c r="D66" s="3"/>
      <c r="E66" s="4"/>
      <c r="F66" s="3"/>
      <c r="G66" s="3"/>
      <c r="H66" s="3"/>
      <c r="I66" s="3"/>
      <c r="O66" s="326"/>
      <c r="P66" s="298"/>
      <c r="Q66" s="299"/>
      <c r="R66" s="332"/>
      <c r="S66" s="332"/>
    </row>
    <row r="67" spans="1:19" ht="12.75" customHeight="1" thickTop="1" thickBot="1" x14ac:dyDescent="0.2">
      <c r="A67" s="3"/>
      <c r="B67" s="3"/>
      <c r="C67" s="3"/>
      <c r="D67" s="3"/>
      <c r="E67" s="4"/>
      <c r="F67" s="3"/>
      <c r="G67" s="3"/>
      <c r="H67" s="3"/>
      <c r="I67" s="3"/>
      <c r="O67" s="326"/>
      <c r="P67" s="298"/>
      <c r="Q67" s="299"/>
      <c r="R67" s="332"/>
      <c r="S67" s="332"/>
    </row>
    <row r="68" spans="1:19" ht="12.75" customHeight="1" thickTop="1" thickBot="1" x14ac:dyDescent="0.2">
      <c r="A68" s="3"/>
      <c r="B68" s="3"/>
      <c r="C68" s="3"/>
      <c r="D68" s="3"/>
      <c r="E68" s="4"/>
      <c r="F68" s="3"/>
      <c r="G68" s="3"/>
      <c r="H68" s="3"/>
      <c r="I68" s="3"/>
      <c r="O68" s="326"/>
      <c r="P68" s="298"/>
      <c r="Q68" s="299"/>
      <c r="R68" s="332"/>
      <c r="S68" s="332"/>
    </row>
    <row r="69" spans="1:19" ht="12.75" customHeight="1" thickTop="1" thickBot="1" x14ac:dyDescent="0.2">
      <c r="A69" s="3"/>
      <c r="B69" s="3"/>
      <c r="C69" s="3"/>
      <c r="D69" s="3"/>
      <c r="E69" s="4"/>
      <c r="F69" s="3"/>
      <c r="G69" s="3"/>
      <c r="H69" s="3"/>
      <c r="I69" s="3"/>
      <c r="O69" s="326"/>
      <c r="P69" s="298"/>
      <c r="Q69" s="299"/>
      <c r="R69" s="332"/>
      <c r="S69" s="332"/>
    </row>
    <row r="70" spans="1:19" ht="12.75" customHeight="1" thickTop="1" thickBot="1" x14ac:dyDescent="0.2">
      <c r="A70" s="3"/>
      <c r="B70" s="3"/>
      <c r="C70" s="3"/>
      <c r="D70" s="3"/>
      <c r="E70" s="4"/>
      <c r="F70" s="3"/>
      <c r="G70" s="3"/>
      <c r="H70" s="3"/>
      <c r="I70" s="3"/>
      <c r="O70" s="326"/>
      <c r="P70" s="298"/>
      <c r="Q70" s="299"/>
      <c r="R70" s="332"/>
      <c r="S70" s="332"/>
    </row>
    <row r="71" spans="1:19" ht="12.75" customHeight="1" thickTop="1" thickBot="1" x14ac:dyDescent="0.2">
      <c r="A71" s="3"/>
      <c r="B71" s="3"/>
      <c r="C71" s="3"/>
      <c r="D71" s="3"/>
      <c r="E71" s="4"/>
      <c r="F71" s="3"/>
      <c r="G71" s="3"/>
      <c r="H71" s="3"/>
      <c r="I71" s="3"/>
      <c r="O71" s="326"/>
      <c r="P71" s="298"/>
      <c r="Q71" s="299"/>
      <c r="R71" s="332"/>
      <c r="S71" s="332"/>
    </row>
    <row r="72" spans="1:19" ht="12.75" customHeight="1" thickTop="1" thickBot="1" x14ac:dyDescent="0.2">
      <c r="A72" s="3"/>
      <c r="B72" s="3"/>
      <c r="C72" s="3"/>
      <c r="D72" s="3"/>
      <c r="E72" s="4"/>
      <c r="F72" s="3"/>
      <c r="G72" s="3"/>
      <c r="H72" s="3"/>
      <c r="I72" s="3"/>
      <c r="O72" s="326"/>
      <c r="P72" s="298"/>
      <c r="Q72" s="299"/>
      <c r="R72" s="332"/>
      <c r="S72" s="332"/>
    </row>
    <row r="73" spans="1:19" ht="12.75" customHeight="1" thickTop="1" thickBot="1" x14ac:dyDescent="0.2">
      <c r="A73" s="3"/>
      <c r="B73" s="3"/>
      <c r="C73" s="3"/>
      <c r="D73" s="3"/>
      <c r="E73" s="4"/>
      <c r="F73" s="3"/>
      <c r="G73" s="3"/>
      <c r="H73" s="3"/>
      <c r="I73" s="3"/>
      <c r="O73" s="326"/>
      <c r="P73" s="298"/>
      <c r="Q73" s="299"/>
      <c r="R73" s="332"/>
      <c r="S73" s="332"/>
    </row>
    <row r="74" spans="1:19" ht="12.75" customHeight="1" thickTop="1" thickBot="1" x14ac:dyDescent="0.2">
      <c r="A74" s="3"/>
      <c r="B74" s="3"/>
      <c r="C74" s="3"/>
      <c r="D74" s="3"/>
      <c r="E74" s="4"/>
      <c r="F74" s="3"/>
      <c r="G74" s="3"/>
      <c r="H74" s="3"/>
      <c r="I74" s="3"/>
      <c r="O74" s="326"/>
      <c r="P74" s="298"/>
      <c r="Q74" s="299"/>
      <c r="R74" s="332"/>
      <c r="S74" s="332"/>
    </row>
    <row r="75" spans="1:19" ht="12.75" customHeight="1" thickTop="1" thickBot="1" x14ac:dyDescent="0.2">
      <c r="A75" s="3"/>
      <c r="B75" s="3"/>
      <c r="C75" s="3"/>
      <c r="D75" s="3"/>
      <c r="E75" s="4"/>
      <c r="F75" s="3"/>
      <c r="G75" s="3"/>
      <c r="H75" s="3"/>
      <c r="I75" s="3"/>
      <c r="O75" s="326"/>
      <c r="P75" s="298"/>
      <c r="Q75" s="299"/>
      <c r="R75" s="332"/>
      <c r="S75" s="332"/>
    </row>
    <row r="76" spans="1:19" ht="12.75" customHeight="1" thickTop="1" thickBot="1" x14ac:dyDescent="0.2">
      <c r="A76" s="3"/>
      <c r="B76" s="3"/>
      <c r="C76" s="3"/>
      <c r="D76" s="3"/>
      <c r="E76" s="4"/>
      <c r="F76" s="3"/>
      <c r="G76" s="3"/>
      <c r="H76" s="3"/>
      <c r="I76" s="3"/>
      <c r="O76" s="326"/>
      <c r="P76" s="298"/>
      <c r="Q76" s="299"/>
      <c r="R76" s="332"/>
      <c r="S76" s="332"/>
    </row>
    <row r="77" spans="1:19" ht="12.75" customHeight="1" thickTop="1" thickBot="1" x14ac:dyDescent="0.2">
      <c r="A77" s="3"/>
      <c r="B77" s="3"/>
      <c r="C77" s="3"/>
      <c r="D77" s="3"/>
      <c r="E77" s="4"/>
      <c r="F77" s="3"/>
      <c r="G77" s="3"/>
      <c r="H77" s="3"/>
      <c r="I77" s="3"/>
      <c r="O77" s="326"/>
      <c r="P77" s="298"/>
      <c r="Q77" s="299"/>
      <c r="R77" s="332"/>
      <c r="S77" s="332"/>
    </row>
    <row r="78" spans="1:19" ht="12.75" customHeight="1" thickTop="1" thickBot="1" x14ac:dyDescent="0.2">
      <c r="A78" s="3"/>
      <c r="B78" s="3"/>
      <c r="C78" s="3"/>
      <c r="D78" s="3"/>
      <c r="E78" s="4"/>
      <c r="F78" s="3"/>
      <c r="G78" s="3"/>
      <c r="H78" s="3"/>
      <c r="I78" s="3"/>
      <c r="O78" s="326"/>
      <c r="P78" s="298"/>
      <c r="Q78" s="299"/>
      <c r="R78" s="332"/>
      <c r="S78" s="332"/>
    </row>
    <row r="79" spans="1:19" ht="12.75" customHeight="1" thickTop="1" thickBot="1" x14ac:dyDescent="0.2">
      <c r="A79" s="3"/>
      <c r="B79" s="3"/>
      <c r="C79" s="3"/>
      <c r="D79" s="3"/>
      <c r="E79" s="4"/>
      <c r="F79" s="3"/>
      <c r="G79" s="3"/>
      <c r="H79" s="3"/>
      <c r="I79" s="3"/>
      <c r="O79" s="326"/>
      <c r="P79" s="298"/>
      <c r="Q79" s="299"/>
      <c r="R79" s="332"/>
      <c r="S79" s="332"/>
    </row>
    <row r="80" spans="1:19" ht="12.75" customHeight="1" thickTop="1" thickBot="1" x14ac:dyDescent="0.2">
      <c r="A80" s="3"/>
      <c r="B80" s="3"/>
      <c r="C80" s="3"/>
      <c r="D80" s="3"/>
      <c r="E80" s="4"/>
      <c r="F80" s="3"/>
      <c r="G80" s="3"/>
      <c r="H80" s="3"/>
      <c r="I80" s="3"/>
      <c r="O80" s="326"/>
      <c r="P80" s="298"/>
      <c r="Q80" s="299"/>
      <c r="R80" s="332"/>
      <c r="S80" s="332"/>
    </row>
    <row r="81" spans="1:19" ht="12.75" customHeight="1" thickTop="1" thickBot="1" x14ac:dyDescent="0.2">
      <c r="A81" s="3"/>
      <c r="B81" s="3"/>
      <c r="C81" s="3"/>
      <c r="D81" s="3"/>
      <c r="E81" s="4"/>
      <c r="F81" s="3"/>
      <c r="G81" s="3"/>
      <c r="H81" s="3"/>
      <c r="I81" s="3"/>
      <c r="O81" s="326"/>
      <c r="P81" s="298"/>
      <c r="Q81" s="299"/>
      <c r="R81" s="332"/>
      <c r="S81" s="332"/>
    </row>
    <row r="82" spans="1:19" ht="12.75" customHeight="1" thickTop="1" thickBot="1" x14ac:dyDescent="0.2">
      <c r="A82" s="3"/>
      <c r="B82" s="3"/>
      <c r="C82" s="3"/>
      <c r="D82" s="3"/>
      <c r="E82" s="4"/>
      <c r="F82" s="3"/>
      <c r="G82" s="3"/>
      <c r="H82" s="3"/>
      <c r="I82" s="3"/>
      <c r="O82" s="326"/>
      <c r="P82" s="298"/>
      <c r="Q82" s="299"/>
      <c r="R82" s="332"/>
      <c r="S82" s="332"/>
    </row>
    <row r="83" spans="1:19" ht="12.75" customHeight="1" thickTop="1" thickBot="1" x14ac:dyDescent="0.2">
      <c r="A83" s="3"/>
      <c r="B83" s="3"/>
      <c r="C83" s="3"/>
      <c r="D83" s="3"/>
      <c r="E83" s="4"/>
      <c r="F83" s="3"/>
      <c r="G83" s="3"/>
      <c r="H83" s="3"/>
      <c r="I83" s="3"/>
      <c r="O83" s="326"/>
      <c r="P83" s="298"/>
      <c r="Q83" s="299"/>
      <c r="R83" s="332"/>
      <c r="S83" s="332"/>
    </row>
    <row r="84" spans="1:19" ht="12.75" customHeight="1" thickTop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1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1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1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1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1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1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1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1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1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1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1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1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>
      <c r="A188" s="3"/>
      <c r="B188" s="3"/>
      <c r="C188" s="3"/>
      <c r="D188" s="3"/>
      <c r="E188" s="4"/>
      <c r="F188" s="3"/>
      <c r="G188" s="3"/>
      <c r="H188" s="3"/>
      <c r="I188" s="3"/>
    </row>
    <row r="189" spans="1:9" ht="12.75" customHeight="1" x14ac:dyDescent="0.15">
      <c r="A189" s="3"/>
      <c r="B189" s="3"/>
      <c r="C189" s="3"/>
      <c r="D189" s="3"/>
      <c r="E189" s="4"/>
      <c r="F189" s="3"/>
      <c r="G189" s="3"/>
      <c r="H189" s="3"/>
      <c r="I189" s="3"/>
    </row>
    <row r="190" spans="1:9" ht="12.75" customHeight="1" x14ac:dyDescent="0.15">
      <c r="A190" s="3"/>
      <c r="B190" s="3"/>
      <c r="C190" s="3"/>
      <c r="D190" s="3"/>
      <c r="E190" s="4"/>
      <c r="F190" s="3"/>
      <c r="G190" s="3"/>
      <c r="H190" s="3"/>
      <c r="I190" s="3"/>
    </row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</sheetData>
  <sheetProtection selectLockedCells="1" selectUnlockedCells="1"/>
  <mergeCells count="2">
    <mergeCell ref="D50:E50"/>
    <mergeCell ref="O61:S61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F95F0-CC2B-4172-AF58-1CCCF6AED43A}">
  <sheetPr>
    <tabColor theme="0" tint="-0.499984740745262"/>
  </sheetPr>
  <dimension ref="A1:N255"/>
  <sheetViews>
    <sheetView topLeftCell="A19" zoomScale="130" zoomScaleNormal="130" workbookViewId="0">
      <selection activeCell="H62" sqref="H62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261" t="s">
        <v>455</v>
      </c>
      <c r="C4" s="336">
        <v>27000</v>
      </c>
      <c r="D4" s="337">
        <v>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0</v>
      </c>
      <c r="E6" s="23">
        <v>3</v>
      </c>
      <c r="F6" s="17">
        <f>SUM(D3:D6)</f>
        <v>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0</v>
      </c>
      <c r="E10" s="7">
        <v>2</v>
      </c>
      <c r="F10" s="27">
        <f>SUM(D7:D10)</f>
        <v>0</v>
      </c>
      <c r="G10" s="30" t="s">
        <v>21</v>
      </c>
      <c r="H10" s="31">
        <f>SUM(F6,F10)</f>
        <v>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430000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1688216</v>
      </c>
      <c r="H30" s="58" t="s">
        <v>35</v>
      </c>
      <c r="I30" s="59"/>
      <c r="M30" s="245" t="s">
        <v>408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0</v>
      </c>
      <c r="H31" s="61" t="s">
        <v>38</v>
      </c>
      <c r="I31" s="260"/>
      <c r="M31" s="122" t="s">
        <v>410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1688216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42"/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42">
        <v>207630</v>
      </c>
      <c r="F34" s="3"/>
      <c r="G34" s="42">
        <v>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42">
        <v>207430</v>
      </c>
      <c r="F35" s="42">
        <f>G34+G35</f>
        <v>0</v>
      </c>
      <c r="G35" s="42">
        <v>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457</v>
      </c>
      <c r="I36" s="38"/>
    </row>
    <row r="37" spans="1:14" ht="13.5" customHeight="1" x14ac:dyDescent="0.15">
      <c r="A37" s="47"/>
      <c r="B37" s="3"/>
      <c r="C37" s="3"/>
      <c r="D37" s="3"/>
      <c r="E37" s="42"/>
      <c r="F37" s="3"/>
      <c r="G37" s="42">
        <v>0</v>
      </c>
      <c r="H37" s="47" t="s">
        <v>365</v>
      </c>
      <c r="I37" s="3"/>
    </row>
    <row r="38" spans="1:14" ht="12.75" customHeight="1" x14ac:dyDescent="0.15">
      <c r="A38" s="47"/>
      <c r="B38" s="47"/>
      <c r="C38" s="3"/>
      <c r="D38" s="3"/>
      <c r="E38" s="42"/>
      <c r="F38" s="3"/>
      <c r="G38" s="42">
        <v>0</v>
      </c>
      <c r="H38" s="3" t="s">
        <v>449</v>
      </c>
      <c r="I38" s="3"/>
    </row>
    <row r="39" spans="1:14" ht="13.5" customHeight="1" thickBot="1" x14ac:dyDescent="0.2">
      <c r="A39" s="47"/>
      <c r="B39" s="59"/>
      <c r="C39" s="3"/>
      <c r="D39" s="3"/>
      <c r="E39" s="42"/>
      <c r="F39" s="3"/>
      <c r="G39" s="42">
        <v>0</v>
      </c>
      <c r="H39" s="47" t="s">
        <v>454</v>
      </c>
      <c r="I39" s="3"/>
    </row>
    <row r="40" spans="1:14" ht="14.25" customHeight="1" thickTop="1" thickBot="1" x14ac:dyDescent="0.25">
      <c r="A40" s="47"/>
      <c r="B40" s="59"/>
      <c r="C40" s="3"/>
      <c r="D40" s="3"/>
      <c r="E40" s="3"/>
      <c r="F40" s="3"/>
      <c r="G40" s="190">
        <f>D25</f>
        <v>0</v>
      </c>
      <c r="H40" s="58" t="s">
        <v>53</v>
      </c>
      <c r="I40" s="3"/>
    </row>
    <row r="41" spans="1:14" ht="14.25" customHeight="1" thickTop="1" thickBot="1" x14ac:dyDescent="0.25">
      <c r="A41" s="47"/>
      <c r="B41" s="59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0</v>
      </c>
      <c r="H42" s="58" t="s">
        <v>58</v>
      </c>
      <c r="I42" s="74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395000</v>
      </c>
      <c r="J43" s="173" t="s">
        <v>453</v>
      </c>
      <c r="K43" s="72">
        <f>I43+G43</f>
        <v>395000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125">
        <v>11000000</v>
      </c>
      <c r="J44" s="173" t="s">
        <v>452</v>
      </c>
      <c r="K44" s="73">
        <f>I44-G31</f>
        <v>11000000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1688216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0</v>
      </c>
      <c r="D50" s="78">
        <f>C50*20000</f>
        <v>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101443</v>
      </c>
      <c r="I55" s="3"/>
      <c r="K55" s="98" t="s">
        <v>106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72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101443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6DE5-BE7F-407A-8362-17873789DEF7}">
  <sheetPr>
    <tabColor theme="0" tint="-0.34998626667073579"/>
  </sheetPr>
  <dimension ref="A1:N255"/>
  <sheetViews>
    <sheetView topLeftCell="C22" zoomScale="130" zoomScaleNormal="130" workbookViewId="0">
      <selection activeCell="G39" sqref="G39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0</v>
      </c>
      <c r="E6" s="23">
        <v>3</v>
      </c>
      <c r="F6" s="17">
        <f>SUM(D3:D6)</f>
        <v>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0</v>
      </c>
      <c r="E10" s="7">
        <v>2</v>
      </c>
      <c r="F10" s="27">
        <f>SUM(D7:D10)</f>
        <v>0</v>
      </c>
      <c r="G10" s="30" t="s">
        <v>21</v>
      </c>
      <c r="H10" s="31">
        <f>SUM(F6,F10)</f>
        <v>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430000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1931848</v>
      </c>
      <c r="H30" s="58" t="s">
        <v>35</v>
      </c>
      <c r="I30" s="59"/>
      <c r="L30" s="245" t="s">
        <v>408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0</v>
      </c>
      <c r="H31" s="61" t="s">
        <v>38</v>
      </c>
      <c r="I31" s="260"/>
      <c r="L31" s="122" t="s">
        <v>410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1931848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459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3" t="s">
        <v>458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60000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1000000</v>
      </c>
      <c r="J43" s="74" t="s">
        <v>453</v>
      </c>
      <c r="K43" s="72">
        <f>I43+G43</f>
        <v>1000000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7000000</v>
      </c>
      <c r="J44" s="74" t="s">
        <v>452</v>
      </c>
      <c r="K44" s="73">
        <f>I44-G31</f>
        <v>7000000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475060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1456788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</v>
      </c>
      <c r="D50" s="78">
        <f>C50*20000</f>
        <v>60000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60000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241443</v>
      </c>
      <c r="I55" s="3"/>
      <c r="K55" s="98" t="s">
        <v>106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72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1663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F36C7-26E1-4826-A318-2AD360C1C71C}">
  <sheetPr>
    <tabColor rgb="FF0070C0"/>
  </sheetPr>
  <dimension ref="A1:N255"/>
  <sheetViews>
    <sheetView topLeftCell="F22" zoomScale="115" zoomScaleNormal="115" workbookViewId="0">
      <selection activeCell="D17" sqref="D17"/>
    </sheetView>
  </sheetViews>
  <sheetFormatPr defaultColWidth="16" defaultRowHeight="15" customHeight="1" x14ac:dyDescent="0.15"/>
  <cols>
    <col min="1" max="1" width="18.6640625" style="1" customWidth="1"/>
    <col min="2" max="2" width="49.16406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265"/>
      <c r="C2" s="6" t="s">
        <v>1</v>
      </c>
      <c r="D2" s="35" t="s">
        <v>2</v>
      </c>
      <c r="E2" s="6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61.5" customHeight="1" x14ac:dyDescent="0.2">
      <c r="A3" s="9"/>
      <c r="B3" s="261" t="s">
        <v>394</v>
      </c>
      <c r="C3" s="11">
        <v>68000</v>
      </c>
      <c r="D3" s="16">
        <v>68000</v>
      </c>
      <c r="E3" s="35">
        <v>3</v>
      </c>
      <c r="F3" s="17"/>
      <c r="G3" s="18"/>
      <c r="H3" s="9"/>
      <c r="I3" s="9"/>
      <c r="J3" s="248" t="s">
        <v>8</v>
      </c>
      <c r="K3" s="9"/>
      <c r="L3" s="9"/>
      <c r="M3" s="9"/>
      <c r="N3" s="9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27000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ht="66.75" customHeight="1" x14ac:dyDescent="0.2">
      <c r="A5" s="9"/>
      <c r="B5" s="263" t="s">
        <v>395</v>
      </c>
      <c r="C5" s="11">
        <v>67670</v>
      </c>
      <c r="D5" s="16">
        <v>67670</v>
      </c>
      <c r="E5" s="250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62" t="s">
        <v>13</v>
      </c>
      <c r="C6" s="11">
        <v>23000</v>
      </c>
      <c r="D6" s="16">
        <v>23000</v>
      </c>
      <c r="E6" s="250">
        <v>3</v>
      </c>
      <c r="F6" s="17">
        <f>SUM(D3:D6)</f>
        <v>185670</v>
      </c>
      <c r="G6" s="25" t="s">
        <v>14</v>
      </c>
      <c r="H6" s="9"/>
      <c r="I6" s="9"/>
      <c r="J6" s="251" t="s">
        <v>8</v>
      </c>
      <c r="K6" s="9"/>
      <c r="L6" s="9"/>
      <c r="M6" s="9"/>
      <c r="N6" s="9"/>
    </row>
    <row r="7" spans="1:14" ht="12.75" customHeight="1" x14ac:dyDescent="0.2">
      <c r="A7" s="26" t="str">
        <f>HYPERLINK("http://www.eapat.co.kr/","www.eapat.co.kr")</f>
        <v>www.eapat.co.kr</v>
      </c>
      <c r="B7" s="275" t="s">
        <v>15</v>
      </c>
      <c r="C7" s="11">
        <v>140000</v>
      </c>
      <c r="D7" s="11">
        <v>140000</v>
      </c>
      <c r="E7" s="35">
        <v>3</v>
      </c>
      <c r="F7" s="27"/>
      <c r="G7" s="28"/>
      <c r="H7" s="9"/>
      <c r="I7" s="9"/>
      <c r="J7" s="251" t="s">
        <v>8</v>
      </c>
      <c r="K7" s="9"/>
      <c r="L7" s="9"/>
      <c r="M7" s="9"/>
      <c r="N7" s="9"/>
    </row>
    <row r="8" spans="1:14" ht="12.75" customHeight="1" x14ac:dyDescent="0.2">
      <c r="A8" s="9"/>
      <c r="B8" s="274" t="s">
        <v>16</v>
      </c>
      <c r="C8" s="11">
        <v>60000</v>
      </c>
      <c r="D8" s="11">
        <v>60000</v>
      </c>
      <c r="E8" s="250">
        <v>3</v>
      </c>
      <c r="F8" s="27"/>
      <c r="G8" s="28"/>
      <c r="H8" s="9"/>
      <c r="I8" s="9"/>
      <c r="J8" s="251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35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20</v>
      </c>
      <c r="C10" s="11">
        <v>35000</v>
      </c>
      <c r="D10" s="29">
        <v>35000</v>
      </c>
      <c r="E10" s="35">
        <v>2</v>
      </c>
      <c r="F10" s="27">
        <f>SUM(D7:D10)</f>
        <v>305000</v>
      </c>
      <c r="G10" s="30" t="s">
        <v>21</v>
      </c>
      <c r="H10" s="31">
        <f>SUM(F6,F10)</f>
        <v>490670</v>
      </c>
      <c r="I10" s="25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35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267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267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267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267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268"/>
      <c r="C22" s="11"/>
      <c r="D22" s="11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268"/>
      <c r="C23" s="11"/>
      <c r="D23" s="11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268"/>
      <c r="C24" s="37"/>
      <c r="D24" s="37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269"/>
      <c r="C25" s="39"/>
      <c r="D25" s="40">
        <f>SUM(D3:D24)</f>
        <v>1140670</v>
      </c>
      <c r="E25" s="4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270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271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271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271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271">
        <v>100000</v>
      </c>
      <c r="C30" s="3"/>
      <c r="D30" s="3"/>
      <c r="E30" s="55"/>
      <c r="F30" s="56"/>
      <c r="G30" s="57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271">
        <v>0</v>
      </c>
      <c r="C31" s="3"/>
      <c r="D31" s="122" t="s">
        <v>245</v>
      </c>
      <c r="E31" s="55"/>
      <c r="F31" s="53"/>
      <c r="G31" s="60">
        <v>4500000</v>
      </c>
      <c r="H31" s="61" t="s">
        <v>38</v>
      </c>
      <c r="I31" s="245" t="s">
        <v>397</v>
      </c>
      <c r="J31" s="122"/>
    </row>
    <row r="32" spans="1:14" ht="14.25" customHeight="1" thickTop="1" thickBot="1" x14ac:dyDescent="0.25">
      <c r="A32" s="48" t="s">
        <v>40</v>
      </c>
      <c r="B32" s="271">
        <v>120000</v>
      </c>
      <c r="C32" s="3"/>
      <c r="D32" s="3"/>
      <c r="E32" s="3"/>
      <c r="F32" s="63" t="s">
        <v>41</v>
      </c>
      <c r="G32" s="64">
        <f>G30+G31</f>
        <v>6000000</v>
      </c>
      <c r="H32" s="65" t="s">
        <v>42</v>
      </c>
      <c r="I32" s="3"/>
    </row>
    <row r="33" spans="1:14" ht="13.5" customHeight="1" thickTop="1" x14ac:dyDescent="0.15">
      <c r="A33" s="66" t="s">
        <v>43</v>
      </c>
      <c r="B33" s="271">
        <v>0</v>
      </c>
      <c r="C33" s="3"/>
      <c r="D33" s="3"/>
      <c r="E33" s="3"/>
      <c r="F33" s="3"/>
      <c r="G33" s="42">
        <v>0</v>
      </c>
      <c r="H33" s="47" t="s">
        <v>44</v>
      </c>
      <c r="I33" s="3"/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52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1140670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253"/>
      <c r="D41" s="253"/>
      <c r="E41" s="3"/>
      <c r="F41" s="42"/>
      <c r="G41" s="191">
        <v>1000000</v>
      </c>
      <c r="H41" s="61" t="s">
        <v>55</v>
      </c>
      <c r="I41" s="122"/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64">
        <v>0</v>
      </c>
      <c r="H43" s="61" t="s">
        <v>62</v>
      </c>
      <c r="I43" s="72">
        <v>0</v>
      </c>
      <c r="J43" s="254" t="s">
        <v>63</v>
      </c>
      <c r="K43" s="72">
        <f>I43+G43</f>
        <v>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212"/>
      <c r="J44" s="173" t="s">
        <v>67</v>
      </c>
      <c r="K44" s="212">
        <f>SUM(L45,L46)</f>
        <v>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4270670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1729330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6" t="s">
        <v>75</v>
      </c>
      <c r="E47" s="356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35" t="s">
        <v>78</v>
      </c>
      <c r="F48" s="245" t="s">
        <v>397</v>
      </c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255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35" t="s">
        <v>81</v>
      </c>
      <c r="F50" s="3"/>
      <c r="G50" s="3"/>
      <c r="H50" s="3"/>
      <c r="I50" s="3"/>
      <c r="L50" s="186"/>
    </row>
    <row r="51" spans="1:14" ht="12.75" customHeight="1" x14ac:dyDescent="0.2">
      <c r="A51" s="3"/>
      <c r="B51" s="3"/>
      <c r="C51" s="3"/>
      <c r="D51" s="78">
        <v>0</v>
      </c>
      <c r="E51" s="35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35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126" t="s">
        <v>105</v>
      </c>
      <c r="M54" s="12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200000</v>
      </c>
      <c r="I55" s="3"/>
      <c r="K55" s="256" t="s">
        <v>106</v>
      </c>
      <c r="L55" s="78">
        <v>0</v>
      </c>
      <c r="M55" s="78"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72</v>
      </c>
      <c r="L56" s="118">
        <v>0</v>
      </c>
      <c r="M56" s="118">
        <f>L56</f>
        <v>0</v>
      </c>
      <c r="N56" s="18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257" t="s">
        <v>108</v>
      </c>
      <c r="L58" s="118">
        <v>0</v>
      </c>
      <c r="M58" s="118">
        <v>0</v>
      </c>
      <c r="N58" s="186"/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259</v>
      </c>
      <c r="H59" s="197">
        <v>0</v>
      </c>
      <c r="I59" s="3"/>
      <c r="K59" s="256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180000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258" t="s">
        <v>243</v>
      </c>
      <c r="H61" s="197">
        <f>SUM(H56:H60)</f>
        <v>180000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20000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E94A-0781-4FA3-B9F6-0D07C5031382}">
  <sheetPr>
    <tabColor rgb="FF0070C0"/>
  </sheetPr>
  <dimension ref="A1:N255"/>
  <sheetViews>
    <sheetView topLeftCell="C29" zoomScale="115" zoomScaleNormal="115" workbookViewId="0">
      <selection activeCell="E39" sqref="E39"/>
    </sheetView>
  </sheetViews>
  <sheetFormatPr defaultColWidth="16" defaultRowHeight="15" customHeight="1" x14ac:dyDescent="0.15"/>
  <cols>
    <col min="1" max="1" width="18.6640625" style="1" customWidth="1"/>
    <col min="2" max="2" width="49.16406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265"/>
      <c r="C2" s="6" t="s">
        <v>1</v>
      </c>
      <c r="D2" s="35" t="s">
        <v>2</v>
      </c>
      <c r="E2" s="6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61.5" customHeight="1" x14ac:dyDescent="0.2">
      <c r="A3" s="9"/>
      <c r="B3" s="261" t="s">
        <v>394</v>
      </c>
      <c r="C3" s="11">
        <v>68000</v>
      </c>
      <c r="D3" s="16">
        <v>68000</v>
      </c>
      <c r="E3" s="35">
        <v>3</v>
      </c>
      <c r="F3" s="17"/>
      <c r="G3" s="18"/>
      <c r="H3" s="9"/>
      <c r="I3" s="9"/>
      <c r="J3" s="248" t="s">
        <v>8</v>
      </c>
      <c r="K3" s="9"/>
      <c r="L3" s="9"/>
      <c r="M3" s="9"/>
      <c r="N3" s="9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27000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ht="66.75" customHeight="1" x14ac:dyDescent="0.2">
      <c r="A5" s="9"/>
      <c r="B5" s="263" t="s">
        <v>395</v>
      </c>
      <c r="C5" s="11">
        <v>67670</v>
      </c>
      <c r="D5" s="16">
        <v>67670</v>
      </c>
      <c r="E5" s="250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62" t="s">
        <v>13</v>
      </c>
      <c r="C6" s="11">
        <v>23000</v>
      </c>
      <c r="D6" s="16">
        <v>23000</v>
      </c>
      <c r="E6" s="250">
        <v>3</v>
      </c>
      <c r="F6" s="17">
        <f>SUM(D3:D6)</f>
        <v>185670</v>
      </c>
      <c r="G6" s="25" t="s">
        <v>14</v>
      </c>
      <c r="H6" s="9"/>
      <c r="I6" s="9"/>
      <c r="J6" s="251" t="s">
        <v>8</v>
      </c>
      <c r="K6" s="9"/>
      <c r="L6" s="9"/>
      <c r="M6" s="9"/>
      <c r="N6" s="9"/>
    </row>
    <row r="7" spans="1:14" ht="12.75" customHeight="1" x14ac:dyDescent="0.2">
      <c r="A7" s="26" t="str">
        <f>HYPERLINK("http://www.eapat.co.kr/","www.eapat.co.kr")</f>
        <v>www.eapat.co.kr</v>
      </c>
      <c r="B7" s="275" t="s">
        <v>15</v>
      </c>
      <c r="C7" s="11">
        <v>140000</v>
      </c>
      <c r="D7" s="11">
        <v>140000</v>
      </c>
      <c r="E7" s="35">
        <v>3</v>
      </c>
      <c r="F7" s="27"/>
      <c r="G7" s="28"/>
      <c r="H7" s="9"/>
      <c r="I7" s="9"/>
      <c r="J7" s="251" t="s">
        <v>8</v>
      </c>
      <c r="K7" s="9"/>
      <c r="L7" s="9"/>
      <c r="M7" s="9"/>
      <c r="N7" s="9"/>
    </row>
    <row r="8" spans="1:14" ht="12.75" customHeight="1" x14ac:dyDescent="0.2">
      <c r="A8" s="9"/>
      <c r="B8" s="274" t="s">
        <v>16</v>
      </c>
      <c r="C8" s="11">
        <v>60000</v>
      </c>
      <c r="D8" s="11">
        <v>60000</v>
      </c>
      <c r="E8" s="250">
        <v>3</v>
      </c>
      <c r="F8" s="27"/>
      <c r="G8" s="28"/>
      <c r="H8" s="9"/>
      <c r="I8" s="9"/>
      <c r="J8" s="251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35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20</v>
      </c>
      <c r="C10" s="11">
        <v>35000</v>
      </c>
      <c r="D10" s="29">
        <v>35000</v>
      </c>
      <c r="E10" s="35">
        <v>2</v>
      </c>
      <c r="F10" s="27">
        <f>SUM(D7:D10)</f>
        <v>305000</v>
      </c>
      <c r="G10" s="30" t="s">
        <v>21</v>
      </c>
      <c r="H10" s="31">
        <f>SUM(F6,F10)</f>
        <v>490670</v>
      </c>
      <c r="I10" s="25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35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518065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267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267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267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267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268"/>
      <c r="C22" s="11"/>
      <c r="D22" s="11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268"/>
      <c r="C23" s="11"/>
      <c r="D23" s="11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268"/>
      <c r="C24" s="37"/>
      <c r="D24" s="37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269"/>
      <c r="C25" s="39"/>
      <c r="D25" s="40">
        <f>SUM(D3:D24)</f>
        <v>490670</v>
      </c>
      <c r="E25" s="4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270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271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271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271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271">
        <v>100000</v>
      </c>
      <c r="C30" s="3"/>
      <c r="D30" s="3"/>
      <c r="E30" s="55"/>
      <c r="F30" s="56"/>
      <c r="G30" s="57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271">
        <v>0</v>
      </c>
      <c r="C31" s="3"/>
      <c r="D31" s="122" t="s">
        <v>245</v>
      </c>
      <c r="E31" s="55"/>
      <c r="F31" s="53"/>
      <c r="G31" s="60">
        <v>3000000</v>
      </c>
      <c r="H31" s="61" t="s">
        <v>38</v>
      </c>
      <c r="I31" s="245" t="s">
        <v>397</v>
      </c>
      <c r="J31" s="122"/>
    </row>
    <row r="32" spans="1:14" ht="14.25" customHeight="1" thickTop="1" thickBot="1" x14ac:dyDescent="0.25">
      <c r="A32" s="48" t="s">
        <v>40</v>
      </c>
      <c r="B32" s="271">
        <v>120000</v>
      </c>
      <c r="C32" s="3"/>
      <c r="D32" s="3"/>
      <c r="E32" s="3"/>
      <c r="F32" s="63" t="s">
        <v>41</v>
      </c>
      <c r="G32" s="64">
        <f>G30+G31</f>
        <v>4500000</v>
      </c>
      <c r="H32" s="65" t="s">
        <v>42</v>
      </c>
      <c r="I32" s="3"/>
    </row>
    <row r="33" spans="1:14" ht="13.5" customHeight="1" thickTop="1" x14ac:dyDescent="0.15">
      <c r="A33" s="66" t="s">
        <v>43</v>
      </c>
      <c r="B33" s="271">
        <v>0</v>
      </c>
      <c r="C33" s="3"/>
      <c r="D33" s="3"/>
      <c r="E33" s="3"/>
      <c r="F33" s="3"/>
      <c r="G33" s="42">
        <v>0</v>
      </c>
      <c r="H33" s="47" t="s">
        <v>44</v>
      </c>
      <c r="I33" s="3"/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52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490670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253"/>
      <c r="D41" s="253"/>
      <c r="E41" s="3"/>
      <c r="F41" s="42"/>
      <c r="G41" s="191">
        <v>1000000</v>
      </c>
      <c r="H41" s="61" t="s">
        <v>55</v>
      </c>
      <c r="I41" s="122"/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920000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64">
        <v>0</v>
      </c>
      <c r="H43" s="61" t="s">
        <v>62</v>
      </c>
      <c r="I43" s="72">
        <v>0</v>
      </c>
      <c r="J43" s="254" t="s">
        <v>63</v>
      </c>
      <c r="K43" s="72">
        <f>I43+G43</f>
        <v>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212"/>
      <c r="J44" s="173" t="s">
        <v>67</v>
      </c>
      <c r="K44" s="212">
        <f>SUM(L45,L46)</f>
        <v>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3025730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1474270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6" t="s">
        <v>75</v>
      </c>
      <c r="E47" s="356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 t="s">
        <v>396</v>
      </c>
      <c r="E48" s="35" t="s">
        <v>78</v>
      </c>
      <c r="F48" s="245" t="s">
        <v>397</v>
      </c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300000</v>
      </c>
      <c r="E49" s="255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C50*20000</f>
        <v>620000</v>
      </c>
      <c r="E50" s="35" t="s">
        <v>81</v>
      </c>
      <c r="F50" s="3"/>
      <c r="G50" s="3"/>
      <c r="H50" s="3"/>
      <c r="I50" s="3"/>
      <c r="L50" s="186"/>
    </row>
    <row r="51" spans="1:14" ht="12.75" customHeight="1" x14ac:dyDescent="0.2">
      <c r="A51" s="3"/>
      <c r="B51" s="3"/>
      <c r="C51" s="3"/>
      <c r="D51" s="78">
        <v>0</v>
      </c>
      <c r="E51" s="35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920000</v>
      </c>
      <c r="E52" s="35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126" t="s">
        <v>105</v>
      </c>
      <c r="M54" s="12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200000</v>
      </c>
      <c r="I55" s="3"/>
      <c r="K55" s="256" t="s">
        <v>106</v>
      </c>
      <c r="L55" s="78">
        <v>0</v>
      </c>
      <c r="M55" s="78"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72</v>
      </c>
      <c r="L56" s="118">
        <v>0</v>
      </c>
      <c r="M56" s="118">
        <f>L56</f>
        <v>0</v>
      </c>
      <c r="N56" s="18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257" t="s">
        <v>108</v>
      </c>
      <c r="L58" s="118">
        <v>0</v>
      </c>
      <c r="M58" s="118">
        <v>0</v>
      </c>
      <c r="N58" s="186"/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259</v>
      </c>
      <c r="H59" s="197">
        <v>0</v>
      </c>
      <c r="I59" s="3"/>
      <c r="K59" s="256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180000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258" t="s">
        <v>243</v>
      </c>
      <c r="H61" s="197">
        <f>SUM(H56:H60)</f>
        <v>180000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20000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1032C-13E5-45D1-8E5E-464DA525AA1A}">
  <sheetPr>
    <tabColor rgb="FF0070C0"/>
  </sheetPr>
  <dimension ref="A1:N255"/>
  <sheetViews>
    <sheetView topLeftCell="F22" zoomScale="115" zoomScaleNormal="115" workbookViewId="0">
      <selection activeCell="G43" sqref="G43"/>
    </sheetView>
  </sheetViews>
  <sheetFormatPr defaultColWidth="16" defaultRowHeight="15" customHeight="1" x14ac:dyDescent="0.15"/>
  <cols>
    <col min="1" max="1" width="18.6640625" style="1" customWidth="1"/>
    <col min="2" max="2" width="49.16406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19" style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265"/>
      <c r="C2" s="6" t="s">
        <v>1</v>
      </c>
      <c r="D2" s="35" t="s">
        <v>2</v>
      </c>
      <c r="E2" s="6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ht="61.5" customHeight="1" x14ac:dyDescent="0.2">
      <c r="A3" s="9"/>
      <c r="B3" s="261" t="s">
        <v>394</v>
      </c>
      <c r="C3" s="11">
        <v>68000</v>
      </c>
      <c r="D3" s="16">
        <v>68000</v>
      </c>
      <c r="E3" s="35">
        <v>3</v>
      </c>
      <c r="F3" s="17"/>
      <c r="G3" s="18"/>
      <c r="H3" s="9"/>
      <c r="I3" s="9"/>
      <c r="J3" s="248" t="s">
        <v>8</v>
      </c>
      <c r="K3" s="9"/>
      <c r="L3" s="9"/>
      <c r="M3" s="9"/>
      <c r="N3" s="9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27000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ht="66.75" customHeight="1" x14ac:dyDescent="0.2">
      <c r="A5" s="9"/>
      <c r="B5" s="263" t="s">
        <v>395</v>
      </c>
      <c r="C5" s="11">
        <v>67670</v>
      </c>
      <c r="D5" s="16">
        <v>67670</v>
      </c>
      <c r="E5" s="250">
        <v>3</v>
      </c>
      <c r="F5" s="17"/>
      <c r="G5" s="18"/>
      <c r="H5" s="9"/>
      <c r="I5" s="9"/>
      <c r="J5" s="15" t="s">
        <v>8</v>
      </c>
      <c r="K5" s="9"/>
      <c r="L5" s="9"/>
      <c r="M5" s="9"/>
      <c r="N5" s="9"/>
    </row>
    <row r="6" spans="1:14" ht="12.75" customHeight="1" x14ac:dyDescent="0.2">
      <c r="A6" s="9"/>
      <c r="B6" s="262" t="s">
        <v>13</v>
      </c>
      <c r="C6" s="11">
        <v>23000</v>
      </c>
      <c r="D6" s="16">
        <v>23000</v>
      </c>
      <c r="E6" s="250">
        <v>3</v>
      </c>
      <c r="F6" s="17">
        <f>SUM(D3:D6)</f>
        <v>185670</v>
      </c>
      <c r="G6" s="25" t="s">
        <v>14</v>
      </c>
      <c r="H6" s="9"/>
      <c r="I6" s="9"/>
      <c r="J6" s="251" t="s">
        <v>8</v>
      </c>
      <c r="K6" s="9"/>
      <c r="L6" s="9"/>
      <c r="M6" s="9"/>
      <c r="N6" s="9"/>
    </row>
    <row r="7" spans="1:14" ht="12.75" customHeight="1" x14ac:dyDescent="0.2">
      <c r="A7" s="26" t="str">
        <f>HYPERLINK("http://www.eapat.co.kr/","www.eapat.co.kr")</f>
        <v>www.eapat.co.kr</v>
      </c>
      <c r="B7" s="275" t="s">
        <v>15</v>
      </c>
      <c r="C7" s="11">
        <v>140000</v>
      </c>
      <c r="D7" s="11">
        <v>140000</v>
      </c>
      <c r="E7" s="35">
        <v>3</v>
      </c>
      <c r="F7" s="27"/>
      <c r="G7" s="28"/>
      <c r="H7" s="9"/>
      <c r="I7" s="9"/>
      <c r="J7" s="251" t="s">
        <v>8</v>
      </c>
      <c r="K7" s="9"/>
      <c r="L7" s="9"/>
      <c r="M7" s="9"/>
      <c r="N7" s="9"/>
    </row>
    <row r="8" spans="1:14" ht="12.75" customHeight="1" x14ac:dyDescent="0.2">
      <c r="A8" s="9"/>
      <c r="B8" s="274" t="s">
        <v>16</v>
      </c>
      <c r="C8" s="11">
        <v>60000</v>
      </c>
      <c r="D8" s="11">
        <v>60000</v>
      </c>
      <c r="E8" s="250">
        <v>3</v>
      </c>
      <c r="F8" s="27"/>
      <c r="G8" s="28"/>
      <c r="H8" s="9"/>
      <c r="I8" s="9"/>
      <c r="J8" s="251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35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20</v>
      </c>
      <c r="C10" s="11">
        <v>35000</v>
      </c>
      <c r="D10" s="29">
        <v>35000</v>
      </c>
      <c r="E10" s="35">
        <v>2</v>
      </c>
      <c r="F10" s="27">
        <f>SUM(D7:D10)</f>
        <v>305000</v>
      </c>
      <c r="G10" s="30" t="s">
        <v>21</v>
      </c>
      <c r="H10" s="31">
        <f>SUM(F6,F10)</f>
        <v>490670</v>
      </c>
      <c r="I10" s="25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35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267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267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267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267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268"/>
      <c r="C22" s="11"/>
      <c r="D22" s="11"/>
      <c r="E22" s="35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268"/>
      <c r="C23" s="11"/>
      <c r="D23" s="11"/>
      <c r="E23" s="35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268"/>
      <c r="C24" s="37"/>
      <c r="D24" s="37"/>
      <c r="E24" s="35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269"/>
      <c r="C25" s="39"/>
      <c r="D25" s="40">
        <f>SUM(D3:D24)</f>
        <v>1140670</v>
      </c>
      <c r="E25" s="4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270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271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271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271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271">
        <v>100000</v>
      </c>
      <c r="C30" s="3"/>
      <c r="D30" s="3"/>
      <c r="E30" s="55"/>
      <c r="F30" s="56"/>
      <c r="G30" s="57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271">
        <v>0</v>
      </c>
      <c r="C31" s="3"/>
      <c r="D31" s="122" t="s">
        <v>245</v>
      </c>
      <c r="E31" s="55"/>
      <c r="F31" s="53"/>
      <c r="G31" s="60">
        <v>5500000</v>
      </c>
      <c r="H31" s="61" t="s">
        <v>38</v>
      </c>
      <c r="I31" s="245" t="s">
        <v>397</v>
      </c>
      <c r="J31" s="122"/>
    </row>
    <row r="32" spans="1:14" ht="14.25" customHeight="1" thickTop="1" thickBot="1" x14ac:dyDescent="0.25">
      <c r="A32" s="48" t="s">
        <v>40</v>
      </c>
      <c r="B32" s="271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15">
      <c r="A33" s="66" t="s">
        <v>43</v>
      </c>
      <c r="B33" s="271">
        <v>0</v>
      </c>
      <c r="C33" s="3"/>
      <c r="D33" s="3"/>
      <c r="E33" s="3"/>
      <c r="F33" s="3"/>
      <c r="G33" s="42">
        <v>0</v>
      </c>
      <c r="H33" s="47" t="s">
        <v>44</v>
      </c>
      <c r="I33" s="3"/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52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1140670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253"/>
      <c r="D41" s="253"/>
      <c r="E41" s="3"/>
      <c r="F41" s="42"/>
      <c r="G41" s="191">
        <v>1000000</v>
      </c>
      <c r="H41" s="61" t="s">
        <v>55</v>
      </c>
      <c r="I41" s="122"/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64">
        <v>1000000</v>
      </c>
      <c r="H43" s="61" t="s">
        <v>62</v>
      </c>
      <c r="I43" s="72">
        <v>0</v>
      </c>
      <c r="J43" s="254" t="s">
        <v>63</v>
      </c>
      <c r="K43" s="72">
        <f>I43+G43</f>
        <v>1000000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212"/>
      <c r="J44" s="173" t="s">
        <v>67</v>
      </c>
      <c r="K44" s="212">
        <f>SUM(L45,L46)</f>
        <v>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5685730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1314270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6" t="s">
        <v>75</v>
      </c>
      <c r="E47" s="356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35" t="s">
        <v>78</v>
      </c>
      <c r="F48" s="245" t="s">
        <v>397</v>
      </c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255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35" t="s">
        <v>81</v>
      </c>
      <c r="F50" s="3"/>
      <c r="G50" s="3"/>
      <c r="H50" s="3"/>
      <c r="I50" s="3"/>
      <c r="L50" s="186"/>
    </row>
    <row r="51" spans="1:14" ht="12.75" customHeight="1" x14ac:dyDescent="0.2">
      <c r="A51" s="3"/>
      <c r="B51" s="3"/>
      <c r="C51" s="3"/>
      <c r="D51" s="78">
        <v>0</v>
      </c>
      <c r="E51" s="35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35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126" t="s">
        <v>105</v>
      </c>
      <c r="M54" s="12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200000</v>
      </c>
      <c r="I55" s="3"/>
      <c r="K55" s="256" t="s">
        <v>106</v>
      </c>
      <c r="L55" s="78">
        <v>0</v>
      </c>
      <c r="M55" s="78"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72</v>
      </c>
      <c r="L56" s="118">
        <v>0</v>
      </c>
      <c r="M56" s="118">
        <f>L56</f>
        <v>0</v>
      </c>
      <c r="N56" s="18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257" t="s">
        <v>108</v>
      </c>
      <c r="L58" s="118">
        <v>0</v>
      </c>
      <c r="M58" s="118">
        <v>0</v>
      </c>
      <c r="N58" s="186"/>
    </row>
    <row r="59" spans="1:14" ht="12.75" customHeight="1" thickBot="1" x14ac:dyDescent="0.25">
      <c r="A59" s="3"/>
      <c r="B59" s="3"/>
      <c r="C59" s="3"/>
      <c r="D59" s="3"/>
      <c r="E59" s="4"/>
      <c r="F59" s="3"/>
      <c r="G59" s="195" t="s">
        <v>259</v>
      </c>
      <c r="H59" s="197">
        <v>0</v>
      </c>
      <c r="I59" s="3"/>
      <c r="K59" s="256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180000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258" t="s">
        <v>243</v>
      </c>
      <c r="H61" s="197">
        <f>SUM(H56:H60)</f>
        <v>180000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20000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DB2D4-45B5-2C49-96D0-B2315CE9342E}">
  <sheetPr>
    <tabColor theme="0" tint="-0.249977111117893"/>
  </sheetPr>
  <dimension ref="A1:N255"/>
  <sheetViews>
    <sheetView topLeftCell="F25" zoomScale="130" zoomScaleNormal="130" workbookViewId="0">
      <selection activeCell="G46" sqref="G4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0</v>
      </c>
      <c r="E6" s="23">
        <v>3</v>
      </c>
      <c r="F6" s="17">
        <f>SUM(D3:D6)</f>
        <v>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0</v>
      </c>
      <c r="E10" s="7">
        <v>2</v>
      </c>
      <c r="F10" s="27">
        <f>SUM(D7:D10)</f>
        <v>0</v>
      </c>
      <c r="G10" s="30" t="s">
        <v>21</v>
      </c>
      <c r="H10" s="31">
        <f>SUM(F6,F10)</f>
        <v>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518065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>
        <f>G30-4500</f>
        <v>2041479</v>
      </c>
      <c r="G30" s="148">
        <v>2045979</v>
      </c>
      <c r="H30" s="58" t="s">
        <v>35</v>
      </c>
      <c r="I30" s="59"/>
      <c r="L30" s="245" t="s">
        <v>407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0</v>
      </c>
      <c r="H31" s="61" t="s">
        <v>38</v>
      </c>
      <c r="I31" s="260"/>
      <c r="L31" s="122" t="s">
        <v>409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2045979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>
        <v>207430</v>
      </c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0</v>
      </c>
      <c r="H37" s="47" t="s">
        <v>365</v>
      </c>
      <c r="I37" s="3">
        <f>-F40</f>
        <v>0</v>
      </c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I43+G43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2">
        <v>13000000</v>
      </c>
      <c r="J44" s="74" t="s">
        <v>452</v>
      </c>
      <c r="K44" s="72">
        <f>I44-G31+G44</f>
        <v>13000000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415060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1630919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0</v>
      </c>
      <c r="D50" s="78">
        <f>C50*20000</f>
        <v>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255714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15934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03D7-BE45-43CF-93BC-21738AB0F660}">
  <sheetPr>
    <tabColor theme="0" tint="-0.34998626667073579"/>
  </sheetPr>
  <dimension ref="A1:N255"/>
  <sheetViews>
    <sheetView topLeftCell="A21" zoomScale="130" zoomScaleNormal="130" workbookViewId="0">
      <selection activeCell="C48" sqref="C48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68000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27000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185670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105000</v>
      </c>
      <c r="G10" s="30" t="s">
        <v>21</v>
      </c>
      <c r="H10" s="31">
        <f>SUM(F6,F10)</f>
        <v>290670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747276</v>
      </c>
      <c r="D17" s="34">
        <v>747276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1037946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4087830</v>
      </c>
      <c r="H30" s="58" t="s">
        <v>35</v>
      </c>
      <c r="I30" s="59"/>
      <c r="M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f>1200000</f>
        <v>1200000</v>
      </c>
      <c r="H31" s="61" t="s">
        <v>38</v>
      </c>
      <c r="I31" s="260"/>
      <c r="M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5287830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1000000</v>
      </c>
      <c r="H36" s="47" t="s">
        <v>52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1037946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1260000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I43+G43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9000000</v>
      </c>
      <c r="J44" s="74" t="s">
        <v>452</v>
      </c>
      <c r="K44" s="73">
        <f>I44+G44</f>
        <v>9000000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3963006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1324824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400000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12</v>
      </c>
      <c r="D50" s="78">
        <f>C50*30000</f>
        <v>360000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1260000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257226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17446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D912-48C3-994C-A447-410F42F1832D}">
  <sheetPr>
    <tabColor theme="0" tint="-0.249977111117893"/>
  </sheetPr>
  <dimension ref="A1:N255"/>
  <sheetViews>
    <sheetView topLeftCell="F23" zoomScale="130" zoomScaleNormal="130" workbookViewId="0">
      <selection activeCell="G35" sqref="G35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455</v>
      </c>
      <c r="C4" s="336">
        <v>27000</v>
      </c>
      <c r="D4" s="337">
        <v>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0</v>
      </c>
      <c r="E6" s="23">
        <v>3</v>
      </c>
      <c r="F6" s="17">
        <f>SUM(D3:D6)</f>
        <v>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0</v>
      </c>
      <c r="E10" s="7">
        <v>2</v>
      </c>
      <c r="F10" s="27">
        <f>SUM(D7:D10)</f>
        <v>0</v>
      </c>
      <c r="G10" s="30" t="s">
        <v>21</v>
      </c>
      <c r="H10" s="31">
        <f>SUM(F6,F10)</f>
        <v>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747276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3680043</v>
      </c>
      <c r="H30" s="58" t="s">
        <v>35</v>
      </c>
      <c r="I30" s="59"/>
      <c r="M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f>0</f>
        <v>0</v>
      </c>
      <c r="H31" s="61" t="s">
        <v>38</v>
      </c>
      <c r="I31" s="260"/>
      <c r="M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3680043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187430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52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I43+G43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9000000</v>
      </c>
      <c r="J44" s="74" t="s">
        <v>452</v>
      </c>
      <c r="K44" s="73">
        <f>I44+G44</f>
        <v>9000000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425060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3254983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1</v>
      </c>
      <c r="D50" s="78">
        <f>C50*30000</f>
        <v>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257226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17446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9D79-90E4-4BBB-A12E-E4A9AF57DFC7}">
  <sheetPr>
    <tabColor rgb="FF00B0F0"/>
  </sheetPr>
  <dimension ref="A1:N255"/>
  <sheetViews>
    <sheetView topLeftCell="B1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495670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3000000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4500000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495670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1180000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7000000</v>
      </c>
      <c r="J44" s="74" t="s">
        <v>452</v>
      </c>
      <c r="K44" s="73">
        <f>I44+G44-4000000</f>
        <v>3000000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2925670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1574330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250000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1180000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06116-0DAC-424A-880D-6E037B153D2E}">
  <sheetPr>
    <tabColor rgb="FF00B0F0"/>
  </sheetPr>
  <dimension ref="A1:N255"/>
  <sheetViews>
    <sheetView topLeftCell="B4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495670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3600000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5100000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495670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1180000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700000</v>
      </c>
      <c r="H44" s="61" t="s">
        <v>66</v>
      </c>
      <c r="I44" s="73">
        <v>7000000</v>
      </c>
      <c r="J44" s="74" t="s">
        <v>452</v>
      </c>
      <c r="K44" s="73">
        <f>I44+G44-4000000</f>
        <v>3700000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3625670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1474330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250000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1180000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E3CF-150E-AC4A-BAA4-44A6C2FBDDC2}">
  <sheetPr>
    <tabColor theme="0" tint="-0.249977111117893"/>
  </sheetPr>
  <dimension ref="A1:N255"/>
  <sheetViews>
    <sheetView topLeftCell="B1" zoomScale="130" zoomScaleNormal="130" workbookViewId="0">
      <selection activeCell="C51" sqref="C51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0</v>
      </c>
      <c r="E6" s="23">
        <v>3</v>
      </c>
      <c r="F6" s="17">
        <f>SUM(D3:D6)</f>
        <v>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0</v>
      </c>
      <c r="E10" s="7">
        <v>2</v>
      </c>
      <c r="F10" s="27">
        <f>SUM(D7:D10)</f>
        <v>0</v>
      </c>
      <c r="G10" s="30" t="s">
        <v>21</v>
      </c>
      <c r="H10" s="31">
        <f>SUM(F6,F10)</f>
        <v>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2402444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2402444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466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173" t="s">
        <v>453</v>
      </c>
      <c r="K43" s="72">
        <f>I43+G43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7000000</v>
      </c>
      <c r="J44" s="74" t="s">
        <v>452</v>
      </c>
      <c r="K44" s="73">
        <f>I44-G31</f>
        <v>7000000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445060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1957384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1</v>
      </c>
      <c r="D50" s="78">
        <f>C50*30000</f>
        <v>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249876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10096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F78F-D7B7-F242-8A33-CA170EA55C23}">
  <sheetPr>
    <tabColor rgb="FFFF0000"/>
  </sheetPr>
  <dimension ref="A1:N255"/>
  <sheetViews>
    <sheetView tabSelected="1" topLeftCell="B31" zoomScale="130" zoomScaleNormal="130" workbookViewId="0">
      <selection activeCell="G45" sqref="G45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1987944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3500000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5487944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0</v>
      </c>
      <c r="H36" s="47" t="s">
        <v>47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1120000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72">
        <f>I43</f>
        <v>2500000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7000000</v>
      </c>
      <c r="J44" s="74" t="s">
        <v>452</v>
      </c>
      <c r="K44" s="73">
        <f>I44+G44-3500000</f>
        <v>3500000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3930730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1557214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250000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29</v>
      </c>
      <c r="D50" s="78">
        <f>C50*30000</f>
        <v>870000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1120000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A2E3-30BA-4746-BE0D-48DD06898D61}">
  <dimension ref="A1:N255"/>
  <sheetViews>
    <sheetView topLeftCell="B25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f>3500000 + 2000000</f>
        <v>5500000</v>
      </c>
      <c r="H31" s="61" t="s">
        <v>38</v>
      </c>
      <c r="I31" s="347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1000000</v>
      </c>
      <c r="H36" s="47" t="s">
        <v>464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2500000</v>
      </c>
      <c r="J43" s="74" t="s">
        <v>453</v>
      </c>
      <c r="K43" s="349"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0</v>
      </c>
      <c r="H44" s="61" t="s">
        <v>66</v>
      </c>
      <c r="I44" s="73">
        <v>3500000</v>
      </c>
      <c r="J44" s="74" t="s">
        <v>452</v>
      </c>
      <c r="K44" s="72">
        <v>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5740730</v>
      </c>
      <c r="H45" s="58" t="s">
        <v>71</v>
      </c>
      <c r="I45" s="347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1259270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04F4-D0F5-E941-95EC-291D2293165E}">
  <dimension ref="A1:N255"/>
  <sheetViews>
    <sheetView topLeftCell="B28" zoomScale="130" zoomScaleNormal="130" workbookViewId="0">
      <selection activeCell="D49" sqref="D49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21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5">
        <v>650000</v>
      </c>
      <c r="D17" s="345">
        <v>650000</v>
      </c>
      <c r="E17" s="346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5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4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2000000</v>
      </c>
      <c r="H44" s="61" t="s">
        <v>66</v>
      </c>
      <c r="I44" s="73">
        <v>0</v>
      </c>
      <c r="J44" s="74" t="s">
        <v>350</v>
      </c>
      <c r="K44" s="212">
        <f>I44 + G44</f>
        <v>2000000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6740730</v>
      </c>
      <c r="H45" s="58" t="s">
        <v>71</v>
      </c>
      <c r="I45" s="347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1759270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0CDC-308E-CE4F-A43A-8BC0A1592050}">
  <dimension ref="A1:N255"/>
  <sheetViews>
    <sheetView topLeftCell="B22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 t="s">
        <v>462</v>
      </c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364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4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2000000</v>
      </c>
      <c r="H44" s="61" t="s">
        <v>66</v>
      </c>
      <c r="I44" s="72">
        <v>2000000</v>
      </c>
      <c r="J44" s="74" t="s">
        <v>453</v>
      </c>
      <c r="K44" s="72">
        <f>I44+G44</f>
        <v>4000000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6740730</v>
      </c>
      <c r="H45" s="58" t="s">
        <v>71</v>
      </c>
      <c r="I45" s="347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1759270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56E5C-98EB-E140-9630-D5411C67FDBB}">
  <dimension ref="A1:N255"/>
  <sheetViews>
    <sheetView topLeftCell="A22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279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2000000</v>
      </c>
      <c r="H44" s="61" t="s">
        <v>66</v>
      </c>
      <c r="I44" s="73">
        <v>4000000</v>
      </c>
      <c r="J44" s="74" t="s">
        <v>452</v>
      </c>
      <c r="K44" s="73">
        <f>I44+G44</f>
        <v>6000000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6740730</v>
      </c>
      <c r="H45" s="58" t="s">
        <v>71</v>
      </c>
      <c r="I45" s="347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1759270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C351-8066-314D-81EA-64626485B701}">
  <dimension ref="A1:N255"/>
  <sheetViews>
    <sheetView topLeftCell="B22" zoomScale="130" zoomScaleNormal="130" workbookViewId="0">
      <selection activeCell="F16" sqref="F16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279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2000000</v>
      </c>
      <c r="H44" s="61" t="s">
        <v>66</v>
      </c>
      <c r="I44" s="73">
        <v>6000000</v>
      </c>
      <c r="J44" s="74" t="s">
        <v>452</v>
      </c>
      <c r="K44" s="73">
        <f>I44+G44</f>
        <v>8000000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6740730</v>
      </c>
      <c r="H45" s="58" t="s">
        <v>71</v>
      </c>
      <c r="I45" s="348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1759270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7E39-7657-854E-A7AF-501D5427C69C}">
  <sheetPr>
    <tabColor rgb="FF00B0F0"/>
  </sheetPr>
  <dimension ref="A1:N255"/>
  <sheetViews>
    <sheetView topLeftCell="B16" zoomScale="130" zoomScaleNormal="130" workbookViewId="0">
      <selection activeCell="H33" sqref="H33:H39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650000</v>
      </c>
      <c r="D17" s="34">
        <v>650000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1145670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/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/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300000</v>
      </c>
      <c r="H33" s="47" t="s">
        <v>403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2">
      <c r="A36" s="47"/>
      <c r="B36" s="69"/>
      <c r="C36" s="3"/>
      <c r="D36" s="3"/>
      <c r="E36" s="3"/>
      <c r="F36" s="3"/>
      <c r="G36" s="42">
        <v>500000</v>
      </c>
      <c r="H36" s="47" t="s">
        <v>369</v>
      </c>
      <c r="I36" s="38" t="s">
        <v>90</v>
      </c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1145670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279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1500000</v>
      </c>
      <c r="H44" s="61" t="s">
        <v>66</v>
      </c>
      <c r="I44" s="73">
        <v>8000000</v>
      </c>
      <c r="J44" s="74" t="s">
        <v>452</v>
      </c>
      <c r="K44" s="73">
        <f>I44+G44</f>
        <v>9500000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7040730</v>
      </c>
      <c r="H45" s="58" t="s">
        <v>71</v>
      </c>
      <c r="I45" s="348"/>
      <c r="J45" s="42"/>
      <c r="K45" s="350" t="s">
        <v>465</v>
      </c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3798-8325-454E-9DCE-538B7C539147}">
  <dimension ref="A1:N255"/>
  <sheetViews>
    <sheetView topLeftCell="B1" zoomScale="130" zoomScaleNormal="130" workbookViewId="0">
      <selection activeCell="K43" sqref="K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5">
      <c r="A17" s="14" t="s">
        <v>28</v>
      </c>
      <c r="B17" s="267" t="s">
        <v>456</v>
      </c>
      <c r="C17" s="351">
        <v>450000</v>
      </c>
      <c r="D17" s="351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/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0</v>
      </c>
      <c r="J44" s="74" t="s">
        <v>452</v>
      </c>
      <c r="K44" s="73">
        <f>I44+G44</f>
        <v>2500000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/>
      <c r="G45" s="64">
        <f>SUM(G33:G44)</f>
        <v>7040730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7CD1-83AD-984C-B5B0-B8052AA7695A}">
  <dimension ref="A1:N255"/>
  <sheetViews>
    <sheetView topLeftCell="A22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450000</v>
      </c>
      <c r="D17" s="34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2500000</v>
      </c>
      <c r="J44" s="74" t="s">
        <v>452</v>
      </c>
      <c r="K44" s="73">
        <f>I44+G44</f>
        <v>5000000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7040730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A0D71-6657-40CF-9A1D-2B14AE8B6998}">
  <dimension ref="A1:N255"/>
  <sheetViews>
    <sheetView topLeftCell="A22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450000</v>
      </c>
      <c r="D17" s="34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5000000</v>
      </c>
      <c r="J44" s="74" t="s">
        <v>452</v>
      </c>
      <c r="K44" s="73">
        <f>I44+G44</f>
        <v>7500000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7040730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4C49-3001-4C87-8C64-F61C42B209C3}">
  <sheetPr>
    <tabColor rgb="FF00B0F0"/>
  </sheetPr>
  <dimension ref="A1:N255"/>
  <sheetViews>
    <sheetView topLeftCell="D22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450000</v>
      </c>
      <c r="D17" s="34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7500000</v>
      </c>
      <c r="J44" s="74" t="s">
        <v>452</v>
      </c>
      <c r="K44" s="73">
        <f>I44+G44</f>
        <v>10000000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7040730</v>
      </c>
      <c r="H45" s="58" t="s">
        <v>71</v>
      </c>
      <c r="I45" s="63"/>
      <c r="J45" s="42"/>
      <c r="K45" s="353" t="s">
        <v>468</v>
      </c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AD93-A6DA-4E5C-A4AD-9E00B38E6B26}">
  <dimension ref="A1:N255"/>
  <sheetViews>
    <sheetView topLeftCell="A16" zoomScale="130" zoomScaleNormal="130" workbookViewId="0">
      <selection activeCell="C17" sqref="C17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0</v>
      </c>
      <c r="J44" s="74" t="s">
        <v>452</v>
      </c>
      <c r="K44" s="73">
        <f>I44+G44</f>
        <v>2500000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6840730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DEFE-071D-45A1-9265-BA2A5A07F34D}">
  <dimension ref="A1:N255"/>
  <sheetViews>
    <sheetView topLeftCell="A24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7000000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8500000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2500000</v>
      </c>
      <c r="H44" s="61" t="s">
        <v>66</v>
      </c>
      <c r="I44" s="73">
        <v>2500000</v>
      </c>
      <c r="J44" s="74" t="s">
        <v>452</v>
      </c>
      <c r="K44" s="73">
        <f>I44+G44</f>
        <v>5000000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6840730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7427-4FF9-4ADA-A831-401783C0FD27}">
  <dimension ref="A1:N255"/>
  <sheetViews>
    <sheetView topLeftCell="B21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5000000</v>
      </c>
      <c r="J44" s="74" t="s">
        <v>452</v>
      </c>
      <c r="K44" s="73">
        <f>I44+G44</f>
        <v>6000000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5340730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A824E-276D-418E-9207-2C5B772D34AA}">
  <dimension ref="A1:N255"/>
  <sheetViews>
    <sheetView topLeftCell="A25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6000000</v>
      </c>
      <c r="J44" s="74" t="s">
        <v>452</v>
      </c>
      <c r="K44" s="73">
        <f>I44+G44</f>
        <v>7000000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5340730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FB3C5-BE03-4642-B2DC-A597C3EE3C77}">
  <dimension ref="A1:N255"/>
  <sheetViews>
    <sheetView topLeftCell="A23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7000000</v>
      </c>
      <c r="J44" s="74" t="s">
        <v>452</v>
      </c>
      <c r="K44" s="73">
        <f>I44+G44</f>
        <v>8000000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5340730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17F3-2EE7-4892-911A-F19C83C3A94A}">
  <dimension ref="A1:N255"/>
  <sheetViews>
    <sheetView topLeftCell="A22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8000000</v>
      </c>
      <c r="J44" s="74" t="s">
        <v>452</v>
      </c>
      <c r="K44" s="73">
        <f>I44+G44</f>
        <v>9000000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5340730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C2DC-9B6C-4EBE-93B1-0AD9B67D1723}">
  <sheetPr>
    <tabColor rgb="FF00B0F0"/>
  </sheetPr>
  <dimension ref="A1:N255"/>
  <sheetViews>
    <sheetView topLeftCell="A19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250000</v>
      </c>
      <c r="D17" s="34">
        <v>250000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745670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745670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9000000</v>
      </c>
      <c r="J44" s="74" t="s">
        <v>452</v>
      </c>
      <c r="K44" s="73">
        <f>I44+G44</f>
        <v>10000000</v>
      </c>
    </row>
    <row r="45" spans="1:14" ht="14.25" customHeight="1" thickTop="1" thickBot="1" x14ac:dyDescent="0.3">
      <c r="A45" s="47"/>
      <c r="B45" s="59"/>
      <c r="C45" s="3"/>
      <c r="D45" s="3"/>
      <c r="E45" s="3"/>
      <c r="F45" s="63" t="s">
        <v>70</v>
      </c>
      <c r="G45" s="64">
        <f>SUM(G33:G44)</f>
        <v>5340730</v>
      </c>
      <c r="H45" s="58" t="s">
        <v>71</v>
      </c>
      <c r="I45" s="63"/>
      <c r="J45" s="42"/>
      <c r="K45" s="352" t="s">
        <v>469</v>
      </c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6D75-DB06-47F4-940A-02F4904F96BE}">
  <dimension ref="A1:N255"/>
  <sheetViews>
    <sheetView topLeftCell="A20" zoomScale="130" zoomScaleNormal="130" workbookViewId="0">
      <selection activeCell="I43" sqref="I43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0</v>
      </c>
      <c r="D17" s="34">
        <v>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495670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300000</v>
      </c>
      <c r="H33" s="47" t="s">
        <v>403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500000</v>
      </c>
      <c r="H36" s="47" t="s">
        <v>369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470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495670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500000</v>
      </c>
      <c r="H44" s="61" t="s">
        <v>66</v>
      </c>
      <c r="I44" s="73">
        <v>0</v>
      </c>
      <c r="J44" s="74" t="s">
        <v>452</v>
      </c>
      <c r="K44" s="73">
        <f>I44+G44</f>
        <v>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5390730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1609270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8BE56-81E0-4D09-8455-FFDE6F5950BA}">
  <dimension ref="A1:N255"/>
  <sheetViews>
    <sheetView topLeftCell="A22" zoomScale="130" zoomScaleNormal="130" workbookViewId="0">
      <selection activeCell="G31" sqref="G31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450000</v>
      </c>
      <c r="D17" s="34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500000</v>
      </c>
      <c r="J44" s="74" t="s">
        <v>452</v>
      </c>
      <c r="K44" s="73">
        <f>I44+G44</f>
        <v>1500000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5540730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7E7F-DAD9-4B44-A90B-FD74F93794B7}">
  <dimension ref="A1:N255"/>
  <sheetViews>
    <sheetView topLeftCell="A24" zoomScale="130" zoomScaleNormal="130" workbookViewId="0">
      <selection activeCell="G45" sqref="G45"/>
    </sheetView>
  </sheetViews>
  <sheetFormatPr defaultColWidth="16" defaultRowHeight="15" customHeight="1" x14ac:dyDescent="0.15"/>
  <cols>
    <col min="1" max="1" width="18.6640625" style="1" customWidth="1"/>
    <col min="2" max="2" width="50.33203125" style="1" customWidth="1"/>
    <col min="3" max="3" width="14" style="1" customWidth="1"/>
    <col min="4" max="4" width="17" style="1" customWidth="1"/>
    <col min="5" max="5" width="17.6640625" style="1" customWidth="1"/>
    <col min="6" max="6" width="15.1640625" style="1" customWidth="1"/>
    <col min="7" max="7" width="17" style="1" customWidth="1"/>
    <col min="8" max="8" width="21.1640625" style="1" customWidth="1"/>
    <col min="9" max="10" width="17" style="1" customWidth="1"/>
    <col min="11" max="11" width="28.5" style="1" bestFit="1" customWidth="1"/>
    <col min="12" max="12" width="17.6640625" style="1" customWidth="1"/>
    <col min="13" max="13" width="17.83203125" style="1" customWidth="1"/>
    <col min="14" max="14" width="64.5" style="1" customWidth="1"/>
    <col min="15" max="16384" width="16" style="1"/>
  </cols>
  <sheetData>
    <row r="1" spans="1:14" ht="12.75" customHeight="1" x14ac:dyDescent="0.15">
      <c r="A1" s="2"/>
      <c r="B1" s="3"/>
      <c r="C1" s="3"/>
      <c r="D1" s="3"/>
      <c r="E1" s="4"/>
      <c r="F1" s="3"/>
      <c r="G1" s="3"/>
      <c r="H1" s="3"/>
      <c r="I1" s="3"/>
    </row>
    <row r="2" spans="1:14" ht="12.75" customHeight="1" x14ac:dyDescent="0.15">
      <c r="A2" s="5" t="s">
        <v>0</v>
      </c>
      <c r="B2" s="5"/>
      <c r="C2" s="6" t="s">
        <v>1</v>
      </c>
      <c r="D2" s="7" t="s">
        <v>2</v>
      </c>
      <c r="E2" s="8" t="s">
        <v>3</v>
      </c>
      <c r="F2" s="9"/>
      <c r="G2" s="9"/>
      <c r="H2" s="9"/>
      <c r="I2" s="9"/>
      <c r="J2" s="9"/>
      <c r="K2" s="9"/>
      <c r="L2" s="9"/>
      <c r="M2" s="9"/>
      <c r="N2" s="9"/>
    </row>
    <row r="3" spans="1:14" s="341" customFormat="1" ht="47.25" customHeight="1" x14ac:dyDescent="0.15">
      <c r="A3" s="267"/>
      <c r="B3" s="261" t="s">
        <v>394</v>
      </c>
      <c r="C3" s="336">
        <v>68000</v>
      </c>
      <c r="D3" s="337">
        <v>0</v>
      </c>
      <c r="E3" s="338">
        <v>3</v>
      </c>
      <c r="F3" s="339"/>
      <c r="G3" s="340"/>
      <c r="H3" s="267"/>
      <c r="I3" s="267"/>
      <c r="J3" s="19" t="s">
        <v>8</v>
      </c>
      <c r="K3" s="267"/>
      <c r="L3" s="267"/>
      <c r="M3" s="267"/>
      <c r="N3" s="267"/>
    </row>
    <row r="4" spans="1:14" s="341" customFormat="1" ht="46.5" customHeight="1" x14ac:dyDescent="0.15">
      <c r="A4" s="267"/>
      <c r="B4" s="344" t="s">
        <v>467</v>
      </c>
      <c r="C4" s="336">
        <v>100000</v>
      </c>
      <c r="D4" s="337">
        <v>100000</v>
      </c>
      <c r="E4" s="342">
        <v>3</v>
      </c>
      <c r="F4" s="339"/>
      <c r="G4" s="340"/>
      <c r="H4" s="267"/>
      <c r="I4" s="267"/>
      <c r="J4" s="15" t="s">
        <v>8</v>
      </c>
      <c r="K4" s="267"/>
      <c r="L4" s="267"/>
      <c r="M4" s="267"/>
      <c r="N4" s="267"/>
    </row>
    <row r="5" spans="1:14" s="341" customFormat="1" ht="55.5" customHeight="1" x14ac:dyDescent="0.15">
      <c r="A5" s="267"/>
      <c r="B5" s="263" t="s">
        <v>395</v>
      </c>
      <c r="C5" s="336">
        <v>67670</v>
      </c>
      <c r="D5" s="337">
        <v>67670</v>
      </c>
      <c r="E5" s="343">
        <v>3</v>
      </c>
      <c r="F5" s="339"/>
      <c r="G5" s="340"/>
      <c r="H5" s="267"/>
      <c r="I5" s="267"/>
      <c r="J5" s="15" t="s">
        <v>8</v>
      </c>
      <c r="K5" s="267"/>
      <c r="L5" s="267"/>
      <c r="M5" s="267"/>
      <c r="N5" s="267"/>
    </row>
    <row r="6" spans="1:14" ht="12.75" customHeight="1" x14ac:dyDescent="0.2">
      <c r="A6" s="9"/>
      <c r="B6" s="262" t="s">
        <v>381</v>
      </c>
      <c r="C6" s="11">
        <v>23000</v>
      </c>
      <c r="D6" s="16">
        <v>23000</v>
      </c>
      <c r="E6" s="23">
        <v>3</v>
      </c>
      <c r="F6" s="17">
        <f>SUM(D3:D6)</f>
        <v>190670</v>
      </c>
      <c r="G6" s="25" t="s">
        <v>14</v>
      </c>
      <c r="H6" s="9"/>
      <c r="I6" s="9"/>
      <c r="J6" s="24" t="s">
        <v>8</v>
      </c>
      <c r="K6" s="9"/>
      <c r="L6" s="9"/>
      <c r="M6" s="9"/>
      <c r="N6" s="9"/>
    </row>
    <row r="7" spans="1:14" ht="12.75" customHeight="1" x14ac:dyDescent="0.2">
      <c r="A7" s="9" t="s">
        <v>386</v>
      </c>
      <c r="B7" s="275" t="s">
        <v>15</v>
      </c>
      <c r="C7" s="11">
        <v>140000</v>
      </c>
      <c r="D7" s="11">
        <v>140000</v>
      </c>
      <c r="E7" s="7">
        <v>3</v>
      </c>
      <c r="F7" s="27"/>
      <c r="G7" s="28"/>
      <c r="H7" s="9"/>
      <c r="I7" s="9"/>
      <c r="J7" s="24" t="s">
        <v>8</v>
      </c>
      <c r="K7" s="9"/>
      <c r="L7" s="9"/>
      <c r="M7" s="9"/>
      <c r="N7" s="9"/>
    </row>
    <row r="8" spans="1:14" ht="12.75" customHeight="1" x14ac:dyDescent="0.2">
      <c r="A8" s="9" t="s">
        <v>386</v>
      </c>
      <c r="B8" s="274" t="s">
        <v>16</v>
      </c>
      <c r="C8" s="11">
        <v>60000</v>
      </c>
      <c r="D8" s="11">
        <v>60000</v>
      </c>
      <c r="E8" s="23">
        <v>3</v>
      </c>
      <c r="F8" s="27"/>
      <c r="G8" s="28"/>
      <c r="H8" s="9"/>
      <c r="I8" s="9"/>
      <c r="J8" s="24" t="s">
        <v>17</v>
      </c>
      <c r="K8" s="9"/>
      <c r="L8" s="9"/>
      <c r="M8" s="9"/>
      <c r="N8" s="9"/>
    </row>
    <row r="9" spans="1:14" ht="12.75" customHeight="1" x14ac:dyDescent="0.2">
      <c r="A9" s="9"/>
      <c r="B9" s="262" t="s">
        <v>318</v>
      </c>
      <c r="C9" s="11">
        <v>70000</v>
      </c>
      <c r="D9" s="11">
        <v>70000</v>
      </c>
      <c r="E9" s="7">
        <v>2</v>
      </c>
      <c r="F9" s="27"/>
      <c r="G9" s="28"/>
      <c r="H9" s="9"/>
      <c r="I9" s="9"/>
      <c r="J9" s="15" t="s">
        <v>19</v>
      </c>
      <c r="K9" s="9"/>
      <c r="L9" s="9"/>
      <c r="M9" s="9"/>
      <c r="N9" s="9"/>
    </row>
    <row r="10" spans="1:14" ht="12.75" customHeight="1" x14ac:dyDescent="0.2">
      <c r="A10" s="9"/>
      <c r="B10" s="262" t="s">
        <v>376</v>
      </c>
      <c r="C10" s="11">
        <v>35000</v>
      </c>
      <c r="D10" s="29">
        <v>35000</v>
      </c>
      <c r="E10" s="7">
        <v>2</v>
      </c>
      <c r="F10" s="27">
        <f>SUM(D7:D10)</f>
        <v>305000</v>
      </c>
      <c r="G10" s="30" t="s">
        <v>21</v>
      </c>
      <c r="H10" s="31">
        <f>SUM(F6,F10)</f>
        <v>495670</v>
      </c>
      <c r="I10" s="32" t="s">
        <v>22</v>
      </c>
      <c r="J10" s="15" t="s">
        <v>19</v>
      </c>
      <c r="K10" s="9"/>
      <c r="L10" s="9"/>
      <c r="M10" s="9"/>
      <c r="N10" s="9"/>
    </row>
    <row r="11" spans="1:14" ht="12.75" customHeight="1" x14ac:dyDescent="0.2">
      <c r="A11" s="9"/>
      <c r="B11" s="262"/>
      <c r="C11" s="11"/>
      <c r="D11" s="11"/>
      <c r="E11" s="7"/>
      <c r="F11" s="33"/>
      <c r="G11" s="9"/>
      <c r="H11" s="9"/>
      <c r="I11" s="9"/>
      <c r="J11" s="9"/>
      <c r="K11" s="9"/>
      <c r="L11" s="9"/>
      <c r="M11" s="9"/>
      <c r="N11" s="9"/>
    </row>
    <row r="12" spans="1:14" ht="12.75" customHeight="1" x14ac:dyDescent="0.2">
      <c r="A12" s="14" t="s">
        <v>23</v>
      </c>
      <c r="B12" s="262" t="s">
        <v>23</v>
      </c>
      <c r="C12" s="34">
        <v>0</v>
      </c>
      <c r="D12" s="34">
        <v>0</v>
      </c>
      <c r="E12" s="35"/>
      <c r="F12" s="33"/>
      <c r="G12" s="9"/>
      <c r="H12" s="9"/>
      <c r="I12" s="11"/>
      <c r="J12" s="9"/>
      <c r="K12" s="9"/>
      <c r="L12" s="9"/>
      <c r="M12" s="9"/>
      <c r="N12" s="9"/>
    </row>
    <row r="13" spans="1:14" ht="12.75" customHeight="1" x14ac:dyDescent="0.2">
      <c r="A13" s="14" t="s">
        <v>24</v>
      </c>
      <c r="B13" s="262" t="s">
        <v>24</v>
      </c>
      <c r="C13" s="34">
        <v>0</v>
      </c>
      <c r="D13" s="34">
        <v>0</v>
      </c>
      <c r="E13" s="35"/>
      <c r="F13" s="33"/>
      <c r="G13" s="9"/>
      <c r="H13" s="9"/>
      <c r="I13" s="9"/>
      <c r="J13" s="9"/>
      <c r="K13" s="9"/>
      <c r="L13" s="9"/>
      <c r="M13" s="9"/>
      <c r="N13" s="9"/>
    </row>
    <row r="14" spans="1:14" ht="12.75" customHeight="1" x14ac:dyDescent="0.2">
      <c r="A14" s="14" t="s">
        <v>25</v>
      </c>
      <c r="B14" s="262" t="s">
        <v>25</v>
      </c>
      <c r="C14" s="34">
        <v>0</v>
      </c>
      <c r="D14" s="119">
        <v>0</v>
      </c>
      <c r="E14" s="35"/>
      <c r="F14" s="33">
        <v>0</v>
      </c>
      <c r="G14" s="14"/>
      <c r="H14" s="9"/>
      <c r="I14" s="9"/>
      <c r="J14" s="9"/>
      <c r="K14" s="9"/>
      <c r="L14" s="9"/>
      <c r="M14" s="9"/>
      <c r="N14" s="9"/>
    </row>
    <row r="15" spans="1:14" ht="12.75" customHeight="1" x14ac:dyDescent="0.2">
      <c r="A15" s="14" t="s">
        <v>26</v>
      </c>
      <c r="B15" s="262" t="s">
        <v>26</v>
      </c>
      <c r="C15" s="34">
        <v>0</v>
      </c>
      <c r="D15" s="34">
        <v>0</v>
      </c>
      <c r="E15" s="35"/>
      <c r="F15" s="33"/>
      <c r="G15" s="9"/>
      <c r="H15" s="9"/>
      <c r="I15" s="9"/>
      <c r="J15" s="9"/>
      <c r="K15" s="9"/>
      <c r="L15" s="9"/>
      <c r="M15" s="9"/>
      <c r="N15" s="9"/>
    </row>
    <row r="16" spans="1:14" ht="12.75" customHeight="1" x14ac:dyDescent="0.2">
      <c r="A16" s="14" t="s">
        <v>27</v>
      </c>
      <c r="B16" s="262" t="s">
        <v>27</v>
      </c>
      <c r="C16" s="34">
        <v>0</v>
      </c>
      <c r="D16" s="34">
        <v>0</v>
      </c>
      <c r="E16" s="35"/>
      <c r="F16" s="33"/>
      <c r="G16" s="9"/>
      <c r="H16" s="9"/>
      <c r="I16" s="9"/>
      <c r="J16" s="9"/>
      <c r="K16" s="9"/>
      <c r="L16" s="9"/>
      <c r="M16" s="9"/>
      <c r="N16" s="9"/>
    </row>
    <row r="17" spans="1:14" ht="12.75" customHeight="1" x14ac:dyDescent="0.2">
      <c r="A17" s="14" t="s">
        <v>28</v>
      </c>
      <c r="B17" s="267" t="s">
        <v>456</v>
      </c>
      <c r="C17" s="34">
        <v>450000</v>
      </c>
      <c r="D17" s="34">
        <v>450000</v>
      </c>
      <c r="E17" s="35"/>
      <c r="F17" s="33">
        <v>0</v>
      </c>
      <c r="G17" s="9"/>
      <c r="H17" s="9"/>
      <c r="I17" s="9"/>
      <c r="J17" s="9"/>
      <c r="K17" s="9"/>
      <c r="L17" s="9"/>
      <c r="M17" s="9"/>
      <c r="N17" s="9"/>
    </row>
    <row r="18" spans="1:14" ht="12.75" customHeight="1" x14ac:dyDescent="0.2">
      <c r="A18" s="9"/>
      <c r="B18" s="9"/>
      <c r="C18" s="34"/>
      <c r="D18" s="3"/>
      <c r="E18" s="34"/>
      <c r="F18" s="33"/>
      <c r="G18" s="9"/>
      <c r="H18" s="9"/>
      <c r="I18" s="9"/>
      <c r="J18" s="9"/>
      <c r="K18" s="9"/>
      <c r="L18" s="9"/>
      <c r="M18" s="9"/>
      <c r="N18" s="9"/>
    </row>
    <row r="19" spans="1:14" ht="12.75" customHeight="1" x14ac:dyDescent="0.2">
      <c r="A19" s="9"/>
      <c r="B19" s="9"/>
      <c r="C19" s="34"/>
      <c r="D19" s="34"/>
      <c r="E19" s="35"/>
      <c r="F19" s="33"/>
      <c r="G19" s="9"/>
      <c r="H19" s="9"/>
      <c r="I19" s="9"/>
      <c r="J19" s="9"/>
      <c r="K19" s="9"/>
      <c r="L19" s="9"/>
      <c r="M19" s="9"/>
      <c r="N19" s="9"/>
    </row>
    <row r="20" spans="1:14" ht="12.75" customHeight="1" x14ac:dyDescent="0.2">
      <c r="A20" s="9"/>
      <c r="B20" s="9"/>
      <c r="C20" s="34"/>
      <c r="D20" s="34"/>
      <c r="E20" s="35"/>
      <c r="F20" s="33"/>
      <c r="G20" s="9"/>
      <c r="H20" s="9"/>
      <c r="I20" s="9"/>
      <c r="J20" s="9"/>
      <c r="K20" s="9"/>
      <c r="L20" s="9"/>
      <c r="M20" s="9"/>
      <c r="N20" s="9"/>
    </row>
    <row r="21" spans="1:14" ht="12.75" customHeight="1" x14ac:dyDescent="0.2">
      <c r="A21" s="9"/>
      <c r="B21" s="9"/>
      <c r="C21" s="34"/>
      <c r="D21" s="34"/>
      <c r="E21" s="35"/>
      <c r="F21" s="33"/>
      <c r="G21" s="9"/>
      <c r="H21" s="9"/>
      <c r="I21" s="9"/>
      <c r="J21" s="9"/>
      <c r="K21" s="9"/>
      <c r="L21" s="9"/>
      <c r="M21" s="9"/>
      <c r="N21" s="9"/>
    </row>
    <row r="22" spans="1:14" ht="12.75" customHeight="1" x14ac:dyDescent="0.2">
      <c r="A22" s="9"/>
      <c r="B22" s="36"/>
      <c r="C22" s="11"/>
      <c r="D22" s="11"/>
      <c r="E22" s="7"/>
      <c r="F22" s="33"/>
      <c r="G22" s="9"/>
      <c r="H22" s="9"/>
      <c r="I22" s="9"/>
      <c r="J22" s="9"/>
      <c r="K22" s="9"/>
      <c r="L22" s="9"/>
      <c r="M22" s="9"/>
      <c r="N22" s="9"/>
    </row>
    <row r="23" spans="1:14" ht="12.75" customHeight="1" x14ac:dyDescent="0.2">
      <c r="A23" s="9"/>
      <c r="B23" s="36"/>
      <c r="C23" s="11"/>
      <c r="D23" s="11"/>
      <c r="E23" s="7"/>
      <c r="F23" s="33"/>
      <c r="G23" s="9"/>
      <c r="H23" s="9"/>
      <c r="I23" s="9"/>
      <c r="J23" s="9"/>
      <c r="K23" s="9"/>
      <c r="L23" s="9"/>
      <c r="M23" s="9"/>
      <c r="N23" s="9"/>
    </row>
    <row r="24" spans="1:14" ht="12.75" customHeight="1" x14ac:dyDescent="0.15">
      <c r="A24" s="9"/>
      <c r="B24" s="36"/>
      <c r="C24" s="37"/>
      <c r="D24" s="37"/>
      <c r="E24" s="7"/>
      <c r="F24" s="33"/>
      <c r="G24" s="9"/>
      <c r="H24" s="9"/>
      <c r="I24" s="9"/>
      <c r="J24" s="9"/>
      <c r="K24" s="9"/>
      <c r="L24" s="9"/>
      <c r="M24" s="9"/>
      <c r="N24" s="9"/>
    </row>
    <row r="25" spans="1:14" ht="12.75" customHeight="1" x14ac:dyDescent="0.2">
      <c r="A25" s="3"/>
      <c r="B25" s="38"/>
      <c r="C25" s="39"/>
      <c r="D25" s="40">
        <f>SUM(D3:D24)</f>
        <v>945670</v>
      </c>
      <c r="E25" s="41"/>
      <c r="F25" s="42"/>
      <c r="G25" s="3"/>
      <c r="H25" s="3"/>
      <c r="I25" s="3"/>
    </row>
    <row r="26" spans="1:14" ht="16.5" customHeight="1" thickBot="1" x14ac:dyDescent="0.35">
      <c r="A26" s="43" t="s">
        <v>29</v>
      </c>
      <c r="B26" s="44"/>
      <c r="C26" s="3"/>
      <c r="D26" s="3"/>
      <c r="E26" s="45"/>
      <c r="F26" s="3"/>
      <c r="G26" s="3"/>
      <c r="H26" s="46"/>
      <c r="I26" s="47"/>
    </row>
    <row r="27" spans="1:14" ht="14.25" customHeight="1" thickTop="1" thickBot="1" x14ac:dyDescent="0.25">
      <c r="A27" s="48" t="s">
        <v>30</v>
      </c>
      <c r="B27" s="49">
        <v>900000</v>
      </c>
      <c r="C27" s="3"/>
      <c r="D27" s="3"/>
      <c r="E27" s="50"/>
      <c r="F27" s="233" t="s">
        <v>323</v>
      </c>
      <c r="G27" s="232">
        <f>M59</f>
        <v>0</v>
      </c>
      <c r="H27" s="51"/>
      <c r="I27" s="3"/>
    </row>
    <row r="28" spans="1:14" ht="12.75" customHeight="1" thickTop="1" x14ac:dyDescent="0.2">
      <c r="A28" s="48" t="s">
        <v>31</v>
      </c>
      <c r="B28" s="49">
        <v>100000</v>
      </c>
      <c r="C28" s="3"/>
      <c r="D28" s="3"/>
      <c r="E28" s="50"/>
      <c r="F28" s="3"/>
      <c r="G28" s="3"/>
      <c r="H28" s="3"/>
      <c r="I28" s="3"/>
    </row>
    <row r="29" spans="1:14" ht="13.5" customHeight="1" thickBot="1" x14ac:dyDescent="0.25">
      <c r="A29" s="48" t="s">
        <v>32</v>
      </c>
      <c r="B29" s="49">
        <v>100000</v>
      </c>
      <c r="C29" s="3"/>
      <c r="D29" s="3"/>
      <c r="E29" s="52"/>
      <c r="F29" s="53"/>
      <c r="G29" s="54"/>
      <c r="H29" s="3"/>
      <c r="I29" s="3"/>
    </row>
    <row r="30" spans="1:14" ht="14.25" customHeight="1" thickTop="1" thickBot="1" x14ac:dyDescent="0.25">
      <c r="A30" s="48" t="s">
        <v>33</v>
      </c>
      <c r="B30" s="49">
        <v>100000</v>
      </c>
      <c r="C30" s="3"/>
      <c r="D30" s="3"/>
      <c r="E30" s="55"/>
      <c r="F30" s="56"/>
      <c r="G30" s="148">
        <v>1500000</v>
      </c>
      <c r="H30" s="58" t="s">
        <v>35</v>
      </c>
      <c r="I30" s="59"/>
      <c r="J30" s="245" t="s">
        <v>383</v>
      </c>
    </row>
    <row r="31" spans="1:14" ht="14.25" customHeight="1" thickTop="1" thickBot="1" x14ac:dyDescent="0.25">
      <c r="A31" s="48" t="s">
        <v>37</v>
      </c>
      <c r="B31" s="49">
        <v>0</v>
      </c>
      <c r="C31" s="3"/>
      <c r="D31" s="62"/>
      <c r="E31" s="55"/>
      <c r="F31" s="53"/>
      <c r="G31" s="60">
        <v>5500000</v>
      </c>
      <c r="H31" s="61" t="s">
        <v>38</v>
      </c>
      <c r="I31" s="260"/>
      <c r="J31" s="122" t="s">
        <v>384</v>
      </c>
    </row>
    <row r="32" spans="1:14" ht="14.25" customHeight="1" thickTop="1" thickBot="1" x14ac:dyDescent="0.25">
      <c r="A32" s="48" t="s">
        <v>40</v>
      </c>
      <c r="B32" s="49">
        <v>120000</v>
      </c>
      <c r="C32" s="3"/>
      <c r="D32" s="3"/>
      <c r="E32" s="3"/>
      <c r="F32" s="63" t="s">
        <v>41</v>
      </c>
      <c r="G32" s="64">
        <f>G30+G31</f>
        <v>7000000</v>
      </c>
      <c r="H32" s="65" t="s">
        <v>42</v>
      </c>
      <c r="I32" s="3"/>
    </row>
    <row r="33" spans="1:14" ht="13.5" customHeight="1" thickTop="1" x14ac:dyDescent="0.2">
      <c r="A33" s="66" t="s">
        <v>43</v>
      </c>
      <c r="B33" s="49">
        <v>0</v>
      </c>
      <c r="C33" s="3"/>
      <c r="D33" s="3"/>
      <c r="E33" s="3"/>
      <c r="F33" s="3"/>
      <c r="G33" s="42">
        <v>0</v>
      </c>
      <c r="H33" s="47" t="s">
        <v>388</v>
      </c>
      <c r="I33" s="3"/>
      <c r="L33" s="1" t="s">
        <v>380</v>
      </c>
    </row>
    <row r="34" spans="1:14" ht="12.75" customHeight="1" x14ac:dyDescent="0.2">
      <c r="A34" s="67" t="s">
        <v>42</v>
      </c>
      <c r="B34" s="68">
        <f>SUM(B27:B33)</f>
        <v>1320000</v>
      </c>
      <c r="C34" s="3"/>
      <c r="D34" s="3"/>
      <c r="E34" s="3"/>
      <c r="F34" s="3"/>
      <c r="G34" s="42">
        <v>207630</v>
      </c>
      <c r="H34" s="47" t="s">
        <v>45</v>
      </c>
      <c r="I34" s="3"/>
    </row>
    <row r="35" spans="1:14" ht="12.75" customHeight="1" x14ac:dyDescent="0.15">
      <c r="A35" s="47"/>
      <c r="B35" s="69"/>
      <c r="C35" s="3"/>
      <c r="D35" s="3"/>
      <c r="E35" s="3"/>
      <c r="F35" s="3"/>
      <c r="G35" s="42">
        <v>207430</v>
      </c>
      <c r="H35" s="47" t="s">
        <v>46</v>
      </c>
      <c r="I35" s="3"/>
    </row>
    <row r="36" spans="1:14" ht="12.75" customHeight="1" x14ac:dyDescent="0.15">
      <c r="A36" s="47"/>
      <c r="B36" s="69"/>
      <c r="C36" s="3"/>
      <c r="D36" s="3"/>
      <c r="E36" s="3"/>
      <c r="F36" s="3"/>
      <c r="G36" s="42">
        <v>0</v>
      </c>
      <c r="H36" s="47" t="s">
        <v>463</v>
      </c>
      <c r="I36" s="38"/>
    </row>
    <row r="37" spans="1:14" ht="13.5" customHeight="1" x14ac:dyDescent="0.15">
      <c r="A37" s="3"/>
      <c r="B37" s="3"/>
      <c r="C37" s="3"/>
      <c r="D37" s="3"/>
      <c r="E37" s="42"/>
      <c r="F37" s="3"/>
      <c r="G37" s="42">
        <v>100000</v>
      </c>
      <c r="H37" s="47" t="s">
        <v>365</v>
      </c>
      <c r="I37" s="3"/>
    </row>
    <row r="38" spans="1:14" ht="12.75" customHeight="1" x14ac:dyDescent="0.15">
      <c r="A38" s="3"/>
      <c r="B38" s="3"/>
      <c r="C38" s="3"/>
      <c r="D38" s="3"/>
      <c r="E38" s="42"/>
      <c r="F38" s="3"/>
      <c r="G38" s="42">
        <v>100000</v>
      </c>
      <c r="H38" s="47" t="s">
        <v>307</v>
      </c>
      <c r="I38" s="3"/>
    </row>
    <row r="39" spans="1:14" ht="13.5" customHeight="1" thickBot="1" x14ac:dyDescent="0.2">
      <c r="A39" s="216"/>
      <c r="B39" s="216"/>
      <c r="C39" s="3"/>
      <c r="D39" s="3"/>
      <c r="E39" s="42"/>
      <c r="F39" s="3"/>
      <c r="G39" s="42">
        <v>50000</v>
      </c>
      <c r="H39" s="47" t="s">
        <v>454</v>
      </c>
      <c r="I39" s="3"/>
    </row>
    <row r="40" spans="1:14" ht="14.25" customHeight="1" thickTop="1" thickBot="1" x14ac:dyDescent="0.25">
      <c r="A40" s="47"/>
      <c r="B40" s="3"/>
      <c r="C40" s="3"/>
      <c r="D40" s="3"/>
      <c r="E40" s="3"/>
      <c r="F40" s="3"/>
      <c r="G40" s="190">
        <f>D25</f>
        <v>945670</v>
      </c>
      <c r="H40" s="58" t="s">
        <v>53</v>
      </c>
      <c r="I40" s="3"/>
    </row>
    <row r="41" spans="1:14" ht="14.25" customHeight="1" thickTop="1" thickBot="1" x14ac:dyDescent="0.25">
      <c r="A41" s="47"/>
      <c r="B41" s="3"/>
      <c r="C41" s="3"/>
      <c r="D41" s="3"/>
      <c r="E41" s="3"/>
      <c r="F41" s="42"/>
      <c r="G41" s="191">
        <v>1000000</v>
      </c>
      <c r="H41" s="61" t="s">
        <v>55</v>
      </c>
      <c r="I41" s="62" t="s">
        <v>247</v>
      </c>
    </row>
    <row r="42" spans="1:14" ht="14.25" customHeight="1" thickTop="1" thickBot="1" x14ac:dyDescent="0.25">
      <c r="A42" s="47"/>
      <c r="B42" s="47"/>
      <c r="C42" s="3"/>
      <c r="D42" s="3"/>
      <c r="E42" s="3"/>
      <c r="F42" s="3"/>
      <c r="G42" s="190">
        <f>D52</f>
        <v>1930000</v>
      </c>
      <c r="H42" s="58" t="s">
        <v>58</v>
      </c>
      <c r="I42" s="42"/>
      <c r="J42" s="47"/>
    </row>
    <row r="43" spans="1:14" ht="14.25" customHeight="1" thickTop="1" thickBot="1" x14ac:dyDescent="0.25">
      <c r="A43" s="47"/>
      <c r="B43" s="59"/>
      <c r="C43" s="3"/>
      <c r="D43" s="3"/>
      <c r="E43" s="3"/>
      <c r="F43" s="3"/>
      <c r="G43" s="272">
        <v>0</v>
      </c>
      <c r="H43" s="61" t="s">
        <v>62</v>
      </c>
      <c r="I43" s="72">
        <v>500000</v>
      </c>
      <c r="J43" s="71" t="s">
        <v>453</v>
      </c>
      <c r="K43" s="72">
        <f>I43+G43</f>
        <v>500000</v>
      </c>
    </row>
    <row r="44" spans="1:14" ht="14.25" customHeight="1" thickTop="1" thickBot="1" x14ac:dyDescent="0.25">
      <c r="A44" s="47"/>
      <c r="B44" s="59"/>
      <c r="C44" s="3"/>
      <c r="D44" s="3"/>
      <c r="E44" s="3"/>
      <c r="F44" s="42"/>
      <c r="G44" s="64">
        <v>1000000</v>
      </c>
      <c r="H44" s="61" t="s">
        <v>66</v>
      </c>
      <c r="I44" s="73">
        <v>1500000</v>
      </c>
      <c r="J44" s="74" t="s">
        <v>452</v>
      </c>
      <c r="K44" s="73">
        <f>I44+G44</f>
        <v>2500000</v>
      </c>
    </row>
    <row r="45" spans="1:14" ht="14.25" customHeight="1" thickTop="1" thickBot="1" x14ac:dyDescent="0.25">
      <c r="A45" s="47"/>
      <c r="B45" s="59"/>
      <c r="C45" s="3"/>
      <c r="D45" s="3"/>
      <c r="E45" s="3"/>
      <c r="F45" s="63" t="s">
        <v>70</v>
      </c>
      <c r="G45" s="64">
        <f>SUM(G33:G44)</f>
        <v>5540730</v>
      </c>
      <c r="H45" s="58" t="s">
        <v>71</v>
      </c>
      <c r="I45" s="63"/>
      <c r="J45" s="42"/>
      <c r="K45" s="169"/>
      <c r="L45" s="120"/>
    </row>
    <row r="46" spans="1:14" ht="14.25" customHeight="1" thickTop="1" thickBot="1" x14ac:dyDescent="0.25">
      <c r="A46" s="3"/>
      <c r="B46" s="3"/>
      <c r="C46" s="3"/>
      <c r="D46" s="3"/>
      <c r="E46" s="3"/>
      <c r="F46" s="3"/>
      <c r="G46" s="64">
        <f>G32-G45</f>
        <v>1459270</v>
      </c>
      <c r="H46" s="61" t="s">
        <v>73</v>
      </c>
      <c r="I46" s="76"/>
      <c r="J46" s="121"/>
      <c r="K46" s="47"/>
      <c r="L46" s="75"/>
      <c r="M46" s="104"/>
      <c r="N46" s="122"/>
    </row>
    <row r="47" spans="1:14" ht="13.5" customHeight="1" thickTop="1" x14ac:dyDescent="0.2">
      <c r="A47" s="3"/>
      <c r="B47" s="3"/>
      <c r="C47" s="3"/>
      <c r="D47" s="354" t="s">
        <v>75</v>
      </c>
      <c r="E47" s="354"/>
      <c r="F47" s="63" t="s">
        <v>76</v>
      </c>
      <c r="G47" s="112"/>
      <c r="H47" s="47"/>
      <c r="I47" s="113"/>
      <c r="L47" s="123"/>
      <c r="M47" s="104"/>
    </row>
    <row r="48" spans="1:14" ht="12.75" customHeight="1" x14ac:dyDescent="0.2">
      <c r="A48" s="47"/>
      <c r="B48" s="3"/>
      <c r="C48" s="3"/>
      <c r="D48" s="78">
        <v>500000</v>
      </c>
      <c r="E48" s="7" t="s">
        <v>78</v>
      </c>
      <c r="F48" s="47"/>
      <c r="G48" s="3"/>
      <c r="H48" s="3"/>
      <c r="I48" s="3"/>
      <c r="L48" s="90"/>
      <c r="M48" s="90"/>
    </row>
    <row r="49" spans="1:14" ht="12.75" customHeight="1" x14ac:dyDescent="0.2">
      <c r="A49" s="3"/>
      <c r="B49" s="3"/>
      <c r="C49" s="3"/>
      <c r="D49" s="78">
        <v>500000</v>
      </c>
      <c r="E49" s="79" t="s">
        <v>80</v>
      </c>
      <c r="F49" s="47"/>
      <c r="G49" s="3"/>
      <c r="H49" s="3"/>
      <c r="I49" s="3"/>
      <c r="L49" s="104"/>
    </row>
    <row r="50" spans="1:14" ht="15.75" customHeight="1" x14ac:dyDescent="0.25">
      <c r="A50" s="3"/>
      <c r="B50" s="80"/>
      <c r="C50" s="81">
        <v>31</v>
      </c>
      <c r="D50" s="78">
        <f>C50*30000</f>
        <v>930000</v>
      </c>
      <c r="E50" s="7" t="s">
        <v>81</v>
      </c>
      <c r="F50" s="3"/>
      <c r="G50" s="3"/>
      <c r="H50" s="3"/>
      <c r="I50" s="3"/>
      <c r="L50" s="106"/>
    </row>
    <row r="51" spans="1:14" ht="12.75" customHeight="1" x14ac:dyDescent="0.2">
      <c r="A51" s="3"/>
      <c r="B51" s="3"/>
      <c r="C51" s="3"/>
      <c r="D51" s="78">
        <v>0</v>
      </c>
      <c r="E51" s="7" t="s">
        <v>82</v>
      </c>
      <c r="F51" s="3"/>
      <c r="G51" s="82"/>
      <c r="H51" s="3"/>
      <c r="I51" s="3"/>
    </row>
    <row r="52" spans="1:14" ht="12.75" customHeight="1" x14ac:dyDescent="0.2">
      <c r="A52" s="3"/>
      <c r="B52" s="3"/>
      <c r="C52" s="3"/>
      <c r="D52" s="78">
        <f>SUM(D48:D51)</f>
        <v>1930000</v>
      </c>
      <c r="E52" s="7" t="s">
        <v>42</v>
      </c>
      <c r="F52" s="3"/>
      <c r="G52" s="3"/>
      <c r="H52" s="3"/>
      <c r="I52" s="3"/>
    </row>
    <row r="53" spans="1:14" ht="15.75" customHeight="1" thickBot="1" x14ac:dyDescent="0.3">
      <c r="A53" s="3"/>
      <c r="B53" s="3"/>
      <c r="C53" s="83"/>
      <c r="D53" s="84"/>
      <c r="E53" s="4"/>
      <c r="F53" s="3"/>
      <c r="G53" s="3"/>
      <c r="H53" s="3"/>
      <c r="I53" s="3"/>
    </row>
    <row r="54" spans="1:14" ht="12.75" customHeight="1" thickBot="1" x14ac:dyDescent="0.25">
      <c r="A54" s="47"/>
      <c r="B54" s="3"/>
      <c r="C54" s="3"/>
      <c r="D54" s="84"/>
      <c r="E54" s="4"/>
      <c r="F54" s="3"/>
      <c r="G54" s="193"/>
      <c r="H54" s="194" t="s">
        <v>238</v>
      </c>
      <c r="I54" s="3"/>
      <c r="K54" s="95"/>
      <c r="L54" s="96" t="s">
        <v>105</v>
      </c>
      <c r="M54" s="96" t="s">
        <v>116</v>
      </c>
    </row>
    <row r="55" spans="1:14" ht="12.75" customHeight="1" thickBot="1" x14ac:dyDescent="0.25">
      <c r="A55" s="3"/>
      <c r="B55" s="3"/>
      <c r="D55" s="42"/>
      <c r="E55" s="4"/>
      <c r="F55" s="3"/>
      <c r="G55" s="195" t="s">
        <v>239</v>
      </c>
      <c r="H55" s="197">
        <v>0</v>
      </c>
      <c r="I55" s="3"/>
      <c r="K55" s="98" t="s">
        <v>460</v>
      </c>
      <c r="L55" s="78">
        <v>0</v>
      </c>
      <c r="M55" s="78">
        <f>L55</f>
        <v>0</v>
      </c>
    </row>
    <row r="56" spans="1:14" ht="12.75" customHeight="1" thickBot="1" x14ac:dyDescent="0.25">
      <c r="A56" s="3"/>
      <c r="B56" s="3"/>
      <c r="C56" s="3"/>
      <c r="D56" s="3"/>
      <c r="E56" s="4"/>
      <c r="F56" s="3"/>
      <c r="G56" s="195" t="s">
        <v>257</v>
      </c>
      <c r="H56" s="196">
        <v>0</v>
      </c>
      <c r="I56" s="3"/>
      <c r="K56" s="100" t="s">
        <v>461</v>
      </c>
      <c r="L56" s="118">
        <v>0</v>
      </c>
      <c r="M56" s="118">
        <f>L56</f>
        <v>0</v>
      </c>
      <c r="N56" s="106"/>
    </row>
    <row r="57" spans="1:14" ht="12.75" customHeight="1" thickBot="1" x14ac:dyDescent="0.25">
      <c r="A57" s="3"/>
      <c r="B57" s="3"/>
      <c r="C57" s="3"/>
      <c r="D57" s="3"/>
      <c r="E57" s="4"/>
      <c r="F57" s="3"/>
      <c r="G57" s="195" t="s">
        <v>240</v>
      </c>
      <c r="H57" s="197">
        <v>0</v>
      </c>
      <c r="I57" s="3"/>
      <c r="K57" s="100" t="s">
        <v>107</v>
      </c>
      <c r="L57" s="116">
        <v>0</v>
      </c>
      <c r="M57" s="78">
        <f>L57</f>
        <v>0</v>
      </c>
    </row>
    <row r="58" spans="1:14" ht="12.75" customHeight="1" thickBot="1" x14ac:dyDescent="0.25">
      <c r="A58" s="3"/>
      <c r="B58" s="3"/>
      <c r="C58" s="3"/>
      <c r="D58" s="3"/>
      <c r="E58" s="4"/>
      <c r="F58" s="3"/>
      <c r="G58" s="195" t="s">
        <v>258</v>
      </c>
      <c r="H58" s="197">
        <v>0</v>
      </c>
      <c r="I58" s="3"/>
      <c r="K58" s="102" t="s">
        <v>108</v>
      </c>
      <c r="L58" s="118">
        <v>0</v>
      </c>
      <c r="M58" s="118">
        <v>0</v>
      </c>
      <c r="N58" s="106"/>
    </row>
    <row r="59" spans="1:14" ht="12.75" customHeight="1" thickBot="1" x14ac:dyDescent="0.25">
      <c r="A59" s="3"/>
      <c r="B59" s="3"/>
      <c r="C59" s="3"/>
      <c r="D59" s="247"/>
      <c r="E59" s="4"/>
      <c r="F59" s="3"/>
      <c r="G59" s="195" t="s">
        <v>259</v>
      </c>
      <c r="H59" s="197">
        <v>0</v>
      </c>
      <c r="I59" s="3"/>
      <c r="K59" s="98" t="s">
        <v>42</v>
      </c>
      <c r="L59" s="78">
        <f>SUM(L55:L58)</f>
        <v>0</v>
      </c>
      <c r="M59" s="78">
        <f>SUM(M55:M58)</f>
        <v>0</v>
      </c>
    </row>
    <row r="60" spans="1:14" ht="12.75" customHeight="1" thickBot="1" x14ac:dyDescent="0.25">
      <c r="A60" s="3"/>
      <c r="B60" s="3"/>
      <c r="C60" s="3"/>
      <c r="D60" s="3"/>
      <c r="E60" s="4"/>
      <c r="F60" s="3"/>
      <c r="G60" s="195" t="s">
        <v>317</v>
      </c>
      <c r="H60" s="197">
        <v>239780</v>
      </c>
      <c r="I60" s="3"/>
    </row>
    <row r="61" spans="1:14" ht="12.75" customHeight="1" thickBot="1" x14ac:dyDescent="0.25">
      <c r="A61" s="3"/>
      <c r="B61" s="3"/>
      <c r="C61" s="3"/>
      <c r="D61" s="3"/>
      <c r="E61" s="4"/>
      <c r="F61" s="3"/>
      <c r="G61" s="198" t="s">
        <v>243</v>
      </c>
      <c r="H61" s="197">
        <f>SUM(H56:H60)</f>
        <v>239780</v>
      </c>
      <c r="I61" s="3"/>
    </row>
    <row r="62" spans="1:14" ht="12.75" customHeight="1" thickBot="1" x14ac:dyDescent="0.25">
      <c r="A62" s="3"/>
      <c r="B62" s="3"/>
      <c r="C62" s="3"/>
      <c r="D62" s="3"/>
      <c r="E62" s="4"/>
      <c r="F62" s="3"/>
      <c r="G62" s="199" t="s">
        <v>244</v>
      </c>
      <c r="H62" s="210">
        <f>H55-H61</f>
        <v>-239780</v>
      </c>
      <c r="I62" s="3"/>
    </row>
    <row r="63" spans="1:14" ht="12.75" customHeight="1" x14ac:dyDescent="0.15">
      <c r="A63" s="3"/>
      <c r="B63" s="3"/>
      <c r="C63" s="3"/>
      <c r="D63" s="3"/>
      <c r="E63" s="4"/>
      <c r="F63" s="3"/>
      <c r="G63" s="3"/>
      <c r="H63" s="3"/>
      <c r="I63" s="3"/>
    </row>
    <row r="64" spans="1:14" ht="12.75" customHeight="1" x14ac:dyDescent="0.15">
      <c r="A64" s="3"/>
      <c r="B64" s="3"/>
      <c r="C64" s="3"/>
      <c r="D64" s="3"/>
      <c r="E64" s="4"/>
      <c r="F64" s="3"/>
      <c r="G64" s="3"/>
      <c r="H64" s="3"/>
      <c r="I64" s="3"/>
    </row>
    <row r="65" spans="1:9" ht="12.75" customHeight="1" x14ac:dyDescent="0.15">
      <c r="A65" s="3"/>
      <c r="B65" s="3"/>
      <c r="C65" s="3"/>
      <c r="D65" s="3"/>
      <c r="E65" s="4"/>
      <c r="F65" s="3"/>
      <c r="G65" s="3"/>
      <c r="H65" s="3"/>
      <c r="I65" s="3"/>
    </row>
    <row r="66" spans="1:9" ht="12.75" customHeight="1" x14ac:dyDescent="0.15">
      <c r="A66" s="3"/>
      <c r="B66" s="3"/>
      <c r="C66" s="3"/>
      <c r="D66" s="3"/>
      <c r="E66" s="4"/>
      <c r="F66" s="3"/>
      <c r="G66" s="3"/>
      <c r="H66" s="3"/>
      <c r="I66" s="3"/>
    </row>
    <row r="67" spans="1:9" ht="12.75" customHeight="1" x14ac:dyDescent="0.15">
      <c r="A67" s="3"/>
      <c r="B67" s="3"/>
      <c r="C67" s="3"/>
      <c r="D67" s="3"/>
      <c r="E67" s="4"/>
      <c r="F67" s="3"/>
      <c r="G67" s="3"/>
      <c r="H67" s="3"/>
      <c r="I67" s="3"/>
    </row>
    <row r="68" spans="1:9" ht="12.75" customHeight="1" x14ac:dyDescent="0.15">
      <c r="A68" s="3"/>
      <c r="B68" s="3"/>
      <c r="C68" s="3"/>
      <c r="D68" s="3"/>
      <c r="E68" s="4"/>
      <c r="F68" s="3"/>
      <c r="G68" s="3"/>
      <c r="H68" s="3"/>
      <c r="I68" s="3"/>
    </row>
    <row r="69" spans="1:9" ht="12.75" customHeight="1" x14ac:dyDescent="0.15">
      <c r="A69" s="3"/>
      <c r="B69" s="3"/>
      <c r="C69" s="3"/>
      <c r="D69" s="3"/>
      <c r="E69" s="4"/>
      <c r="F69" s="3"/>
      <c r="G69" s="3"/>
      <c r="H69" s="3"/>
      <c r="I69" s="3"/>
    </row>
    <row r="70" spans="1:9" ht="12.75" customHeight="1" x14ac:dyDescent="0.15">
      <c r="A70" s="3"/>
      <c r="B70" s="3"/>
      <c r="C70" s="3"/>
      <c r="D70" s="3"/>
      <c r="E70" s="4"/>
      <c r="F70" s="3"/>
      <c r="G70" s="3"/>
      <c r="H70" s="3"/>
      <c r="I70" s="3"/>
    </row>
    <row r="71" spans="1:9" ht="12.75" customHeight="1" x14ac:dyDescent="0.15">
      <c r="A71" s="3"/>
      <c r="B71" s="3"/>
      <c r="C71" s="3"/>
      <c r="D71" s="3"/>
      <c r="E71" s="4"/>
      <c r="F71" s="3"/>
      <c r="G71" s="3"/>
      <c r="H71" s="3"/>
      <c r="I71" s="3"/>
    </row>
    <row r="72" spans="1:9" ht="12.75" customHeight="1" x14ac:dyDescent="0.15">
      <c r="A72" s="3"/>
      <c r="B72" s="3"/>
      <c r="C72" s="3"/>
      <c r="D72" s="3"/>
      <c r="E72" s="4"/>
      <c r="F72" s="3"/>
      <c r="G72" s="3"/>
      <c r="H72" s="3"/>
      <c r="I72" s="3"/>
    </row>
    <row r="73" spans="1:9" ht="12.75" customHeight="1" x14ac:dyDescent="0.15">
      <c r="A73" s="3"/>
      <c r="B73" s="3"/>
      <c r="C73" s="3"/>
      <c r="D73" s="3"/>
      <c r="E73" s="4"/>
      <c r="F73" s="3"/>
      <c r="G73" s="3"/>
      <c r="H73" s="3"/>
      <c r="I73" s="3"/>
    </row>
    <row r="74" spans="1:9" ht="12.75" customHeight="1" x14ac:dyDescent="0.15">
      <c r="A74" s="3"/>
      <c r="B74" s="3"/>
      <c r="C74" s="3"/>
      <c r="D74" s="3"/>
      <c r="E74" s="4"/>
      <c r="F74" s="3"/>
      <c r="G74" s="3"/>
      <c r="H74" s="3"/>
      <c r="I74" s="3"/>
    </row>
    <row r="75" spans="1:9" ht="12.75" customHeight="1" x14ac:dyDescent="0.15">
      <c r="A75" s="3"/>
      <c r="B75" s="3"/>
      <c r="C75" s="3"/>
      <c r="D75" s="3"/>
      <c r="E75" s="4"/>
      <c r="F75" s="3"/>
      <c r="G75" s="3"/>
      <c r="H75" s="3"/>
      <c r="I75" s="3"/>
    </row>
    <row r="76" spans="1:9" ht="12.75" customHeight="1" x14ac:dyDescent="0.15">
      <c r="A76" s="3"/>
      <c r="B76" s="3"/>
      <c r="C76" s="3"/>
      <c r="D76" s="3"/>
      <c r="E76" s="4"/>
      <c r="F76" s="3"/>
      <c r="G76" s="3"/>
      <c r="H76" s="3"/>
      <c r="I76" s="3"/>
    </row>
    <row r="77" spans="1:9" ht="12.75" customHeight="1" x14ac:dyDescent="0.15">
      <c r="A77" s="3"/>
      <c r="B77" s="3"/>
      <c r="C77" s="3"/>
      <c r="D77" s="3"/>
      <c r="E77" s="4"/>
      <c r="F77" s="3"/>
      <c r="G77" s="3"/>
      <c r="H77" s="3"/>
      <c r="I77" s="3"/>
    </row>
    <row r="78" spans="1:9" ht="12.75" customHeight="1" x14ac:dyDescent="0.15">
      <c r="A78" s="3"/>
      <c r="B78" s="3"/>
      <c r="C78" s="3"/>
      <c r="D78" s="3"/>
      <c r="E78" s="4"/>
      <c r="F78" s="3"/>
      <c r="G78" s="3"/>
      <c r="H78" s="3"/>
      <c r="I78" s="3"/>
    </row>
    <row r="79" spans="1:9" ht="12.75" customHeight="1" x14ac:dyDescent="0.15">
      <c r="A79" s="3"/>
      <c r="B79" s="3"/>
      <c r="C79" s="3"/>
      <c r="D79" s="3"/>
      <c r="E79" s="4"/>
      <c r="F79" s="3"/>
      <c r="G79" s="3"/>
      <c r="H79" s="3"/>
      <c r="I79" s="3"/>
    </row>
    <row r="80" spans="1:9" ht="12.75" customHeight="1" x14ac:dyDescent="0.15">
      <c r="A80" s="3"/>
      <c r="B80" s="3"/>
      <c r="C80" s="3"/>
      <c r="D80" s="3"/>
      <c r="E80" s="4"/>
      <c r="F80" s="3"/>
      <c r="G80" s="3"/>
      <c r="H80" s="3"/>
      <c r="I80" s="3"/>
    </row>
    <row r="81" spans="1:9" ht="12.75" customHeight="1" x14ac:dyDescent="0.15">
      <c r="A81" s="3"/>
      <c r="B81" s="3"/>
      <c r="C81" s="3"/>
      <c r="D81" s="3"/>
      <c r="E81" s="4"/>
      <c r="F81" s="3"/>
      <c r="G81" s="3"/>
      <c r="H81" s="3"/>
      <c r="I81" s="3"/>
    </row>
    <row r="82" spans="1:9" ht="12.75" customHeight="1" x14ac:dyDescent="0.15">
      <c r="A82" s="3"/>
      <c r="B82" s="3"/>
      <c r="C82" s="3"/>
      <c r="D82" s="3"/>
      <c r="E82" s="4"/>
      <c r="F82" s="3"/>
      <c r="G82" s="3"/>
      <c r="H82" s="3"/>
      <c r="I82" s="3"/>
    </row>
    <row r="83" spans="1:9" ht="12.75" customHeight="1" x14ac:dyDescent="0.15">
      <c r="A83" s="3"/>
      <c r="B83" s="3"/>
      <c r="C83" s="3"/>
      <c r="D83" s="3"/>
      <c r="E83" s="4"/>
      <c r="F83" s="3"/>
      <c r="G83" s="3"/>
      <c r="H83" s="3"/>
      <c r="I83" s="3"/>
    </row>
    <row r="84" spans="1:9" ht="12.75" customHeight="1" x14ac:dyDescent="0.15">
      <c r="A84" s="3"/>
      <c r="B84" s="3"/>
      <c r="C84" s="3"/>
      <c r="D84" s="3"/>
      <c r="E84" s="4"/>
      <c r="F84" s="3"/>
      <c r="G84" s="3"/>
      <c r="H84" s="3"/>
      <c r="I84" s="3"/>
    </row>
    <row r="85" spans="1:9" ht="12.75" customHeight="1" x14ac:dyDescent="0.15">
      <c r="A85" s="3"/>
      <c r="B85" s="3"/>
      <c r="C85" s="3"/>
      <c r="D85" s="3"/>
      <c r="E85" s="4"/>
      <c r="F85" s="3"/>
      <c r="G85" s="3"/>
      <c r="H85" s="3"/>
      <c r="I85" s="3"/>
    </row>
    <row r="86" spans="1:9" ht="12.75" customHeight="1" x14ac:dyDescent="0.15">
      <c r="A86" s="3"/>
      <c r="B86" s="3"/>
      <c r="C86" s="3"/>
      <c r="D86" s="3"/>
      <c r="E86" s="4"/>
      <c r="F86" s="3"/>
      <c r="G86" s="3"/>
      <c r="H86" s="3"/>
      <c r="I86" s="3"/>
    </row>
    <row r="87" spans="1:9" ht="12.75" customHeight="1" x14ac:dyDescent="0.15">
      <c r="A87" s="3"/>
      <c r="B87" s="3"/>
      <c r="C87" s="3"/>
      <c r="D87" s="3"/>
      <c r="E87" s="4"/>
      <c r="F87" s="3"/>
      <c r="G87" s="3"/>
      <c r="H87" s="3"/>
      <c r="I87" s="3"/>
    </row>
    <row r="88" spans="1:9" ht="12.75" customHeight="1" x14ac:dyDescent="0.15">
      <c r="A88" s="3"/>
      <c r="B88" s="3"/>
      <c r="C88" s="3"/>
      <c r="D88" s="3"/>
      <c r="E88" s="4"/>
      <c r="F88" s="3"/>
      <c r="G88" s="3"/>
      <c r="H88" s="3"/>
      <c r="I88" s="3"/>
    </row>
    <row r="89" spans="1:9" ht="12.75" customHeight="1" x14ac:dyDescent="0.15">
      <c r="A89" s="3"/>
      <c r="B89" s="3"/>
      <c r="C89" s="3"/>
      <c r="D89" s="3"/>
      <c r="E89" s="4"/>
      <c r="F89" s="3"/>
      <c r="G89" s="3"/>
      <c r="H89" s="3"/>
      <c r="I89" s="3"/>
    </row>
    <row r="90" spans="1:9" ht="12.75" customHeight="1" x14ac:dyDescent="0.15">
      <c r="A90" s="3"/>
      <c r="B90" s="3"/>
      <c r="C90" s="3"/>
      <c r="D90" s="3"/>
      <c r="E90" s="4"/>
      <c r="F90" s="3"/>
      <c r="G90" s="3"/>
      <c r="H90" s="3"/>
      <c r="I90" s="3"/>
    </row>
    <row r="91" spans="1:9" ht="12.75" customHeight="1" x14ac:dyDescent="0.15">
      <c r="A91" s="3"/>
      <c r="B91" s="3"/>
      <c r="C91" s="3"/>
      <c r="D91" s="3"/>
      <c r="E91" s="4"/>
      <c r="F91" s="3"/>
      <c r="G91" s="3"/>
      <c r="H91" s="3"/>
      <c r="I91" s="3"/>
    </row>
    <row r="92" spans="1:9" ht="12.75" customHeight="1" x14ac:dyDescent="0.15">
      <c r="A92" s="3"/>
      <c r="B92" s="3"/>
      <c r="C92" s="3"/>
      <c r="D92" s="3"/>
      <c r="E92" s="4"/>
      <c r="F92" s="3"/>
      <c r="G92" s="3"/>
      <c r="H92" s="3"/>
      <c r="I92" s="3"/>
    </row>
    <row r="93" spans="1:9" ht="12.75" customHeight="1" x14ac:dyDescent="0.15">
      <c r="A93" s="3"/>
      <c r="B93" s="3"/>
      <c r="C93" s="3"/>
      <c r="D93" s="3"/>
      <c r="E93" s="4"/>
      <c r="F93" s="3"/>
      <c r="G93" s="3"/>
      <c r="H93" s="3"/>
      <c r="I93" s="3"/>
    </row>
    <row r="94" spans="1:9" ht="12.75" customHeight="1" x14ac:dyDescent="0.15">
      <c r="A94" s="3"/>
      <c r="B94" s="3"/>
      <c r="C94" s="3"/>
      <c r="D94" s="3"/>
      <c r="E94" s="4"/>
      <c r="F94" s="3"/>
      <c r="G94" s="3"/>
      <c r="H94" s="3"/>
      <c r="I94" s="3"/>
    </row>
    <row r="95" spans="1:9" ht="12.75" customHeight="1" x14ac:dyDescent="0.15">
      <c r="A95" s="3"/>
      <c r="B95" s="3"/>
      <c r="C95" s="3"/>
      <c r="D95" s="3"/>
      <c r="E95" s="4"/>
      <c r="F95" s="3"/>
      <c r="G95" s="3"/>
      <c r="H95" s="3"/>
      <c r="I95" s="3"/>
    </row>
    <row r="96" spans="1:9" ht="12.75" customHeight="1" x14ac:dyDescent="0.15">
      <c r="A96" s="3"/>
      <c r="B96" s="3"/>
      <c r="C96" s="3"/>
      <c r="D96" s="3"/>
      <c r="E96" s="4"/>
      <c r="F96" s="3"/>
      <c r="G96" s="3"/>
      <c r="H96" s="3"/>
      <c r="I96" s="3"/>
    </row>
    <row r="97" spans="1:9" ht="12.75" customHeight="1" x14ac:dyDescent="0.15">
      <c r="A97" s="3"/>
      <c r="B97" s="3"/>
      <c r="C97" s="3"/>
      <c r="D97" s="3"/>
      <c r="E97" s="4"/>
      <c r="F97" s="3"/>
      <c r="G97" s="3"/>
      <c r="H97" s="3"/>
      <c r="I97" s="3"/>
    </row>
    <row r="98" spans="1:9" ht="12.75" customHeight="1" x14ac:dyDescent="0.15">
      <c r="A98" s="3"/>
      <c r="B98" s="3"/>
      <c r="C98" s="3"/>
      <c r="D98" s="3"/>
      <c r="E98" s="4"/>
      <c r="F98" s="3"/>
      <c r="G98" s="3"/>
      <c r="H98" s="3"/>
      <c r="I98" s="3"/>
    </row>
    <row r="99" spans="1:9" ht="12.75" customHeight="1" x14ac:dyDescent="0.15">
      <c r="A99" s="3"/>
      <c r="B99" s="3"/>
      <c r="C99" s="3"/>
      <c r="D99" s="3"/>
      <c r="E99" s="4"/>
      <c r="F99" s="3"/>
      <c r="G99" s="3"/>
      <c r="H99" s="3"/>
      <c r="I99" s="3"/>
    </row>
    <row r="100" spans="1:9" ht="12.75" customHeight="1" x14ac:dyDescent="0.15">
      <c r="A100" s="3"/>
      <c r="B100" s="3"/>
      <c r="C100" s="3"/>
      <c r="D100" s="3"/>
      <c r="E100" s="4"/>
      <c r="F100" s="3"/>
      <c r="G100" s="3"/>
      <c r="H100" s="3"/>
      <c r="I100" s="3"/>
    </row>
    <row r="101" spans="1:9" ht="12.75" customHeight="1" x14ac:dyDescent="0.15">
      <c r="A101" s="3"/>
      <c r="B101" s="3"/>
      <c r="C101" s="3"/>
      <c r="D101" s="3"/>
      <c r="E101" s="4"/>
      <c r="F101" s="3"/>
      <c r="G101" s="3"/>
      <c r="H101" s="3"/>
      <c r="I101" s="3"/>
    </row>
    <row r="102" spans="1:9" ht="12.75" customHeight="1" x14ac:dyDescent="0.15">
      <c r="A102" s="3"/>
      <c r="B102" s="3"/>
      <c r="C102" s="3"/>
      <c r="D102" s="3"/>
      <c r="E102" s="4"/>
      <c r="F102" s="3"/>
      <c r="G102" s="3"/>
      <c r="H102" s="3"/>
      <c r="I102" s="3"/>
    </row>
    <row r="103" spans="1:9" ht="12.75" customHeight="1" x14ac:dyDescent="0.15">
      <c r="A103" s="3"/>
      <c r="B103" s="3"/>
      <c r="C103" s="3"/>
      <c r="D103" s="3"/>
      <c r="E103" s="4"/>
      <c r="F103" s="3"/>
      <c r="G103" s="3"/>
      <c r="H103" s="3"/>
      <c r="I103" s="3"/>
    </row>
    <row r="104" spans="1:9" ht="12.75" customHeight="1" x14ac:dyDescent="0.15">
      <c r="A104" s="3"/>
      <c r="B104" s="3"/>
      <c r="C104" s="3"/>
      <c r="D104" s="3"/>
      <c r="E104" s="4"/>
      <c r="F104" s="3"/>
      <c r="G104" s="3"/>
      <c r="H104" s="3"/>
      <c r="I104" s="3"/>
    </row>
    <row r="105" spans="1:9" ht="12.75" customHeight="1" x14ac:dyDescent="0.15">
      <c r="A105" s="3"/>
      <c r="B105" s="3"/>
      <c r="C105" s="3"/>
      <c r="D105" s="3"/>
      <c r="E105" s="4"/>
      <c r="F105" s="3"/>
      <c r="G105" s="3"/>
      <c r="H105" s="3"/>
      <c r="I105" s="3"/>
    </row>
    <row r="106" spans="1:9" ht="12.75" customHeight="1" x14ac:dyDescent="0.15">
      <c r="A106" s="3"/>
      <c r="B106" s="3"/>
      <c r="C106" s="3"/>
      <c r="D106" s="3"/>
      <c r="E106" s="4"/>
      <c r="F106" s="3"/>
      <c r="G106" s="3"/>
      <c r="H106" s="3"/>
      <c r="I106" s="3"/>
    </row>
    <row r="107" spans="1:9" ht="12.75" customHeight="1" x14ac:dyDescent="0.15">
      <c r="A107" s="3"/>
      <c r="B107" s="3"/>
      <c r="C107" s="3"/>
      <c r="D107" s="3"/>
      <c r="E107" s="4"/>
      <c r="F107" s="3"/>
      <c r="G107" s="3"/>
      <c r="H107" s="3"/>
      <c r="I107" s="3"/>
    </row>
    <row r="108" spans="1:9" ht="12.75" customHeight="1" x14ac:dyDescent="0.15">
      <c r="A108" s="3"/>
      <c r="B108" s="3"/>
      <c r="C108" s="3"/>
      <c r="D108" s="3"/>
      <c r="E108" s="4"/>
      <c r="F108" s="3"/>
      <c r="G108" s="3"/>
      <c r="H108" s="3"/>
      <c r="I108" s="3"/>
    </row>
    <row r="109" spans="1:9" ht="12.75" customHeight="1" x14ac:dyDescent="0.15">
      <c r="A109" s="3"/>
      <c r="B109" s="3"/>
      <c r="C109" s="3"/>
      <c r="D109" s="3"/>
      <c r="E109" s="4"/>
      <c r="F109" s="3"/>
      <c r="G109" s="3"/>
      <c r="H109" s="3"/>
      <c r="I109" s="3"/>
    </row>
    <row r="110" spans="1:9" ht="12.75" customHeight="1" x14ac:dyDescent="0.15">
      <c r="A110" s="3"/>
      <c r="B110" s="3"/>
      <c r="C110" s="3"/>
      <c r="D110" s="3"/>
      <c r="E110" s="4"/>
      <c r="F110" s="3"/>
      <c r="G110" s="3"/>
      <c r="H110" s="3"/>
      <c r="I110" s="3"/>
    </row>
    <row r="111" spans="1:9" ht="12.75" customHeight="1" x14ac:dyDescent="0.15">
      <c r="A111" s="3"/>
      <c r="B111" s="3"/>
      <c r="C111" s="3"/>
      <c r="D111" s="3"/>
      <c r="E111" s="4"/>
      <c r="F111" s="3"/>
      <c r="G111" s="3"/>
      <c r="H111" s="3"/>
      <c r="I111" s="3"/>
    </row>
    <row r="112" spans="1:9" ht="12.75" customHeight="1" x14ac:dyDescent="0.15">
      <c r="A112" s="3"/>
      <c r="B112" s="3"/>
      <c r="C112" s="3"/>
      <c r="D112" s="3"/>
      <c r="E112" s="4"/>
      <c r="F112" s="3"/>
      <c r="G112" s="3"/>
      <c r="H112" s="3"/>
      <c r="I112" s="3"/>
    </row>
    <row r="113" spans="1:9" ht="12.75" customHeight="1" x14ac:dyDescent="0.15">
      <c r="A113" s="3"/>
      <c r="B113" s="3"/>
      <c r="C113" s="3"/>
      <c r="D113" s="3"/>
      <c r="E113" s="4"/>
      <c r="F113" s="3"/>
      <c r="G113" s="3"/>
      <c r="H113" s="3"/>
      <c r="I113" s="3"/>
    </row>
    <row r="114" spans="1:9" ht="12.75" customHeight="1" x14ac:dyDescent="0.15">
      <c r="A114" s="3"/>
      <c r="B114" s="3"/>
      <c r="C114" s="3"/>
      <c r="D114" s="3"/>
      <c r="E114" s="4"/>
      <c r="F114" s="3"/>
      <c r="G114" s="3"/>
      <c r="H114" s="3"/>
      <c r="I114" s="3"/>
    </row>
    <row r="115" spans="1:9" ht="12.75" customHeight="1" x14ac:dyDescent="0.15">
      <c r="A115" s="3"/>
      <c r="B115" s="3"/>
      <c r="C115" s="3"/>
      <c r="D115" s="3"/>
      <c r="E115" s="4"/>
      <c r="F115" s="3"/>
      <c r="G115" s="3"/>
      <c r="H115" s="3"/>
      <c r="I115" s="3"/>
    </row>
    <row r="116" spans="1:9" ht="12.75" customHeight="1" x14ac:dyDescent="0.15">
      <c r="A116" s="3"/>
      <c r="B116" s="3"/>
      <c r="C116" s="3"/>
      <c r="D116" s="3"/>
      <c r="E116" s="4"/>
      <c r="F116" s="3"/>
      <c r="G116" s="3"/>
      <c r="H116" s="3"/>
      <c r="I116" s="3"/>
    </row>
    <row r="117" spans="1:9" ht="12.75" customHeight="1" x14ac:dyDescent="0.15">
      <c r="A117" s="3"/>
      <c r="B117" s="3"/>
      <c r="C117" s="3"/>
      <c r="D117" s="3"/>
      <c r="E117" s="4"/>
      <c r="F117" s="3"/>
      <c r="G117" s="3"/>
      <c r="H117" s="3"/>
      <c r="I117" s="3"/>
    </row>
    <row r="118" spans="1:9" ht="12.75" customHeight="1" x14ac:dyDescent="0.15">
      <c r="A118" s="3"/>
      <c r="B118" s="3"/>
      <c r="C118" s="3"/>
      <c r="D118" s="3"/>
      <c r="E118" s="4"/>
      <c r="F118" s="3"/>
      <c r="G118" s="3"/>
      <c r="H118" s="3"/>
      <c r="I118" s="3"/>
    </row>
    <row r="119" spans="1:9" ht="12.75" customHeight="1" x14ac:dyDescent="0.15">
      <c r="A119" s="3"/>
      <c r="B119" s="3"/>
      <c r="C119" s="3"/>
      <c r="D119" s="3"/>
      <c r="E119" s="4"/>
      <c r="F119" s="3"/>
      <c r="G119" s="3"/>
      <c r="H119" s="3"/>
      <c r="I119" s="3"/>
    </row>
    <row r="120" spans="1:9" ht="12.75" customHeight="1" x14ac:dyDescent="0.15">
      <c r="A120" s="3"/>
      <c r="B120" s="3"/>
      <c r="C120" s="3"/>
      <c r="D120" s="3"/>
      <c r="E120" s="4"/>
      <c r="F120" s="3"/>
      <c r="G120" s="3"/>
      <c r="H120" s="3"/>
      <c r="I120" s="3"/>
    </row>
    <row r="121" spans="1:9" ht="12.75" customHeight="1" x14ac:dyDescent="0.15">
      <c r="A121" s="3"/>
      <c r="B121" s="3"/>
      <c r="C121" s="3"/>
      <c r="D121" s="3"/>
      <c r="E121" s="4"/>
      <c r="F121" s="3"/>
      <c r="G121" s="3"/>
      <c r="H121" s="3"/>
      <c r="I121" s="3"/>
    </row>
    <row r="122" spans="1:9" ht="12.75" customHeight="1" x14ac:dyDescent="0.15">
      <c r="A122" s="3"/>
      <c r="B122" s="3"/>
      <c r="C122" s="3"/>
      <c r="D122" s="3"/>
      <c r="E122" s="4"/>
      <c r="F122" s="3"/>
      <c r="G122" s="3"/>
      <c r="H122" s="3"/>
      <c r="I122" s="3"/>
    </row>
    <row r="123" spans="1:9" ht="12.75" customHeight="1" x14ac:dyDescent="0.15">
      <c r="A123" s="3"/>
      <c r="B123" s="3"/>
      <c r="C123" s="3"/>
      <c r="D123" s="3"/>
      <c r="E123" s="4"/>
      <c r="F123" s="3"/>
      <c r="G123" s="3"/>
      <c r="H123" s="3"/>
      <c r="I123" s="3"/>
    </row>
    <row r="124" spans="1:9" ht="12.75" customHeight="1" x14ac:dyDescent="0.15">
      <c r="A124" s="3"/>
      <c r="B124" s="3"/>
      <c r="C124" s="3"/>
      <c r="D124" s="3"/>
      <c r="E124" s="4"/>
      <c r="F124" s="3"/>
      <c r="G124" s="3"/>
      <c r="H124" s="3"/>
      <c r="I124" s="3"/>
    </row>
    <row r="125" spans="1:9" ht="12.75" customHeight="1" x14ac:dyDescent="0.15">
      <c r="A125" s="3"/>
      <c r="B125" s="3"/>
      <c r="C125" s="3"/>
      <c r="D125" s="3"/>
      <c r="E125" s="4"/>
      <c r="F125" s="3"/>
      <c r="G125" s="3"/>
      <c r="H125" s="3"/>
      <c r="I125" s="3"/>
    </row>
    <row r="126" spans="1:9" ht="12.75" customHeight="1" x14ac:dyDescent="0.15">
      <c r="A126" s="3"/>
      <c r="B126" s="3"/>
      <c r="C126" s="3"/>
      <c r="D126" s="3"/>
      <c r="E126" s="4"/>
      <c r="F126" s="3"/>
      <c r="G126" s="3"/>
      <c r="H126" s="3"/>
      <c r="I126" s="3"/>
    </row>
    <row r="127" spans="1:9" ht="12.75" customHeight="1" x14ac:dyDescent="0.15">
      <c r="A127" s="3"/>
      <c r="B127" s="3"/>
      <c r="C127" s="3"/>
      <c r="D127" s="3"/>
      <c r="E127" s="4"/>
      <c r="F127" s="3"/>
      <c r="G127" s="3"/>
      <c r="H127" s="3"/>
      <c r="I127" s="3"/>
    </row>
    <row r="128" spans="1:9" ht="12.75" customHeight="1" x14ac:dyDescent="0.15">
      <c r="A128" s="3"/>
      <c r="B128" s="3"/>
      <c r="C128" s="3"/>
      <c r="D128" s="3"/>
      <c r="E128" s="4"/>
      <c r="F128" s="3"/>
      <c r="G128" s="3"/>
      <c r="H128" s="3"/>
      <c r="I128" s="3"/>
    </row>
    <row r="129" spans="1:9" ht="12.75" customHeight="1" x14ac:dyDescent="0.15">
      <c r="A129" s="3"/>
      <c r="B129" s="3"/>
      <c r="C129" s="3"/>
      <c r="D129" s="3"/>
      <c r="E129" s="4"/>
      <c r="F129" s="3"/>
      <c r="G129" s="3"/>
      <c r="H129" s="3"/>
      <c r="I129" s="3"/>
    </row>
    <row r="130" spans="1:9" ht="12.75" customHeight="1" x14ac:dyDescent="0.15">
      <c r="A130" s="3"/>
      <c r="B130" s="3"/>
      <c r="C130" s="3"/>
      <c r="D130" s="3"/>
      <c r="E130" s="4"/>
      <c r="F130" s="3"/>
      <c r="G130" s="3"/>
      <c r="H130" s="3"/>
      <c r="I130" s="3"/>
    </row>
    <row r="131" spans="1:9" ht="12.75" customHeight="1" x14ac:dyDescent="0.15">
      <c r="A131" s="3"/>
      <c r="B131" s="3"/>
      <c r="C131" s="3"/>
      <c r="D131" s="3"/>
      <c r="E131" s="4"/>
      <c r="F131" s="3"/>
      <c r="G131" s="3"/>
      <c r="H131" s="3"/>
      <c r="I131" s="3"/>
    </row>
    <row r="132" spans="1:9" ht="12.75" customHeight="1" x14ac:dyDescent="0.15">
      <c r="A132" s="3"/>
      <c r="B132" s="3"/>
      <c r="C132" s="3"/>
      <c r="D132" s="3"/>
      <c r="E132" s="4"/>
      <c r="F132" s="3"/>
      <c r="G132" s="3"/>
      <c r="H132" s="3"/>
      <c r="I132" s="3"/>
    </row>
    <row r="133" spans="1:9" ht="12.75" customHeight="1" x14ac:dyDescent="0.15">
      <c r="A133" s="3"/>
      <c r="B133" s="3"/>
      <c r="C133" s="3"/>
      <c r="D133" s="3"/>
      <c r="E133" s="4"/>
      <c r="F133" s="3"/>
      <c r="G133" s="3"/>
      <c r="H133" s="3"/>
      <c r="I133" s="3"/>
    </row>
    <row r="134" spans="1:9" ht="12.75" customHeight="1" x14ac:dyDescent="0.15">
      <c r="A134" s="3"/>
      <c r="B134" s="3"/>
      <c r="C134" s="3"/>
      <c r="D134" s="3"/>
      <c r="E134" s="4"/>
      <c r="F134" s="3"/>
      <c r="G134" s="3"/>
      <c r="H134" s="3"/>
      <c r="I134" s="3"/>
    </row>
    <row r="135" spans="1:9" ht="12.75" customHeight="1" x14ac:dyDescent="0.15">
      <c r="A135" s="3"/>
      <c r="B135" s="3"/>
      <c r="C135" s="3"/>
      <c r="D135" s="3"/>
      <c r="E135" s="4"/>
      <c r="F135" s="3"/>
      <c r="G135" s="3"/>
      <c r="H135" s="3"/>
      <c r="I135" s="3"/>
    </row>
    <row r="136" spans="1:9" ht="12.75" customHeight="1" x14ac:dyDescent="0.15">
      <c r="A136" s="3"/>
      <c r="B136" s="3"/>
      <c r="C136" s="3"/>
      <c r="D136" s="3"/>
      <c r="E136" s="4"/>
      <c r="F136" s="3"/>
      <c r="G136" s="3"/>
      <c r="H136" s="3"/>
      <c r="I136" s="3"/>
    </row>
    <row r="137" spans="1:9" ht="12.75" customHeight="1" x14ac:dyDescent="0.15">
      <c r="A137" s="3"/>
      <c r="B137" s="3"/>
      <c r="C137" s="3"/>
      <c r="D137" s="3"/>
      <c r="E137" s="4"/>
      <c r="F137" s="3"/>
      <c r="G137" s="3"/>
      <c r="H137" s="3"/>
      <c r="I137" s="3"/>
    </row>
    <row r="138" spans="1:9" ht="12.75" customHeight="1" x14ac:dyDescent="0.15">
      <c r="A138" s="3"/>
      <c r="B138" s="3"/>
      <c r="C138" s="3"/>
      <c r="D138" s="3"/>
      <c r="E138" s="4"/>
      <c r="F138" s="3"/>
      <c r="G138" s="3"/>
      <c r="H138" s="3"/>
      <c r="I138" s="3"/>
    </row>
    <row r="139" spans="1:9" ht="12.75" customHeight="1" x14ac:dyDescent="0.15">
      <c r="A139" s="3"/>
      <c r="B139" s="3"/>
      <c r="C139" s="3"/>
      <c r="D139" s="3"/>
      <c r="E139" s="4"/>
      <c r="F139" s="3"/>
      <c r="G139" s="3"/>
      <c r="H139" s="3"/>
      <c r="I139" s="3"/>
    </row>
    <row r="140" spans="1:9" ht="12.75" customHeight="1" x14ac:dyDescent="0.15">
      <c r="A140" s="3"/>
      <c r="B140" s="3"/>
      <c r="C140" s="3"/>
      <c r="D140" s="3"/>
      <c r="E140" s="4"/>
      <c r="F140" s="3"/>
      <c r="G140" s="3"/>
      <c r="H140" s="3"/>
      <c r="I140" s="3"/>
    </row>
    <row r="141" spans="1:9" ht="12.75" customHeight="1" x14ac:dyDescent="0.15">
      <c r="A141" s="3"/>
      <c r="B141" s="3"/>
      <c r="C141" s="3"/>
      <c r="D141" s="3"/>
      <c r="E141" s="4"/>
      <c r="F141" s="3"/>
      <c r="G141" s="3"/>
      <c r="H141" s="3"/>
      <c r="I141" s="3"/>
    </row>
    <row r="142" spans="1:9" ht="12.75" customHeight="1" x14ac:dyDescent="0.15">
      <c r="A142" s="3"/>
      <c r="B142" s="3"/>
      <c r="C142" s="3"/>
      <c r="D142" s="3"/>
      <c r="E142" s="4"/>
      <c r="F142" s="3"/>
      <c r="G142" s="3"/>
      <c r="H142" s="3"/>
      <c r="I142" s="3"/>
    </row>
    <row r="143" spans="1:9" ht="12.75" customHeight="1" x14ac:dyDescent="0.15">
      <c r="A143" s="3"/>
      <c r="B143" s="3"/>
      <c r="C143" s="3"/>
      <c r="D143" s="3"/>
      <c r="E143" s="4"/>
      <c r="F143" s="3"/>
      <c r="G143" s="3"/>
      <c r="H143" s="3"/>
      <c r="I143" s="3"/>
    </row>
    <row r="144" spans="1:9" ht="12.75" customHeight="1" x14ac:dyDescent="0.15">
      <c r="A144" s="3"/>
      <c r="B144" s="3"/>
      <c r="C144" s="3"/>
      <c r="D144" s="3"/>
      <c r="E144" s="4"/>
      <c r="F144" s="3"/>
      <c r="G144" s="3"/>
      <c r="H144" s="3"/>
      <c r="I144" s="3"/>
    </row>
    <row r="145" spans="1:9" ht="12.75" customHeight="1" x14ac:dyDescent="0.15">
      <c r="A145" s="3"/>
      <c r="B145" s="3"/>
      <c r="C145" s="3"/>
      <c r="D145" s="3"/>
      <c r="E145" s="4"/>
      <c r="F145" s="3"/>
      <c r="G145" s="3"/>
      <c r="H145" s="3"/>
      <c r="I145" s="3"/>
    </row>
    <row r="146" spans="1:9" ht="12.75" customHeight="1" x14ac:dyDescent="0.15">
      <c r="A146" s="3"/>
      <c r="B146" s="3"/>
      <c r="C146" s="3"/>
      <c r="D146" s="3"/>
      <c r="E146" s="4"/>
      <c r="F146" s="3"/>
      <c r="G146" s="3"/>
      <c r="H146" s="3"/>
      <c r="I146" s="3"/>
    </row>
    <row r="147" spans="1:9" ht="12.75" customHeight="1" x14ac:dyDescent="0.15">
      <c r="A147" s="3"/>
      <c r="B147" s="3"/>
      <c r="C147" s="3"/>
      <c r="D147" s="3"/>
      <c r="E147" s="4"/>
      <c r="F147" s="3"/>
      <c r="G147" s="3"/>
      <c r="H147" s="3"/>
      <c r="I147" s="3"/>
    </row>
    <row r="148" spans="1:9" ht="12.75" customHeight="1" x14ac:dyDescent="0.15">
      <c r="A148" s="3"/>
      <c r="B148" s="3"/>
      <c r="C148" s="3"/>
      <c r="D148" s="3"/>
      <c r="E148" s="4"/>
      <c r="F148" s="3"/>
      <c r="G148" s="3"/>
      <c r="H148" s="3"/>
      <c r="I148" s="3"/>
    </row>
    <row r="149" spans="1:9" ht="12.75" customHeight="1" x14ac:dyDescent="0.15">
      <c r="A149" s="3"/>
      <c r="B149" s="3"/>
      <c r="C149" s="3"/>
      <c r="D149" s="3"/>
      <c r="E149" s="4"/>
      <c r="F149" s="3"/>
      <c r="G149" s="3"/>
      <c r="H149" s="3"/>
      <c r="I149" s="3"/>
    </row>
    <row r="150" spans="1:9" ht="12.75" customHeight="1" x14ac:dyDescent="0.15">
      <c r="A150" s="3"/>
      <c r="B150" s="3"/>
      <c r="C150" s="3"/>
      <c r="D150" s="3"/>
      <c r="E150" s="4"/>
      <c r="F150" s="3"/>
      <c r="G150" s="3"/>
      <c r="H150" s="3"/>
      <c r="I150" s="3"/>
    </row>
    <row r="151" spans="1:9" ht="12.75" customHeight="1" x14ac:dyDescent="0.15">
      <c r="A151" s="3"/>
      <c r="B151" s="3"/>
      <c r="C151" s="3"/>
      <c r="D151" s="3"/>
      <c r="E151" s="4"/>
      <c r="F151" s="3"/>
      <c r="G151" s="3"/>
      <c r="H151" s="3"/>
      <c r="I151" s="3"/>
    </row>
    <row r="152" spans="1:9" ht="12.75" customHeight="1" x14ac:dyDescent="0.15">
      <c r="A152" s="3"/>
      <c r="B152" s="3"/>
      <c r="C152" s="3"/>
      <c r="D152" s="3"/>
      <c r="E152" s="4"/>
      <c r="F152" s="3"/>
      <c r="G152" s="3"/>
      <c r="H152" s="3"/>
      <c r="I152" s="3"/>
    </row>
    <row r="153" spans="1:9" ht="12.75" customHeight="1" x14ac:dyDescent="0.15">
      <c r="A153" s="3"/>
      <c r="B153" s="3"/>
      <c r="C153" s="3"/>
      <c r="D153" s="3"/>
      <c r="E153" s="4"/>
      <c r="F153" s="3"/>
      <c r="G153" s="3"/>
      <c r="H153" s="3"/>
      <c r="I153" s="3"/>
    </row>
    <row r="154" spans="1:9" ht="12.75" customHeight="1" x14ac:dyDescent="0.15">
      <c r="A154" s="3"/>
      <c r="B154" s="3"/>
      <c r="C154" s="3"/>
      <c r="D154" s="3"/>
      <c r="E154" s="4"/>
      <c r="F154" s="3"/>
      <c r="G154" s="3"/>
      <c r="H154" s="3"/>
      <c r="I154" s="3"/>
    </row>
    <row r="155" spans="1:9" ht="12.75" customHeight="1" x14ac:dyDescent="0.15">
      <c r="A155" s="3"/>
      <c r="B155" s="3"/>
      <c r="C155" s="3"/>
      <c r="D155" s="3"/>
      <c r="E155" s="4"/>
      <c r="F155" s="3"/>
      <c r="G155" s="3"/>
      <c r="H155" s="3"/>
      <c r="I155" s="3"/>
    </row>
    <row r="156" spans="1:9" ht="12.75" customHeight="1" x14ac:dyDescent="0.15">
      <c r="A156" s="3"/>
      <c r="B156" s="3"/>
      <c r="C156" s="3"/>
      <c r="D156" s="3"/>
      <c r="E156" s="4"/>
      <c r="F156" s="3"/>
      <c r="G156" s="3"/>
      <c r="H156" s="3"/>
      <c r="I156" s="3"/>
    </row>
    <row r="157" spans="1:9" ht="12.75" customHeight="1" x14ac:dyDescent="0.15">
      <c r="A157" s="3"/>
      <c r="B157" s="3"/>
      <c r="C157" s="3"/>
      <c r="D157" s="3"/>
      <c r="E157" s="4"/>
      <c r="F157" s="3"/>
      <c r="G157" s="3"/>
      <c r="H157" s="3"/>
      <c r="I157" s="3"/>
    </row>
    <row r="158" spans="1:9" ht="12.75" customHeight="1" x14ac:dyDescent="0.15">
      <c r="A158" s="3"/>
      <c r="B158" s="3"/>
      <c r="C158" s="3"/>
      <c r="D158" s="3"/>
      <c r="E158" s="4"/>
      <c r="F158" s="3"/>
      <c r="G158" s="3"/>
      <c r="H158" s="3"/>
      <c r="I158" s="3"/>
    </row>
    <row r="159" spans="1:9" ht="12.75" customHeight="1" x14ac:dyDescent="0.15">
      <c r="A159" s="3"/>
      <c r="B159" s="3"/>
      <c r="C159" s="3"/>
      <c r="D159" s="3"/>
      <c r="E159" s="4"/>
      <c r="F159" s="3"/>
      <c r="G159" s="3"/>
      <c r="H159" s="3"/>
      <c r="I159" s="3"/>
    </row>
    <row r="160" spans="1:9" ht="12.75" customHeight="1" x14ac:dyDescent="0.15">
      <c r="A160" s="3"/>
      <c r="B160" s="3"/>
      <c r="C160" s="3"/>
      <c r="D160" s="3"/>
      <c r="E160" s="4"/>
      <c r="F160" s="3"/>
      <c r="G160" s="3"/>
      <c r="H160" s="3"/>
      <c r="I160" s="3"/>
    </row>
    <row r="161" spans="1:9" ht="12.75" customHeight="1" x14ac:dyDescent="0.15">
      <c r="A161" s="3"/>
      <c r="B161" s="3"/>
      <c r="C161" s="3"/>
      <c r="D161" s="3"/>
      <c r="E161" s="4"/>
      <c r="F161" s="3"/>
      <c r="G161" s="3"/>
      <c r="H161" s="3"/>
      <c r="I161" s="3"/>
    </row>
    <row r="162" spans="1:9" ht="12.75" customHeight="1" x14ac:dyDescent="0.15">
      <c r="A162" s="3"/>
      <c r="B162" s="3"/>
      <c r="C162" s="3"/>
      <c r="D162" s="3"/>
      <c r="E162" s="4"/>
      <c r="F162" s="3"/>
      <c r="G162" s="3"/>
      <c r="H162" s="3"/>
      <c r="I162" s="3"/>
    </row>
    <row r="163" spans="1:9" ht="12.75" customHeight="1" x14ac:dyDescent="0.15">
      <c r="A163" s="3"/>
      <c r="B163" s="3"/>
      <c r="C163" s="3"/>
      <c r="D163" s="3"/>
      <c r="E163" s="4"/>
      <c r="F163" s="3"/>
      <c r="G163" s="3"/>
      <c r="H163" s="3"/>
      <c r="I163" s="3"/>
    </row>
    <row r="164" spans="1:9" ht="12.75" customHeight="1" x14ac:dyDescent="0.15">
      <c r="A164" s="3"/>
      <c r="B164" s="3"/>
      <c r="C164" s="3"/>
      <c r="D164" s="3"/>
      <c r="E164" s="4"/>
      <c r="F164" s="3"/>
      <c r="G164" s="3"/>
      <c r="H164" s="3"/>
      <c r="I164" s="3"/>
    </row>
    <row r="165" spans="1:9" ht="12.75" customHeight="1" x14ac:dyDescent="0.15">
      <c r="A165" s="3"/>
      <c r="B165" s="3"/>
      <c r="C165" s="3"/>
      <c r="D165" s="3"/>
      <c r="E165" s="4"/>
      <c r="F165" s="3"/>
      <c r="G165" s="3"/>
      <c r="H165" s="3"/>
      <c r="I165" s="3"/>
    </row>
    <row r="166" spans="1:9" ht="12.75" customHeight="1" x14ac:dyDescent="0.15">
      <c r="A166" s="3"/>
      <c r="B166" s="3"/>
      <c r="C166" s="3"/>
      <c r="D166" s="3"/>
      <c r="E166" s="4"/>
      <c r="F166" s="3"/>
      <c r="G166" s="3"/>
      <c r="H166" s="3"/>
      <c r="I166" s="3"/>
    </row>
    <row r="167" spans="1:9" ht="12.75" customHeight="1" x14ac:dyDescent="0.15">
      <c r="A167" s="3"/>
      <c r="B167" s="3"/>
      <c r="C167" s="3"/>
      <c r="D167" s="3"/>
      <c r="E167" s="4"/>
      <c r="F167" s="3"/>
      <c r="G167" s="3"/>
      <c r="H167" s="3"/>
      <c r="I167" s="3"/>
    </row>
    <row r="168" spans="1:9" ht="12.75" customHeight="1" x14ac:dyDescent="0.15">
      <c r="A168" s="3"/>
      <c r="B168" s="3"/>
      <c r="C168" s="3"/>
      <c r="D168" s="3"/>
      <c r="E168" s="4"/>
      <c r="F168" s="3"/>
      <c r="G168" s="3"/>
      <c r="H168" s="3"/>
      <c r="I168" s="3"/>
    </row>
    <row r="169" spans="1:9" ht="12.75" customHeight="1" x14ac:dyDescent="0.15">
      <c r="A169" s="3"/>
      <c r="B169" s="3"/>
      <c r="C169" s="3"/>
      <c r="D169" s="3"/>
      <c r="E169" s="4"/>
      <c r="F169" s="3"/>
      <c r="G169" s="3"/>
      <c r="H169" s="3"/>
      <c r="I169" s="3"/>
    </row>
    <row r="170" spans="1:9" ht="12.75" customHeight="1" x14ac:dyDescent="0.15">
      <c r="A170" s="3"/>
      <c r="B170" s="3"/>
      <c r="C170" s="3"/>
      <c r="D170" s="3"/>
      <c r="E170" s="4"/>
      <c r="F170" s="3"/>
      <c r="G170" s="3"/>
      <c r="H170" s="3"/>
      <c r="I170" s="3"/>
    </row>
    <row r="171" spans="1:9" ht="12.75" customHeight="1" x14ac:dyDescent="0.15">
      <c r="A171" s="3"/>
      <c r="B171" s="3"/>
      <c r="C171" s="3"/>
      <c r="D171" s="3"/>
      <c r="E171" s="4"/>
      <c r="F171" s="3"/>
      <c r="G171" s="3"/>
      <c r="H171" s="3"/>
      <c r="I171" s="3"/>
    </row>
    <row r="172" spans="1:9" ht="12.75" customHeight="1" x14ac:dyDescent="0.15">
      <c r="A172" s="3"/>
      <c r="B172" s="3"/>
      <c r="C172" s="3"/>
      <c r="D172" s="3"/>
      <c r="E172" s="4"/>
      <c r="F172" s="3"/>
      <c r="G172" s="3"/>
      <c r="H172" s="3"/>
      <c r="I172" s="3"/>
    </row>
    <row r="173" spans="1:9" ht="12.75" customHeight="1" x14ac:dyDescent="0.15">
      <c r="A173" s="3"/>
      <c r="B173" s="3"/>
      <c r="C173" s="3"/>
      <c r="D173" s="3"/>
      <c r="E173" s="4"/>
      <c r="F173" s="3"/>
      <c r="G173" s="3"/>
      <c r="H173" s="3"/>
      <c r="I173" s="3"/>
    </row>
    <row r="174" spans="1:9" ht="12.75" customHeight="1" x14ac:dyDescent="0.15">
      <c r="A174" s="3"/>
      <c r="B174" s="3"/>
      <c r="C174" s="3"/>
      <c r="D174" s="3"/>
      <c r="E174" s="4"/>
      <c r="F174" s="3"/>
      <c r="G174" s="3"/>
      <c r="H174" s="3"/>
      <c r="I174" s="3"/>
    </row>
    <row r="175" spans="1:9" ht="12.75" customHeight="1" x14ac:dyDescent="0.15">
      <c r="A175" s="3"/>
      <c r="B175" s="3"/>
      <c r="C175" s="3"/>
      <c r="D175" s="3"/>
      <c r="E175" s="4"/>
      <c r="F175" s="3"/>
      <c r="G175" s="3"/>
      <c r="H175" s="3"/>
      <c r="I175" s="3"/>
    </row>
    <row r="176" spans="1:9" ht="12.75" customHeight="1" x14ac:dyDescent="0.15">
      <c r="A176" s="3"/>
      <c r="B176" s="3"/>
      <c r="C176" s="3"/>
      <c r="D176" s="3"/>
      <c r="E176" s="4"/>
      <c r="F176" s="3"/>
      <c r="G176" s="3"/>
      <c r="H176" s="3"/>
      <c r="I176" s="3"/>
    </row>
    <row r="177" spans="1:9" ht="12.75" customHeight="1" x14ac:dyDescent="0.15">
      <c r="A177" s="3"/>
      <c r="B177" s="3"/>
      <c r="C177" s="3"/>
      <c r="D177" s="3"/>
      <c r="E177" s="4"/>
      <c r="F177" s="3"/>
      <c r="G177" s="3"/>
      <c r="H177" s="3"/>
      <c r="I177" s="3"/>
    </row>
    <row r="178" spans="1:9" ht="12.75" customHeight="1" x14ac:dyDescent="0.15">
      <c r="A178" s="3"/>
      <c r="B178" s="3"/>
      <c r="C178" s="3"/>
      <c r="D178" s="3"/>
      <c r="E178" s="4"/>
      <c r="F178" s="3"/>
      <c r="G178" s="3"/>
      <c r="H178" s="3"/>
      <c r="I178" s="3"/>
    </row>
    <row r="179" spans="1:9" ht="12.75" customHeight="1" x14ac:dyDescent="0.15">
      <c r="A179" s="3"/>
      <c r="B179" s="3"/>
      <c r="C179" s="3"/>
      <c r="D179" s="3"/>
      <c r="E179" s="4"/>
      <c r="F179" s="3"/>
      <c r="G179" s="3"/>
      <c r="H179" s="3"/>
      <c r="I179" s="3"/>
    </row>
    <row r="180" spans="1:9" ht="12.75" customHeight="1" x14ac:dyDescent="0.15">
      <c r="A180" s="3"/>
      <c r="B180" s="3"/>
      <c r="C180" s="3"/>
      <c r="D180" s="3"/>
      <c r="E180" s="4"/>
      <c r="F180" s="3"/>
      <c r="G180" s="3"/>
      <c r="H180" s="3"/>
      <c r="I180" s="3"/>
    </row>
    <row r="181" spans="1:9" ht="12.75" customHeight="1" x14ac:dyDescent="0.15">
      <c r="A181" s="3"/>
      <c r="B181" s="3"/>
      <c r="C181" s="3"/>
      <c r="D181" s="3"/>
      <c r="E181" s="4"/>
      <c r="F181" s="3"/>
      <c r="G181" s="3"/>
      <c r="H181" s="3"/>
      <c r="I181" s="3"/>
    </row>
    <row r="182" spans="1:9" ht="12.75" customHeight="1" x14ac:dyDescent="0.15">
      <c r="A182" s="3"/>
      <c r="B182" s="3"/>
      <c r="C182" s="3"/>
      <c r="D182" s="3"/>
      <c r="E182" s="4"/>
      <c r="F182" s="3"/>
      <c r="G182" s="3"/>
      <c r="H182" s="3"/>
      <c r="I182" s="3"/>
    </row>
    <row r="183" spans="1:9" ht="12.75" customHeight="1" x14ac:dyDescent="0.15">
      <c r="A183" s="3"/>
      <c r="B183" s="3"/>
      <c r="C183" s="3"/>
      <c r="D183" s="3"/>
      <c r="E183" s="4"/>
      <c r="F183" s="3"/>
      <c r="G183" s="3"/>
      <c r="H183" s="3"/>
      <c r="I183" s="3"/>
    </row>
    <row r="184" spans="1:9" ht="12.75" customHeight="1" x14ac:dyDescent="0.15">
      <c r="A184" s="3"/>
      <c r="B184" s="3"/>
      <c r="C184" s="3"/>
      <c r="D184" s="3"/>
      <c r="E184" s="4"/>
      <c r="F184" s="3"/>
      <c r="G184" s="3"/>
      <c r="H184" s="3"/>
      <c r="I184" s="3"/>
    </row>
    <row r="185" spans="1:9" ht="12.75" customHeight="1" x14ac:dyDescent="0.15">
      <c r="A185" s="3"/>
      <c r="B185" s="3"/>
      <c r="C185" s="3"/>
      <c r="D185" s="3"/>
      <c r="E185" s="4"/>
      <c r="F185" s="3"/>
      <c r="G185" s="3"/>
      <c r="H185" s="3"/>
      <c r="I185" s="3"/>
    </row>
    <row r="186" spans="1:9" ht="12.75" customHeight="1" x14ac:dyDescent="0.15">
      <c r="A186" s="3"/>
      <c r="B186" s="3"/>
      <c r="C186" s="3"/>
      <c r="D186" s="3"/>
      <c r="E186" s="4"/>
      <c r="F186" s="3"/>
      <c r="G186" s="3"/>
      <c r="H186" s="3"/>
      <c r="I186" s="3"/>
    </row>
    <row r="187" spans="1:9" ht="12.75" customHeight="1" x14ac:dyDescent="0.15">
      <c r="A187" s="3"/>
      <c r="B187" s="3"/>
      <c r="C187" s="3"/>
      <c r="D187" s="3"/>
      <c r="E187" s="4"/>
      <c r="F187" s="3"/>
      <c r="G187" s="3"/>
      <c r="H187" s="3"/>
      <c r="I187" s="3"/>
    </row>
    <row r="188" spans="1:9" ht="12.75" customHeight="1" x14ac:dyDescent="0.15"/>
    <row r="189" spans="1:9" ht="12.75" customHeight="1" x14ac:dyDescent="0.15"/>
    <row r="190" spans="1:9" ht="12.75" customHeight="1" x14ac:dyDescent="0.15"/>
    <row r="191" spans="1:9" ht="12.75" customHeight="1" x14ac:dyDescent="0.15"/>
    <row r="192" spans="1:9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</sheetData>
  <sheetProtection selectLockedCells="1" selectUnlockedCells="1"/>
  <mergeCells count="1">
    <mergeCell ref="D47:E47"/>
  </mergeCells>
  <phoneticPr fontId="3" type="noConversion"/>
  <pageMargins left="0.7" right="0.7" top="0.75" bottom="0.75" header="0.51180555555555551" footer="0.51180555555555551"/>
  <pageSetup firstPageNumber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137</vt:i4>
      </vt:variant>
      <vt:variant>
        <vt:lpstr>이름 지정된 범위</vt:lpstr>
      </vt:variant>
      <vt:variant>
        <vt:i4>2</vt:i4>
      </vt:variant>
    </vt:vector>
  </HeadingPairs>
  <TitlesOfParts>
    <vt:vector size="139" baseType="lpstr">
      <vt:lpstr>2017년 9월</vt:lpstr>
      <vt:lpstr>STEPJUMP_지출현황_인생계획</vt:lpstr>
      <vt:lpstr>2017년 10월</vt:lpstr>
      <vt:lpstr>45_2017년 11월</vt:lpstr>
      <vt:lpstr>45_2017년 12월</vt:lpstr>
      <vt:lpstr>샘플 (정규직)</vt:lpstr>
      <vt:lpstr>샘플 (프리)</vt:lpstr>
      <vt:lpstr>2016년 1월</vt:lpstr>
      <vt:lpstr>2016년 2월</vt:lpstr>
      <vt:lpstr>2016년 3월</vt:lpstr>
      <vt:lpstr>2016년 4월</vt:lpstr>
      <vt:lpstr>2016년 5월</vt:lpstr>
      <vt:lpstr>2016년 6월</vt:lpstr>
      <vt:lpstr>2016년 7월</vt:lpstr>
      <vt:lpstr>2016년 8월</vt:lpstr>
      <vt:lpstr>2016년 9월</vt:lpstr>
      <vt:lpstr>2016년 10월</vt:lpstr>
      <vt:lpstr>2016년 11월</vt:lpstr>
      <vt:lpstr>2016년 12월</vt:lpstr>
      <vt:lpstr>2017년 1월</vt:lpstr>
      <vt:lpstr>2017년 2월</vt:lpstr>
      <vt:lpstr>2017년 3월</vt:lpstr>
      <vt:lpstr>2017년 4월</vt:lpstr>
      <vt:lpstr>2017년 5월</vt:lpstr>
      <vt:lpstr>2017년 6월</vt:lpstr>
      <vt:lpstr>2017년 7월 </vt:lpstr>
      <vt:lpstr>2017년 8월</vt:lpstr>
      <vt:lpstr>샘플 (NULL)</vt:lpstr>
      <vt:lpstr>프리예시</vt:lpstr>
      <vt:lpstr>46_2018년 1월</vt:lpstr>
      <vt:lpstr>46_2018년 2월</vt:lpstr>
      <vt:lpstr>46_2018년 4월</vt:lpstr>
      <vt:lpstr>46_2018년 5월</vt:lpstr>
      <vt:lpstr>46_2018년 6월</vt:lpstr>
      <vt:lpstr>46_2018년 7월</vt:lpstr>
      <vt:lpstr>46_2018년 8월</vt:lpstr>
      <vt:lpstr>46_2018년 9월</vt:lpstr>
      <vt:lpstr>46_2018년 10월</vt:lpstr>
      <vt:lpstr>46_2018년 11월</vt:lpstr>
      <vt:lpstr>46_2018년 12월</vt:lpstr>
      <vt:lpstr>47_2019년 1월</vt:lpstr>
      <vt:lpstr>47_2019년 2월</vt:lpstr>
      <vt:lpstr>47_2019년 3월</vt:lpstr>
      <vt:lpstr>47_2019년 4월</vt:lpstr>
      <vt:lpstr>47_2019년 5월</vt:lpstr>
      <vt:lpstr>47_2019년 6월</vt:lpstr>
      <vt:lpstr>47_2019년 7월</vt:lpstr>
      <vt:lpstr>47_2019년 8월</vt:lpstr>
      <vt:lpstr>47_2019년 9월</vt:lpstr>
      <vt:lpstr>47_2019년 10월</vt:lpstr>
      <vt:lpstr>47_2019년 11월</vt:lpstr>
      <vt:lpstr>47_2019년 12월</vt:lpstr>
      <vt:lpstr>48_2020년 1월</vt:lpstr>
      <vt:lpstr>48_2020년 2월</vt:lpstr>
      <vt:lpstr>48_2020년 3월</vt:lpstr>
      <vt:lpstr>48_2020년 4월</vt:lpstr>
      <vt:lpstr>48_2020년 5월</vt:lpstr>
      <vt:lpstr>48_2020년 6월</vt:lpstr>
      <vt:lpstr>48_2020년 7월</vt:lpstr>
      <vt:lpstr>48_2020년 8월</vt:lpstr>
      <vt:lpstr>48_2020년 9월</vt:lpstr>
      <vt:lpstr>48_2020년 10월</vt:lpstr>
      <vt:lpstr>48_2020년 11월</vt:lpstr>
      <vt:lpstr>48_2020년 12월</vt:lpstr>
      <vt:lpstr>49_2021년 1월</vt:lpstr>
      <vt:lpstr>49_2021년 2월</vt:lpstr>
      <vt:lpstr>49_2021년 3월</vt:lpstr>
      <vt:lpstr>49_2021년 4월</vt:lpstr>
      <vt:lpstr>49_2021년 5월</vt:lpstr>
      <vt:lpstr>49_2021년 6월</vt:lpstr>
      <vt:lpstr>49_2021년 7월</vt:lpstr>
      <vt:lpstr>정규직 340만</vt:lpstr>
      <vt:lpstr>정규직 340만 (51)</vt:lpstr>
      <vt:lpstr>49_2021년 8월</vt:lpstr>
      <vt:lpstr>49_2021년 9월</vt:lpstr>
      <vt:lpstr>49_2021년 10월</vt:lpstr>
      <vt:lpstr>49_2021년 11월</vt:lpstr>
      <vt:lpstr>49_2021년 12월</vt:lpstr>
      <vt:lpstr>50_2022년 1월</vt:lpstr>
      <vt:lpstr>50_2022년 2월</vt:lpstr>
      <vt:lpstr>50_2022년 3월</vt:lpstr>
      <vt:lpstr>50_2022년 4월</vt:lpstr>
      <vt:lpstr>50_2022년 5월</vt:lpstr>
      <vt:lpstr>50_2022년 6월</vt:lpstr>
      <vt:lpstr>50_2022년 7월</vt:lpstr>
      <vt:lpstr>50_2022년 8월</vt:lpstr>
      <vt:lpstr>50_2022년 9월</vt:lpstr>
      <vt:lpstr>50_2022년 10월</vt:lpstr>
      <vt:lpstr>50_2022년 11월</vt:lpstr>
      <vt:lpstr>50_2022년 12월</vt:lpstr>
      <vt:lpstr>51_2023년 1월 </vt:lpstr>
      <vt:lpstr>51_2023년 2월</vt:lpstr>
      <vt:lpstr>51_2023년 3월</vt:lpstr>
      <vt:lpstr>51_2023년 4월</vt:lpstr>
      <vt:lpstr>51_2023년 5월</vt:lpstr>
      <vt:lpstr>51_2023년 6월</vt:lpstr>
      <vt:lpstr>51_2023년 7월 </vt:lpstr>
      <vt:lpstr>51_2023년 8월</vt:lpstr>
      <vt:lpstr>51_58_2023년 정규직2</vt:lpstr>
      <vt:lpstr>51_61_2023년 정규직3</vt:lpstr>
      <vt:lpstr>51_2023년 9월</vt:lpstr>
      <vt:lpstr>51_2023년 10월</vt:lpstr>
      <vt:lpstr>52_2024년 1월 (PLUS)</vt:lpstr>
      <vt:lpstr>51_2023년 11월</vt:lpstr>
      <vt:lpstr>51_2023년 12월</vt:lpstr>
      <vt:lpstr>52_2024년 1월</vt:lpstr>
      <vt:lpstr>52_2024년 2월</vt:lpstr>
      <vt:lpstr>52_2024년 정규직</vt:lpstr>
      <vt:lpstr>52_2024년 숨만쉬기</vt:lpstr>
      <vt:lpstr>52_2024년 프리랜서</vt:lpstr>
      <vt:lpstr>52_2024년 3월</vt:lpstr>
      <vt:lpstr>52_2024년 4월 (2)</vt:lpstr>
      <vt:lpstr>52_2024년 4월</vt:lpstr>
      <vt:lpstr>은퇴_정규직52</vt:lpstr>
      <vt:lpstr>은퇴전_정규직</vt:lpstr>
      <vt:lpstr>52_2024년 5월</vt:lpstr>
      <vt:lpstr>52_2024년 6월</vt:lpstr>
      <vt:lpstr>52_2024년 7월</vt:lpstr>
      <vt:lpstr>52_2024년 8월</vt:lpstr>
      <vt:lpstr>52_2024년 9월</vt:lpstr>
      <vt:lpstr>52_2024년 10월</vt:lpstr>
      <vt:lpstr>52_2024년 11월</vt:lpstr>
      <vt:lpstr>52_2024년 12월</vt:lpstr>
      <vt:lpstr>53_2025년 1월</vt:lpstr>
      <vt:lpstr>53_2025년 2월 </vt:lpstr>
      <vt:lpstr>53_2025년 3월</vt:lpstr>
      <vt:lpstr>53_2025년 4월</vt:lpstr>
      <vt:lpstr>53_2025년 5월</vt:lpstr>
      <vt:lpstr>53_2025년 6월</vt:lpstr>
      <vt:lpstr>53_2025년 7월</vt:lpstr>
      <vt:lpstr>53_2025년 8월</vt:lpstr>
      <vt:lpstr>53_2025년 9월</vt:lpstr>
      <vt:lpstr>53_2025년 10월</vt:lpstr>
      <vt:lpstr>53_2025년 11월</vt:lpstr>
      <vt:lpstr>53_2025년 12월</vt:lpstr>
      <vt:lpstr>54_2026년 1월</vt:lpstr>
      <vt:lpstr>54_2026년 2월</vt:lpstr>
      <vt:lpstr>'46_2018년 5월'!__xlnm._FilterDatabase</vt:lpstr>
      <vt:lpstr>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??</dc:creator>
  <cp:lastModifiedBy>?? ?</cp:lastModifiedBy>
  <dcterms:created xsi:type="dcterms:W3CDTF">2018-06-28T23:38:02Z</dcterms:created>
  <dcterms:modified xsi:type="dcterms:W3CDTF">2024-06-03T00:05:12Z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8c95aac5-0b7f-4cd4-bd82-e8c9a0dafb0e</vt:lpwstr>
  </property>
</Properties>
</file>