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5BFC7074-F341-7643-8930-0A0004056F2F}" xr6:coauthVersionLast="47" xr6:coauthVersionMax="47" xr10:uidLastSave="{00000000-0000-0000-0000-000000000000}"/>
  <bookViews>
    <workbookView xWindow="0" yWindow="500" windowWidth="28800" windowHeight="17500" xr2:uid="{00000000-000D-0000-FFFF-FFFF00000000}"/>
  </bookViews>
  <sheets>
    <sheet name="Table" sheetId="4" r:id="rId1"/>
    <sheet name="Graph" sheetId="3" r:id="rId2"/>
    <sheet name="projection_data" sheetId="1"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4" l="1"/>
  <c r="D7" i="4"/>
  <c r="K15" i="1"/>
  <c r="C8" i="4"/>
  <c r="M4" i="4"/>
  <c r="M5" i="4"/>
  <c r="M6" i="4"/>
  <c r="M8" i="4"/>
  <c r="K8" i="4" s="1"/>
  <c r="M7" i="4"/>
  <c r="M15" i="1"/>
  <c r="M16" i="1" s="1"/>
  <c r="M17" i="1" s="1"/>
  <c r="M18" i="1" s="1"/>
  <c r="M19" i="1" s="1"/>
  <c r="Q13" i="3"/>
  <c r="Q12" i="3"/>
  <c r="Q11" i="3"/>
  <c r="C7" i="4" l="1"/>
  <c r="D6" i="4"/>
  <c r="C6" i="4" s="1"/>
  <c r="F6" i="4" s="1"/>
  <c r="G6" i="4" s="1"/>
  <c r="K7" i="4"/>
  <c r="K6" i="4" s="1"/>
  <c r="L6" i="4" s="1"/>
  <c r="D5" i="4"/>
  <c r="F7" i="4"/>
  <c r="G7" i="4" s="1"/>
  <c r="R24" i="3" a="1"/>
  <c r="R24" i="3" s="1"/>
  <c r="H6" i="4" l="1"/>
  <c r="K5" i="4"/>
  <c r="H5" i="4" s="1"/>
  <c r="I5" i="4" s="1"/>
  <c r="J5" i="4" s="1"/>
  <c r="H7" i="4"/>
  <c r="I6" i="4" s="1"/>
  <c r="J6" i="4" s="1"/>
  <c r="L5" i="4"/>
  <c r="K4" i="4"/>
  <c r="C5" i="4"/>
  <c r="F5" i="4" s="1"/>
  <c r="G5" i="4" s="1"/>
  <c r="D4" i="4"/>
  <c r="C4" i="4" s="1"/>
  <c r="A27" i="4"/>
  <c r="A26" i="4"/>
  <c r="Q8" i="3"/>
  <c r="Q7" i="3"/>
  <c r="Q6" i="3"/>
  <c r="L4" i="1"/>
  <c r="L5" i="1"/>
  <c r="L6" i="1"/>
  <c r="L7" i="1"/>
  <c r="L8" i="1"/>
  <c r="L9" i="1"/>
  <c r="L10" i="1"/>
  <c r="L11" i="1"/>
  <c r="L12" i="1"/>
  <c r="L13" i="1"/>
  <c r="L14" i="1"/>
  <c r="L3" i="1"/>
  <c r="L4" i="4" l="1"/>
  <c r="H4" i="4"/>
  <c r="I4" i="4" s="1"/>
  <c r="J4" i="4" s="1"/>
  <c r="F4" i="4"/>
  <c r="G4" i="4" s="1"/>
  <c r="K16" i="1"/>
  <c r="H15" i="1"/>
  <c r="H8" i="4"/>
  <c r="F8" i="4"/>
  <c r="G8" i="4" s="1"/>
  <c r="L7" i="4"/>
  <c r="L8" i="4"/>
  <c r="I8" i="4" l="1"/>
  <c r="J8" i="4" s="1"/>
  <c r="I7" i="4"/>
  <c r="J7" i="4" s="1"/>
  <c r="K17" i="1"/>
  <c r="H17" i="1" s="1"/>
  <c r="H16" i="1"/>
  <c r="P24" i="3" a="1"/>
  <c r="P24" i="3" s="1"/>
  <c r="D15" i="1"/>
  <c r="K18" i="1" l="1"/>
  <c r="D16" i="1"/>
  <c r="D17" i="1" s="1"/>
  <c r="D18" i="1" s="1"/>
  <c r="D19" i="1" s="1"/>
  <c r="K19" i="1" l="1"/>
  <c r="H18" i="1"/>
  <c r="H19" i="1" l="1"/>
  <c r="S24" i="3" s="1" a="1"/>
  <c r="S24" i="3" s="1"/>
  <c r="Q24" i="3" a="1"/>
  <c r="Q2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<sst xmlns="http://schemas.openxmlformats.org/spreadsheetml/2006/main" count="146" uniqueCount="81">
  <si>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</si>
  <si>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</si>
  <si>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</si>
  <si>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</si>
  <si>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</si>
  <si>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</si>
  <si>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</si>
  <si>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</si>
  <si>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</si>
  <si>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</si>
  <si>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</si>
  <si>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</si>
  <si>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</si>
  <si>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</si>
  <si>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</si>
  <si>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</si>
  <si>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</si>
  <si>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</si>
  <si>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</si>
  <si>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</si>
  <si>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</si>
  <si>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</si>
  <si>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</si>
  <si>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</si>
  <si>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</si>
  <si>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</si>
  <si>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</si>
  <si>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</si>
  <si>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</si>
  <si>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</si>
  <si>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</si>
  <si>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</si>
  <si>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</si>
  <si>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</si>
  <si>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</si>
  <si>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</si>
  <si>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</si>
  <si>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</si>
  <si>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</si>
  <si>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</si>
  <si>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</si>
  <si>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</si>
  <si>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</si>
  <si>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</si>
  <si>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</si>
  <si>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Total Medicaid Managed Care Enrollment</t>
  </si>
  <si>
    <t>State Spending (Millions)</t>
  </si>
  <si>
    <t>State Spending Annual Change (Millions)</t>
  </si>
  <si>
    <t>FY25</t>
  </si>
  <si>
    <t>FY26</t>
  </si>
  <si>
    <t>FY27</t>
  </si>
  <si>
    <t>FY28</t>
  </si>
  <si>
    <t>FY29</t>
  </si>
  <si>
    <t>Average Annual Growth Rates (as of FY24)</t>
  </si>
  <si>
    <t>Medicaid Managed Care Enrollment and Spending</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</si>
  <si>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</si>
  <si>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</si>
  <si>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</si>
  <si>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</si>
  <si>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</si>
  <si>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</si>
  <si>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Enrollee Months:</t>
    </r>
    <r>
      <rPr>
        <sz val="11"/>
        <color theme="1"/>
        <rFont val="Calibri"/>
        <family val="2"/>
        <scheme val="minor"/>
      </rPr>
      <t xml:space="preserve"> The total number of Medicaid enrollee months reported within the fiscal year.</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</si>
  <si>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</si>
  <si>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</si>
  <si>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</si>
  <si>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State Medicaid spending per enrollee for the fiscal year.</t>
    </r>
  </si>
  <si>
    <r>
      <rPr>
        <b/>
        <sz val="11"/>
        <color theme="1"/>
        <rFont val="Calibri"/>
        <family val="2"/>
        <scheme val="minor"/>
      </rPr>
      <t>State Spending (Millions):</t>
    </r>
    <r>
      <rPr>
        <sz val="11"/>
        <color theme="1"/>
        <rFont val="Calibri"/>
        <family val="2"/>
        <scheme val="minor"/>
      </rPr>
      <t xml:space="preserve"> The total Medicaid managed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</si>
  <si>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care, expressed in millions of dollars.</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</si>
  <si>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</si>
  <si>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</si>
  <si>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</si>
  <si>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r>
      <rPr>
        <b/>
        <sz val="11"/>
        <color theme="1"/>
        <rFont val="Calibri"/>
        <family val="2"/>
        <scheme val="minor"/>
      </rPr>
      <t>End of Period Enrollment:</t>
    </r>
    <r>
      <rPr>
        <sz val="11"/>
        <color theme="1"/>
        <rFont val="Calibri"/>
        <family val="2"/>
        <scheme val="minor"/>
      </rPr>
      <t xml:space="preserve"> The total number of Medicaid enrollees at the end of the reporting period. For completed fiscal years, this represents the enrollment total on the final day of the year. For partial fiscal years, it reflects the year-to-date (YTD) enrollment total as of the most recent reporting date.</t>
    </r>
  </si>
  <si>
    <t>Calculations</t>
  </si>
  <si>
    <t>Per Capita Spending State Spending</t>
  </si>
  <si>
    <r>
      <rPr>
        <b/>
        <sz val="11"/>
        <color theme="1"/>
        <rFont val="Calibri"/>
        <family val="2"/>
        <scheme val="minor"/>
      </rPr>
      <t>State Spending Annual Change %:</t>
    </r>
    <r>
      <rPr>
        <sz val="11"/>
        <color theme="1"/>
        <rFont val="Calibri"/>
        <family val="2"/>
        <scheme val="minor"/>
      </rPr>
      <t xml:space="preserve"> The percentage change in the State’s share of Medicaid spending compared to the prior fiscal year.</t>
    </r>
  </si>
  <si>
    <t>NA</t>
  </si>
  <si>
    <t>You can forecast projected enrollment and State spending by changing the two inputs below:</t>
  </si>
  <si>
    <t>FY27 (Forecast)</t>
  </si>
  <si>
    <t>FY28 (Forecast)</t>
  </si>
  <si>
    <t>FY29 (Forecast)</t>
  </si>
  <si>
    <t>Per Capita State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</si>
</sst>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1"/>
      <color theme="5" tint="0.59999389629810485"/>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2">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7">
    <xf numFmtId="0" fontId="0" fillId="0" borderId="0" xfId="0"/>
    <xf numFmtId="0" fontId="2"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13" fillId="0" borderId="0" xfId="0" applyFont="1"/>
    <xf numFmtId="8" fontId="13" fillId="0" borderId="0" xfId="0" applyNumberFormat="1" applyFon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0" fontId="2" fillId="0" borderId="0" xfId="0" applyFont="1" applyAlignment="1">
      <alignment horizontal="center" wrapText="1"/>
    </xf>
    <xf numFmtId="164" fontId="15" fillId="2" borderId="3" xfId="6" applyNumberFormat="1" applyFont="1" applyAlignment="1">
      <alignment horizontal="right" wrapText="1"/>
    </xf>
    <xf numFmtId="10" fontId="15"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4"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167" fontId="0" fillId="0" borderId="20" xfId="0" applyNumberForma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166" fontId="1" fillId="9" borderId="16" xfId="11" applyNumberFormat="1" applyBorder="1"/>
    <xf numFmtId="166" fontId="1" fillId="9" borderId="19" xfId="11" applyNumberFormat="1" applyBorder="1"/>
    <xf numFmtId="166" fontId="8" fillId="3" borderId="4" xfId="10" applyNumberFormat="1" applyFont="1" applyFill="1" applyBorder="1"/>
    <xf numFmtId="166" fontId="8" fillId="3" borderId="21" xfId="10" applyNumberFormat="1" applyFont="1" applyFill="1" applyBorder="1"/>
    <xf numFmtId="10" fontId="2" fillId="0" borderId="2" xfId="4" applyNumberFormat="1" applyFont="1"/>
    <xf numFmtId="0" fontId="10" fillId="5" borderId="0" xfId="9" applyFont="1" applyFill="1" applyAlignment="1">
      <alignment horizontal="center" vertical="center"/>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6" fillId="0" borderId="12" xfId="3" applyFont="1" applyBorder="1"/>
    <xf numFmtId="0" fontId="16" fillId="0" borderId="1" xfId="3" applyFont="1"/>
    <xf numFmtId="0" fontId="16" fillId="0" borderId="13" xfId="3" applyFont="1" applyBorder="1"/>
    <xf numFmtId="0" fontId="2" fillId="0" borderId="10" xfId="4" applyFont="1" applyBorder="1"/>
    <xf numFmtId="0" fontId="2" fillId="0" borderId="2" xfId="4" applyFont="1"/>
    <xf numFmtId="0" fontId="2" fillId="0" borderId="11" xfId="4" applyFont="1" applyBorder="1"/>
    <xf numFmtId="0" fontId="16" fillId="0" borderId="5" xfId="3" applyFont="1" applyBorder="1"/>
    <xf numFmtId="0" fontId="16" fillId="0" borderId="6" xfId="3" applyFont="1" applyBorder="1"/>
    <xf numFmtId="0" fontId="16" fillId="0" borderId="7" xfId="3" applyFont="1" applyBorder="1"/>
    <xf numFmtId="0" fontId="2" fillId="0" borderId="8" xfId="5" applyFont="1" applyBorder="1"/>
    <xf numFmtId="0" fontId="2" fillId="0" borderId="0" xfId="5" applyFont="1" applyBorder="1"/>
    <xf numFmtId="0" fontId="2" fillId="0" borderId="9" xfId="5" applyFont="1" applyBorder="1"/>
    <xf numFmtId="10" fontId="15" fillId="2" borderId="3" xfId="6" applyNumberFormat="1" applyFont="1" applyProtection="1">
      <protection locked="0"/>
    </xf>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B9CDE5"/>
      <color rgb="FFE4DFEC"/>
      <color rgb="FFF2DCDB"/>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rgbClr val="B9CDE5">
                <a:alpha val="80000"/>
              </a:srgb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rgbClr val="B9CDE5">
                  <a:alpha val="80000"/>
                </a:srgb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c:formatCode>
                <c:ptCount val="18"/>
                <c:pt idx="0">
                  <c:v>3015323</c:v>
                </c:pt>
                <c:pt idx="1">
                  <c:v>3318288</c:v>
                </c:pt>
                <c:pt idx="2">
                  <c:v>3590578</c:v>
                </c:pt>
                <c:pt idx="3">
                  <c:v>4304518</c:v>
                </c:pt>
                <c:pt idx="4">
                  <c:v>4710937</c:v>
                </c:pt>
                <c:pt idx="5">
                  <c:v>4604365</c:v>
                </c:pt>
                <c:pt idx="6">
                  <c:v>4648504</c:v>
                </c:pt>
                <c:pt idx="7">
                  <c:v>4684568</c:v>
                </c:pt>
                <c:pt idx="8">
                  <c:v>4609840</c:v>
                </c:pt>
                <c:pt idx="9">
                  <c:v>5119372</c:v>
                </c:pt>
                <c:pt idx="10">
                  <c:v>5613774</c:v>
                </c:pt>
                <c:pt idx="11">
                  <c:v>5874157</c:v>
                </c:pt>
                <c:pt idx="12">
                  <c:v>5758381</c:v>
                </c:pt>
                <c:pt idx="13" formatCode="General">
                  <c:v>6009446.4116000002</c:v>
                </c:pt>
                <c:pt idx="14" formatCode="General">
                  <c:v>6271458.2751457607</c:v>
                </c:pt>
                <c:pt idx="15" formatCode="General">
                  <c:v>6544893.8559421161</c:v>
                </c:pt>
                <c:pt idx="16" formatCode="General">
                  <c:v>6830251.2280611927</c:v>
                </c:pt>
                <c:pt idx="17" formatCode="General">
                  <c:v>7128050.181604661</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projection_data!$H$1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projection_data!$H$2:$H$19</c:f>
              <c:numCache>
                <c:formatCode>"$"#,##0_);[Red]\("$"#,##0\)</c:formatCode>
                <c:ptCount val="18"/>
                <c:pt idx="0">
                  <c:v>4051469000</c:v>
                </c:pt>
                <c:pt idx="1">
                  <c:v>9797000000</c:v>
                </c:pt>
                <c:pt idx="2">
                  <c:v>11217000000</c:v>
                </c:pt>
                <c:pt idx="3">
                  <c:v>12667000000</c:v>
                </c:pt>
                <c:pt idx="4">
                  <c:v>12466000000</c:v>
                </c:pt>
                <c:pt idx="5">
                  <c:v>13762000000</c:v>
                </c:pt>
                <c:pt idx="6">
                  <c:v>15962000000</c:v>
                </c:pt>
                <c:pt idx="7">
                  <c:v>16130000000</c:v>
                </c:pt>
                <c:pt idx="8">
                  <c:v>17838000000</c:v>
                </c:pt>
                <c:pt idx="9">
                  <c:v>17686000000</c:v>
                </c:pt>
                <c:pt idx="10">
                  <c:v>19634000000</c:v>
                </c:pt>
                <c:pt idx="11">
                  <c:v>21104000000</c:v>
                </c:pt>
                <c:pt idx="12">
                  <c:v>22013000000</c:v>
                </c:pt>
                <c:pt idx="13" formatCode="&quot;$&quot;#,##0.00_);[Red]\(&quot;$&quot;#,##0.00\)">
                  <c:v>23525492358.703922</c:v>
                </c:pt>
                <c:pt idx="14" formatCode="&quot;$&quot;#,##0.00_);[Red]\(&quot;$&quot;#,##0.00\)">
                  <c:v>25140432717.356461</c:v>
                </c:pt>
                <c:pt idx="15" formatCode="&quot;$&quot;#,##0.00_);[Red]\(&quot;$&quot;#,##0.00\)">
                  <c:v>26866232917.845203</c:v>
                </c:pt>
                <c:pt idx="16" formatCode="&quot;$&quot;#,##0.00_);[Red]\(&quot;$&quot;#,##0.00\)">
                  <c:v>28710503089.216774</c:v>
                </c:pt>
                <c:pt idx="17" formatCode="&quot;$&quot;#,##0.00_);[Red]\(&quot;$&quot;#,##0.00\)">
                  <c:v>30681375768.480389</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i="0" u="none" strike="noStrike" kern="1200" baseline="0">
                    <a:solidFill>
                      <a:sysClr val="windowText" lastClr="000000"/>
                    </a:solidFill>
                  </a:rPr>
                  <a:t>Average Annual Enrollment</a:t>
                </a:r>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million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165100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298450</xdr:colOff>
      <xdr:row>6</xdr:row>
      <xdr:rowOff>22141</xdr:rowOff>
    </xdr:from>
    <xdr:to>
      <xdr:col>5</xdr:col>
      <xdr:colOff>546100</xdr:colOff>
      <xdr:row>6</xdr:row>
      <xdr:rowOff>108690</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5099050" y="1241341"/>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476635</xdr:colOff>
      <xdr:row>5</xdr:row>
      <xdr:rowOff>114583</xdr:rowOff>
    </xdr:from>
    <xdr:to>
      <xdr:col>7</xdr:col>
      <xdr:colOff>558800</xdr:colOff>
      <xdr:row>6</xdr:row>
      <xdr:rowOff>152400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5277235" y="1143283"/>
          <a:ext cx="1733165" cy="228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745311</xdr:colOff>
      <xdr:row>5</xdr:row>
      <xdr:rowOff>102338</xdr:rowOff>
    </xdr:from>
    <xdr:to>
      <xdr:col>9</xdr:col>
      <xdr:colOff>711200</xdr:colOff>
      <xdr:row>7</xdr:row>
      <xdr:rowOff>12700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7196911" y="1131038"/>
          <a:ext cx="1616889" cy="291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Spending</a:t>
          </a:r>
        </a:p>
      </xdr:txBody>
    </xdr:sp>
    <xdr:clientData/>
  </xdr:twoCellAnchor>
  <xdr:twoCellAnchor>
    <xdr:from>
      <xdr:col>7</xdr:col>
      <xdr:colOff>503052</xdr:colOff>
      <xdr:row>6</xdr:row>
      <xdr:rowOff>30140</xdr:rowOff>
    </xdr:from>
    <xdr:to>
      <xdr:col>7</xdr:col>
      <xdr:colOff>799935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9546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M43"/>
  <sheetViews>
    <sheetView showGridLines="0" tabSelected="1" zoomScaleNormal="100" workbookViewId="0">
      <selection activeCell="G29" sqref="G29"/>
    </sheetView>
  </sheetViews>
  <sheetFormatPr baseColWidth="10" defaultColWidth="8.83203125" defaultRowHeight="15" x14ac:dyDescent="0.2"/>
  <cols>
    <col min="1" max="1" width="17" customWidth="1"/>
    <col min="2" max="2" width="14.83203125" hidden="1" customWidth="1"/>
    <col min="3" max="13" width="19.1640625" customWidth="1"/>
  </cols>
  <sheetData>
    <row r="1" spans="1:13" ht="23" x14ac:dyDescent="0.25">
      <c r="A1" s="50" t="s">
        <v>54</v>
      </c>
      <c r="B1" s="50"/>
      <c r="C1" s="50"/>
      <c r="D1" s="50"/>
      <c r="E1" s="50"/>
      <c r="F1" s="50"/>
      <c r="G1" s="50"/>
      <c r="H1" s="50"/>
      <c r="I1" s="50"/>
      <c r="J1" s="50"/>
      <c r="K1" s="50"/>
      <c r="L1" s="50"/>
      <c r="M1" s="50"/>
    </row>
    <row r="2" spans="1:13" s="15" customFormat="1" ht="42" customHeight="1" x14ac:dyDescent="0.2">
      <c r="C2" s="46" t="s">
        <v>45</v>
      </c>
      <c r="D2" s="46"/>
      <c r="E2" s="46"/>
      <c r="F2" s="47" t="s">
        <v>21</v>
      </c>
      <c r="G2" s="47"/>
      <c r="H2" s="48" t="s">
        <v>6</v>
      </c>
      <c r="I2" s="48"/>
      <c r="J2" s="48"/>
      <c r="K2" s="49" t="s">
        <v>22</v>
      </c>
      <c r="L2" s="49"/>
      <c r="M2" s="49"/>
    </row>
    <row r="3" spans="1:13" s="26" customFormat="1" ht="45" customHeight="1" x14ac:dyDescent="0.2">
      <c r="A3" s="27" t="s">
        <v>23</v>
      </c>
      <c r="B3" s="27" t="s">
        <v>1</v>
      </c>
      <c r="C3" s="27" t="s">
        <v>2</v>
      </c>
      <c r="D3" s="27" t="s">
        <v>24</v>
      </c>
      <c r="E3" s="27" t="s">
        <v>70</v>
      </c>
      <c r="F3" s="27" t="s">
        <v>4</v>
      </c>
      <c r="G3" s="27" t="s">
        <v>25</v>
      </c>
      <c r="H3" s="27" t="s">
        <v>46</v>
      </c>
      <c r="I3" s="27" t="s">
        <v>47</v>
      </c>
      <c r="J3" s="27" t="s">
        <v>8</v>
      </c>
      <c r="K3" s="27" t="s">
        <v>9</v>
      </c>
      <c r="L3" s="27" t="s">
        <v>10</v>
      </c>
      <c r="M3" s="27" t="s">
        <v>26</v>
      </c>
    </row>
    <row r="4" spans="1:13" s="26" customFormat="1" ht="15" customHeight="1" x14ac:dyDescent="0.2">
      <c r="A4" s="28" t="s">
        <v>79</v>
      </c>
      <c r="B4" s="27"/>
      <c r="C4" s="30">
        <f t="shared" ref="C4:C7" si="0">D4*12</f>
        <v>85536602.179255933</v>
      </c>
      <c r="D4" s="30">
        <f>(1+$G$27)*D5</f>
        <v>7128050.181604661</v>
      </c>
      <c r="E4" s="34" t="s">
        <v>75</v>
      </c>
      <c r="F4" s="30">
        <f>C4-C5</f>
        <v>3573587.4425216168</v>
      </c>
      <c r="G4" s="32">
        <f>F4/C5</f>
        <v>4.3600000000000007E-2</v>
      </c>
      <c r="H4" s="36">
        <f>K4*D4</f>
        <v>30681375768.480389</v>
      </c>
      <c r="I4" s="36">
        <f>H4-H5</f>
        <v>1970872679.2636147</v>
      </c>
      <c r="J4" s="33">
        <f>I4/H5</f>
        <v>6.8646400000000149E-2</v>
      </c>
      <c r="K4" s="31">
        <f>(1+M4)*K5</f>
        <v>4304.3153438593527</v>
      </c>
      <c r="L4" s="31">
        <f>K4-K5</f>
        <v>100.88239087170405</v>
      </c>
      <c r="M4" s="32">
        <f>$G$29</f>
        <v>2.4E-2</v>
      </c>
    </row>
    <row r="5" spans="1:13" s="26" customFormat="1" ht="15" customHeight="1" x14ac:dyDescent="0.2">
      <c r="A5" s="28" t="s">
        <v>78</v>
      </c>
      <c r="B5" s="27"/>
      <c r="C5" s="30">
        <f t="shared" si="0"/>
        <v>81963014.736734316</v>
      </c>
      <c r="D5" s="30">
        <f>(1+$G$27)*D6</f>
        <v>6830251.2280611927</v>
      </c>
      <c r="E5" s="34" t="s">
        <v>75</v>
      </c>
      <c r="F5" s="30">
        <f>C5-C6</f>
        <v>3424288.4654289186</v>
      </c>
      <c r="G5" s="32">
        <f>F5/C6</f>
        <v>4.3600000000000042E-2</v>
      </c>
      <c r="H5" s="36">
        <f>K5*D5</f>
        <v>28710503089.216774</v>
      </c>
      <c r="I5" s="36">
        <f>H5-H6</f>
        <v>1844270171.3715706</v>
      </c>
      <c r="J5" s="33">
        <f>I5/H6</f>
        <v>6.8646400000000066E-2</v>
      </c>
      <c r="K5" s="31">
        <f>(1+M5)*K6</f>
        <v>4203.4329529876486</v>
      </c>
      <c r="L5" s="31">
        <f>K5-K6</f>
        <v>98.517959835648071</v>
      </c>
      <c r="M5" s="32">
        <f>$G$29</f>
        <v>2.4E-2</v>
      </c>
    </row>
    <row r="6" spans="1:13" s="26" customFormat="1" ht="15" customHeight="1" x14ac:dyDescent="0.2">
      <c r="A6" s="28" t="s">
        <v>77</v>
      </c>
      <c r="B6" s="27"/>
      <c r="C6" s="30">
        <f t="shared" si="0"/>
        <v>78538726.271305397</v>
      </c>
      <c r="D6" s="30">
        <f>(1+$G$27)*D7</f>
        <v>6544893.8559421161</v>
      </c>
      <c r="E6" s="34" t="s">
        <v>75</v>
      </c>
      <c r="F6" s="30">
        <f>C6-C7</f>
        <v>3281226.969556272</v>
      </c>
      <c r="G6" s="32">
        <f>F6/C7</f>
        <v>4.3600000000000139E-2</v>
      </c>
      <c r="H6" s="36">
        <f>K6*D6</f>
        <v>26866232917.845203</v>
      </c>
      <c r="I6" s="36">
        <f>H6-H7</f>
        <v>1725800200.4887428</v>
      </c>
      <c r="J6" s="33">
        <f>I6/H7</f>
        <v>6.8646400000000177E-2</v>
      </c>
      <c r="K6" s="31">
        <f>(1+M6)*K7</f>
        <v>4104.9149931520005</v>
      </c>
      <c r="L6" s="31">
        <f>K6-K7</f>
        <v>96.208945152000524</v>
      </c>
      <c r="M6" s="32">
        <f>$G$29</f>
        <v>2.4E-2</v>
      </c>
    </row>
    <row r="7" spans="1:13" x14ac:dyDescent="0.2">
      <c r="A7" s="28" t="s">
        <v>27</v>
      </c>
      <c r="B7" s="29"/>
      <c r="C7" s="30">
        <f t="shared" si="0"/>
        <v>75257499.301749125</v>
      </c>
      <c r="D7" s="30">
        <f>(1+$G$27)*D8</f>
        <v>6271458.2751457607</v>
      </c>
      <c r="E7" s="34" t="s">
        <v>75</v>
      </c>
      <c r="F7" s="30">
        <f>C7-C8</f>
        <v>3144142.3625491261</v>
      </c>
      <c r="G7" s="32">
        <f>F7/C8</f>
        <v>4.3600000000000083E-2</v>
      </c>
      <c r="H7" s="36">
        <f>K7*D7</f>
        <v>25140432717.356461</v>
      </c>
      <c r="I7" s="36">
        <f>H7-H8</f>
        <v>1614940358.6525383</v>
      </c>
      <c r="J7" s="33">
        <f>I7/H8</f>
        <v>6.8646400000000232E-2</v>
      </c>
      <c r="K7" s="31">
        <f>(1+M7)*K8</f>
        <v>4008.706048</v>
      </c>
      <c r="L7" s="31">
        <f>K7-K8</f>
        <v>93.954048000000057</v>
      </c>
      <c r="M7" s="32">
        <f>$G$29</f>
        <v>2.4E-2</v>
      </c>
    </row>
    <row r="8" spans="1:13" x14ac:dyDescent="0.2">
      <c r="A8" s="28" t="s">
        <v>28</v>
      </c>
      <c r="B8" s="29"/>
      <c r="C8" s="30">
        <f>D8*12</f>
        <v>72113356.939199999</v>
      </c>
      <c r="D8" s="30">
        <f>(1+$G$27)*D10</f>
        <v>6009446.4116000002</v>
      </c>
      <c r="E8" s="34" t="s">
        <v>75</v>
      </c>
      <c r="F8" s="30">
        <f>C8-C10</f>
        <v>3012786.939199999</v>
      </c>
      <c r="G8" s="33">
        <f>F8/C10</f>
        <v>4.36000302052501E-2</v>
      </c>
      <c r="H8" s="36">
        <f>K8*D8</f>
        <v>23525492358.703922</v>
      </c>
      <c r="I8" s="36">
        <f>H8-H10</f>
        <v>1512492358.7039223</v>
      </c>
      <c r="J8" s="33">
        <f>I8/H10</f>
        <v>6.870905186498534E-2</v>
      </c>
      <c r="K8" s="31">
        <f>(1+M8)*K10</f>
        <v>3914.752</v>
      </c>
      <c r="L8" s="31">
        <f>K8-K10</f>
        <v>91.751999999999953</v>
      </c>
      <c r="M8" s="32">
        <f>$G$29</f>
        <v>2.4E-2</v>
      </c>
    </row>
    <row r="9" spans="1:13" x14ac:dyDescent="0.2">
      <c r="A9" s="28" t="s">
        <v>29</v>
      </c>
      <c r="B9" s="29">
        <v>3</v>
      </c>
      <c r="C9" s="30">
        <v>15521401</v>
      </c>
      <c r="D9" s="30">
        <v>5173800</v>
      </c>
      <c r="E9" s="30">
        <v>5098780</v>
      </c>
      <c r="F9" s="34" t="s">
        <v>75</v>
      </c>
      <c r="G9" s="34" t="s">
        <v>75</v>
      </c>
      <c r="H9" s="34" t="s">
        <v>75</v>
      </c>
      <c r="I9" s="34" t="s">
        <v>75</v>
      </c>
      <c r="J9" s="34" t="s">
        <v>75</v>
      </c>
      <c r="K9" s="34" t="s">
        <v>75</v>
      </c>
      <c r="L9" s="34" t="s">
        <v>75</v>
      </c>
      <c r="M9" s="34" t="s">
        <v>75</v>
      </c>
    </row>
    <row r="10" spans="1:13" x14ac:dyDescent="0.2">
      <c r="A10" s="29" t="s">
        <v>30</v>
      </c>
      <c r="B10" s="29">
        <v>12</v>
      </c>
      <c r="C10" s="30">
        <v>69100570</v>
      </c>
      <c r="D10" s="30">
        <v>5758381</v>
      </c>
      <c r="E10" s="30">
        <v>5539840</v>
      </c>
      <c r="F10" s="30">
        <v>-1389319</v>
      </c>
      <c r="G10" s="33">
        <v>-0.02</v>
      </c>
      <c r="H10" s="36">
        <v>22013000000</v>
      </c>
      <c r="I10" s="36">
        <v>909000000</v>
      </c>
      <c r="J10" s="33">
        <v>4.2999999999999997E-2</v>
      </c>
      <c r="K10" s="31">
        <v>3823</v>
      </c>
      <c r="L10" s="31">
        <v>230</v>
      </c>
      <c r="M10" s="33">
        <v>6.4000000000000001E-2</v>
      </c>
    </row>
    <row r="11" spans="1:13" x14ac:dyDescent="0.2">
      <c r="A11" s="29" t="s">
        <v>31</v>
      </c>
      <c r="B11" s="29">
        <v>12</v>
      </c>
      <c r="C11" s="30">
        <v>70489889</v>
      </c>
      <c r="D11" s="30">
        <v>5874157</v>
      </c>
      <c r="E11" s="30">
        <v>5933677</v>
      </c>
      <c r="F11" s="30">
        <v>3124597</v>
      </c>
      <c r="G11" s="33">
        <v>4.5999999999999999E-2</v>
      </c>
      <c r="H11" s="36">
        <v>21104000000</v>
      </c>
      <c r="I11" s="36">
        <v>1470000000</v>
      </c>
      <c r="J11" s="33">
        <v>7.4999999999999997E-2</v>
      </c>
      <c r="K11" s="31">
        <v>3593</v>
      </c>
      <c r="L11" s="31">
        <v>95</v>
      </c>
      <c r="M11" s="33">
        <v>2.7E-2</v>
      </c>
    </row>
    <row r="12" spans="1:13" x14ac:dyDescent="0.2">
      <c r="A12" s="29" t="s">
        <v>32</v>
      </c>
      <c r="B12" s="29">
        <v>12</v>
      </c>
      <c r="C12" s="30">
        <v>67365292</v>
      </c>
      <c r="D12" s="30">
        <v>5613774</v>
      </c>
      <c r="E12" s="30">
        <v>5670377</v>
      </c>
      <c r="F12" s="30">
        <v>5932824</v>
      </c>
      <c r="G12" s="33">
        <v>9.7000000000000003E-2</v>
      </c>
      <c r="H12" s="36">
        <v>19634000000</v>
      </c>
      <c r="I12" s="36">
        <v>1948000000</v>
      </c>
      <c r="J12" s="33">
        <v>0.11</v>
      </c>
      <c r="K12" s="31">
        <v>3497</v>
      </c>
      <c r="L12" s="31">
        <v>43</v>
      </c>
      <c r="M12" s="33">
        <v>1.2E-2</v>
      </c>
    </row>
    <row r="13" spans="1:13" x14ac:dyDescent="0.2">
      <c r="A13" s="29" t="s">
        <v>33</v>
      </c>
      <c r="B13" s="29">
        <v>12</v>
      </c>
      <c r="C13" s="30">
        <v>61432468</v>
      </c>
      <c r="D13" s="30">
        <v>5119372</v>
      </c>
      <c r="E13" s="30">
        <v>5326382</v>
      </c>
      <c r="F13" s="30">
        <v>6114386</v>
      </c>
      <c r="G13" s="33">
        <v>0.111</v>
      </c>
      <c r="H13" s="36">
        <v>17686000000</v>
      </c>
      <c r="I13" s="36">
        <v>-152000000</v>
      </c>
      <c r="J13" s="33">
        <v>-8.9999999999999993E-3</v>
      </c>
      <c r="K13" s="31">
        <v>3455</v>
      </c>
      <c r="L13" s="31">
        <v>-415</v>
      </c>
      <c r="M13" s="33">
        <v>-0.107</v>
      </c>
    </row>
    <row r="14" spans="1:13" x14ac:dyDescent="0.2">
      <c r="A14" s="29" t="s">
        <v>34</v>
      </c>
      <c r="B14" s="29">
        <v>12</v>
      </c>
      <c r="C14" s="30">
        <v>55318082</v>
      </c>
      <c r="D14" s="30">
        <v>4609840</v>
      </c>
      <c r="E14" s="30">
        <v>4574913</v>
      </c>
      <c r="F14" s="30">
        <v>-896739</v>
      </c>
      <c r="G14" s="33">
        <v>-1.6E-2</v>
      </c>
      <c r="H14" s="36">
        <v>17838000000</v>
      </c>
      <c r="I14" s="36">
        <v>1708000000</v>
      </c>
      <c r="J14" s="33">
        <v>0.106</v>
      </c>
      <c r="K14" s="31">
        <v>3870</v>
      </c>
      <c r="L14" s="31">
        <v>426</v>
      </c>
      <c r="M14" s="33">
        <v>0.124</v>
      </c>
    </row>
    <row r="15" spans="1:13" x14ac:dyDescent="0.2">
      <c r="A15" s="29" t="s">
        <v>35</v>
      </c>
      <c r="B15" s="29">
        <v>12</v>
      </c>
      <c r="C15" s="30">
        <v>56214821</v>
      </c>
      <c r="D15" s="30">
        <v>4684568</v>
      </c>
      <c r="E15" s="30">
        <v>4675634</v>
      </c>
      <c r="F15" s="30">
        <v>432775</v>
      </c>
      <c r="G15" s="33">
        <v>8.0000000000000002E-3</v>
      </c>
      <c r="H15" s="36">
        <v>16130000000</v>
      </c>
      <c r="I15" s="36">
        <v>168000000</v>
      </c>
      <c r="J15" s="33">
        <v>1.0999999999999999E-2</v>
      </c>
      <c r="K15" s="31">
        <v>3443</v>
      </c>
      <c r="L15" s="31">
        <v>9</v>
      </c>
      <c r="M15" s="33">
        <v>3.0000000000000001E-3</v>
      </c>
    </row>
    <row r="16" spans="1:13" x14ac:dyDescent="0.2">
      <c r="A16" s="29" t="s">
        <v>36</v>
      </c>
      <c r="B16" s="29">
        <v>12</v>
      </c>
      <c r="C16" s="30">
        <v>55782046</v>
      </c>
      <c r="D16" s="30">
        <v>4648504</v>
      </c>
      <c r="E16" s="30">
        <v>4661817</v>
      </c>
      <c r="F16" s="30">
        <v>529664</v>
      </c>
      <c r="G16" s="33">
        <v>0.01</v>
      </c>
      <c r="H16" s="36">
        <v>15962000000</v>
      </c>
      <c r="I16" s="36">
        <v>2200000000</v>
      </c>
      <c r="J16" s="33">
        <v>0.16</v>
      </c>
      <c r="K16" s="31">
        <v>3434</v>
      </c>
      <c r="L16" s="31">
        <v>445</v>
      </c>
      <c r="M16" s="33">
        <v>0.14899999999999999</v>
      </c>
    </row>
    <row r="17" spans="1:13" x14ac:dyDescent="0.2">
      <c r="A17" s="29" t="s">
        <v>37</v>
      </c>
      <c r="B17" s="29">
        <v>12</v>
      </c>
      <c r="C17" s="30">
        <v>55252382</v>
      </c>
      <c r="D17" s="30">
        <v>4604365</v>
      </c>
      <c r="E17" s="30">
        <v>4590502</v>
      </c>
      <c r="F17" s="30">
        <v>-1278863</v>
      </c>
      <c r="G17" s="33">
        <v>-2.3E-2</v>
      </c>
      <c r="H17" s="36">
        <v>13762000000</v>
      </c>
      <c r="I17" s="36">
        <v>1296000000</v>
      </c>
      <c r="J17" s="33">
        <v>0.104</v>
      </c>
      <c r="K17" s="31">
        <v>2989</v>
      </c>
      <c r="L17" s="31">
        <v>343</v>
      </c>
      <c r="M17" s="33">
        <v>0.13</v>
      </c>
    </row>
    <row r="18" spans="1:13" x14ac:dyDescent="0.2">
      <c r="A18" s="29" t="s">
        <v>38</v>
      </c>
      <c r="B18" s="29">
        <v>12</v>
      </c>
      <c r="C18" s="30">
        <v>56531245</v>
      </c>
      <c r="D18" s="30">
        <v>4710937</v>
      </c>
      <c r="E18" s="30">
        <v>4795444</v>
      </c>
      <c r="F18" s="30">
        <v>4877033</v>
      </c>
      <c r="G18" s="33">
        <v>9.4E-2</v>
      </c>
      <c r="H18" s="36">
        <v>12466000000</v>
      </c>
      <c r="I18" s="36">
        <v>-201000000</v>
      </c>
      <c r="J18" s="33">
        <v>-1.6E-2</v>
      </c>
      <c r="K18" s="31">
        <v>2646</v>
      </c>
      <c r="L18" s="31">
        <v>-297</v>
      </c>
      <c r="M18" s="33">
        <v>-0.10100000000000001</v>
      </c>
    </row>
    <row r="19" spans="1:13" x14ac:dyDescent="0.2">
      <c r="A19" s="29" t="s">
        <v>39</v>
      </c>
      <c r="B19" s="29">
        <v>12</v>
      </c>
      <c r="C19" s="30">
        <v>51654212</v>
      </c>
      <c r="D19" s="30">
        <v>4304518</v>
      </c>
      <c r="E19" s="30">
        <v>4495511</v>
      </c>
      <c r="F19" s="30">
        <v>8567280</v>
      </c>
      <c r="G19" s="33">
        <v>0.19900000000000001</v>
      </c>
      <c r="H19" s="36">
        <v>12667000000</v>
      </c>
      <c r="I19" s="36">
        <v>1450000000</v>
      </c>
      <c r="J19" s="33">
        <v>0.129</v>
      </c>
      <c r="K19" s="31">
        <v>2943</v>
      </c>
      <c r="L19" s="31">
        <v>-181</v>
      </c>
      <c r="M19" s="33">
        <v>-5.8000000000000003E-2</v>
      </c>
    </row>
    <row r="20" spans="1:13" x14ac:dyDescent="0.2">
      <c r="A20" s="29" t="s">
        <v>40</v>
      </c>
      <c r="B20" s="29">
        <v>12</v>
      </c>
      <c r="C20" s="30">
        <v>43086932</v>
      </c>
      <c r="D20" s="30">
        <v>3590578</v>
      </c>
      <c r="E20" s="30">
        <v>3585436</v>
      </c>
      <c r="F20" s="30">
        <v>3267480</v>
      </c>
      <c r="G20" s="33">
        <v>8.2000000000000003E-2</v>
      </c>
      <c r="H20" s="36">
        <v>11217000000</v>
      </c>
      <c r="I20" s="36">
        <v>1420000000</v>
      </c>
      <c r="J20" s="33">
        <v>0.14499999999999999</v>
      </c>
      <c r="K20" s="31">
        <v>3124</v>
      </c>
      <c r="L20" s="31">
        <v>172</v>
      </c>
      <c r="M20" s="33">
        <v>5.8000000000000003E-2</v>
      </c>
    </row>
    <row r="21" spans="1:13" x14ac:dyDescent="0.2">
      <c r="A21" s="29" t="s">
        <v>41</v>
      </c>
      <c r="B21" s="29">
        <v>12</v>
      </c>
      <c r="C21" s="30">
        <v>39819452</v>
      </c>
      <c r="D21" s="30">
        <v>3318288</v>
      </c>
      <c r="E21" s="30">
        <v>3400026</v>
      </c>
      <c r="F21" s="30">
        <v>3635580</v>
      </c>
      <c r="G21" s="33">
        <v>0.1</v>
      </c>
      <c r="H21" s="36">
        <v>9797000000</v>
      </c>
      <c r="I21" s="36">
        <v>5745531000</v>
      </c>
      <c r="J21" s="33">
        <v>1.4179999999999999</v>
      </c>
      <c r="K21" s="31">
        <v>2952</v>
      </c>
      <c r="L21" s="31">
        <v>1609</v>
      </c>
      <c r="M21" s="33">
        <v>1.1970000000000001</v>
      </c>
    </row>
    <row r="22" spans="1:13" x14ac:dyDescent="0.2">
      <c r="A22" s="29" t="s">
        <v>42</v>
      </c>
      <c r="B22" s="29">
        <v>12</v>
      </c>
      <c r="C22" s="30">
        <v>36183872</v>
      </c>
      <c r="D22" s="30">
        <v>3015323</v>
      </c>
      <c r="E22" s="30">
        <v>3045533</v>
      </c>
      <c r="F22" s="34" t="s">
        <v>75</v>
      </c>
      <c r="G22" s="34" t="s">
        <v>75</v>
      </c>
      <c r="H22" s="36">
        <v>4051469000</v>
      </c>
      <c r="I22" s="34" t="s">
        <v>75</v>
      </c>
      <c r="J22" s="34" t="s">
        <v>75</v>
      </c>
      <c r="K22" s="31">
        <v>1344</v>
      </c>
      <c r="L22" s="34" t="s">
        <v>75</v>
      </c>
      <c r="M22" s="34" t="s">
        <v>75</v>
      </c>
    </row>
    <row r="24" spans="1:13" ht="16" thickBot="1" x14ac:dyDescent="0.25">
      <c r="A24" s="35" t="s">
        <v>56</v>
      </c>
      <c r="G24" s="35" t="s">
        <v>58</v>
      </c>
    </row>
    <row r="25" spans="1:13" ht="16" x14ac:dyDescent="0.2">
      <c r="A25" t="s">
        <v>57</v>
      </c>
      <c r="G25" s="7" t="s">
        <v>76</v>
      </c>
    </row>
    <row r="26" spans="1:13" x14ac:dyDescent="0.2">
      <c r="A26" t="str">
        <f>_xlfn.CONCAT("(2) Full-year Enrollment 2025 Estimate Represents YTD annualized. Months in YTD = ",B9,".")</f>
        <v>(2) Full-year Enrollment 2025 Estimate Represents YTD annualized. Months in YTD = 3.</v>
      </c>
      <c r="G26" t="s">
        <v>43</v>
      </c>
    </row>
    <row r="27" spans="1:13" ht="16" x14ac:dyDescent="0.2">
      <c r="A27" t="str">
        <f>_xlfn.CONCAT("(3) FY25 full-year spending estimate is based an assumption of per capita spending growth = ",ROUND(G29*100,2),"%")</f>
        <v>(3) FY25 full-year spending estimate is based an assumption of per capita spending growth = 2.4%</v>
      </c>
      <c r="G27" s="17">
        <v>4.36E-2</v>
      </c>
    </row>
    <row r="28" spans="1:13" x14ac:dyDescent="0.2">
      <c r="G28" t="s">
        <v>44</v>
      </c>
    </row>
    <row r="29" spans="1:13" ht="16" x14ac:dyDescent="0.2">
      <c r="G29" s="17">
        <v>2.4E-2</v>
      </c>
    </row>
    <row r="31" spans="1:13" ht="16" thickBot="1" x14ac:dyDescent="0.25">
      <c r="A31" s="35" t="s">
        <v>59</v>
      </c>
    </row>
    <row r="32" spans="1:13" x14ac:dyDescent="0.2">
      <c r="A32" t="s">
        <v>60</v>
      </c>
    </row>
    <row r="33" spans="1:3" ht="16" x14ac:dyDescent="0.2">
      <c r="A33" t="s">
        <v>61</v>
      </c>
      <c r="C33" s="7"/>
    </row>
    <row r="34" spans="1:3" x14ac:dyDescent="0.2">
      <c r="A34" t="s">
        <v>62</v>
      </c>
    </row>
    <row r="35" spans="1:3" x14ac:dyDescent="0.2">
      <c r="A35" t="s">
        <v>71</v>
      </c>
    </row>
    <row r="36" spans="1:3" x14ac:dyDescent="0.2">
      <c r="A36" t="s">
        <v>63</v>
      </c>
    </row>
    <row r="37" spans="1:3" x14ac:dyDescent="0.2">
      <c r="A37" t="s">
        <v>64</v>
      </c>
    </row>
    <row r="38" spans="1:3" x14ac:dyDescent="0.2">
      <c r="A38" t="s">
        <v>66</v>
      </c>
    </row>
    <row r="39" spans="1:3" x14ac:dyDescent="0.2">
      <c r="A39" t="s">
        <v>67</v>
      </c>
    </row>
    <row r="40" spans="1:3" x14ac:dyDescent="0.2">
      <c r="A40" t="s">
        <v>74</v>
      </c>
    </row>
    <row r="41" spans="1:3" x14ac:dyDescent="0.2">
      <c r="A41" t="s">
        <v>65</v>
      </c>
    </row>
    <row r="42" spans="1:3" x14ac:dyDescent="0.2">
      <c r="A42" t="s">
        <v>68</v>
      </c>
    </row>
    <row r="43" spans="1:3" x14ac:dyDescent="0.2">
      <c r="A43" t="s">
        <v>69</v>
      </c>
    </row>
  </sheetData>
  <sortState xmlns:xlrd2="http://schemas.microsoft.com/office/spreadsheetml/2017/richdata2" ref="A7:M22">
    <sortCondition descending="1" ref="A9:A22"/>
  </sortState>
  <mergeCells count="5">
    <mergeCell ref="C2:E2"/>
    <mergeCell ref="F2:G2"/>
    <mergeCell ref="H2:J2"/>
    <mergeCell ref="K2:M2"/>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20" sqref="P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0" customWidth="1"/>
    <col min="17" max="17" width="13" customWidth="1"/>
    <col min="18" max="18" width="11.5" customWidth="1"/>
    <col min="19" max="19" width="17.5" customWidth="1"/>
    <col min="20" max="20" width="10.5" customWidth="1"/>
    <col min="21" max="21" width="0" hidden="1" customWidth="1"/>
    <col min="22" max="16384" width="10.83203125" hidden="1"/>
  </cols>
  <sheetData>
    <row r="1" spans="16:19" ht="16" thickBot="1" x14ac:dyDescent="0.25"/>
    <row r="2" spans="16:19" ht="18" thickBot="1" x14ac:dyDescent="0.25">
      <c r="P2" s="60" t="s">
        <v>13</v>
      </c>
      <c r="Q2" s="61"/>
      <c r="R2" s="61"/>
      <c r="S2" s="62"/>
    </row>
    <row r="3" spans="16:19" ht="16" thickTop="1" x14ac:dyDescent="0.2">
      <c r="P3" s="63" t="s">
        <v>53</v>
      </c>
      <c r="Q3" s="64"/>
      <c r="R3" s="64"/>
      <c r="S3" s="65"/>
    </row>
    <row r="4" spans="16:19" x14ac:dyDescent="0.2">
      <c r="P4" s="19"/>
      <c r="Q4" s="20"/>
      <c r="R4" s="20"/>
      <c r="S4" s="21"/>
    </row>
    <row r="5" spans="16:19" ht="16" thickBot="1" x14ac:dyDescent="0.25">
      <c r="P5" s="57" t="s">
        <v>24</v>
      </c>
      <c r="Q5" s="58"/>
      <c r="R5" s="58"/>
      <c r="S5" s="59"/>
    </row>
    <row r="6" spans="16:19" x14ac:dyDescent="0.2">
      <c r="P6" s="10" t="s">
        <v>14</v>
      </c>
      <c r="Q6" s="23">
        <f>AVERAGE(projection_data!L14)</f>
        <v>-1.9709381278028491E-2</v>
      </c>
      <c r="R6" s="23"/>
      <c r="S6" s="21"/>
    </row>
    <row r="7" spans="16:19" x14ac:dyDescent="0.2">
      <c r="P7" s="10" t="s">
        <v>15</v>
      </c>
      <c r="Q7" s="23">
        <f>AVERAGE(projection_data!L12:L14)</f>
        <v>4.108274460357126E-2</v>
      </c>
      <c r="R7" s="23"/>
      <c r="S7" s="21"/>
    </row>
    <row r="8" spans="16:19" x14ac:dyDescent="0.2">
      <c r="P8" s="10" t="s">
        <v>16</v>
      </c>
      <c r="Q8" s="23">
        <f>AVERAGE(projection_data!L10:L14)</f>
        <v>4.3565533535098629E-2</v>
      </c>
      <c r="R8" s="23"/>
      <c r="S8" s="21"/>
    </row>
    <row r="9" spans="16:19" x14ac:dyDescent="0.2">
      <c r="P9" s="19"/>
      <c r="Q9" s="20"/>
      <c r="R9" s="20"/>
      <c r="S9" s="21"/>
    </row>
    <row r="10" spans="16:19" ht="16" thickBot="1" x14ac:dyDescent="0.25">
      <c r="P10" s="57" t="s">
        <v>73</v>
      </c>
      <c r="Q10" s="58"/>
      <c r="R10" s="58"/>
      <c r="S10" s="59"/>
    </row>
    <row r="11" spans="16:19" x14ac:dyDescent="0.2">
      <c r="P11" s="10" t="s">
        <v>14</v>
      </c>
      <c r="Q11" s="24">
        <f>AVERAGE(projection_data!O14)</f>
        <v>6.4000000000000001E-2</v>
      </c>
      <c r="R11" s="24"/>
      <c r="S11" s="21"/>
    </row>
    <row r="12" spans="16:19" x14ac:dyDescent="0.2">
      <c r="P12" s="10" t="s">
        <v>15</v>
      </c>
      <c r="Q12" s="24">
        <f>AVERAGE(projection_data!O12:O14)</f>
        <v>3.4333333333333334E-2</v>
      </c>
      <c r="R12" s="24"/>
      <c r="S12" s="21"/>
    </row>
    <row r="13" spans="16:19" x14ac:dyDescent="0.2">
      <c r="P13" s="10" t="s">
        <v>16</v>
      </c>
      <c r="Q13" s="24">
        <f>AVERAGE(projection_data!O10:O14)</f>
        <v>2.4E-2</v>
      </c>
      <c r="R13" s="24"/>
      <c r="S13" s="21"/>
    </row>
    <row r="14" spans="16:19" x14ac:dyDescent="0.2">
      <c r="P14" s="19"/>
      <c r="Q14" s="20"/>
      <c r="R14" s="20"/>
      <c r="S14" s="21"/>
    </row>
    <row r="15" spans="16:19" ht="18" thickBot="1" x14ac:dyDescent="0.25">
      <c r="P15" s="54" t="s">
        <v>12</v>
      </c>
      <c r="Q15" s="55"/>
      <c r="R15" s="55"/>
      <c r="S15" s="56"/>
    </row>
    <row r="16" spans="16:19" ht="15" customHeight="1" thickTop="1" x14ac:dyDescent="0.2">
      <c r="P16" s="37" t="s">
        <v>17</v>
      </c>
      <c r="Q16" s="20"/>
      <c r="R16" s="20"/>
      <c r="S16" s="21"/>
    </row>
    <row r="17" spans="16:19" ht="15" customHeight="1" x14ac:dyDescent="0.2">
      <c r="P17" s="51" t="s">
        <v>76</v>
      </c>
      <c r="Q17" s="52"/>
      <c r="R17" s="52"/>
      <c r="S17" s="53"/>
    </row>
    <row r="18" spans="16:19" ht="15" customHeight="1" x14ac:dyDescent="0.2">
      <c r="P18" s="51"/>
      <c r="Q18" s="52"/>
      <c r="R18" s="52"/>
      <c r="S18" s="53"/>
    </row>
    <row r="19" spans="16:19" ht="15" customHeight="1" thickBot="1" x14ac:dyDescent="0.25">
      <c r="P19" s="22" t="s">
        <v>24</v>
      </c>
      <c r="R19" s="45" t="s">
        <v>80</v>
      </c>
      <c r="S19" s="9"/>
    </row>
    <row r="20" spans="16:19" ht="15" customHeight="1" x14ac:dyDescent="0.2">
      <c r="P20" s="18">
        <v>4.36E-2</v>
      </c>
      <c r="Q20" s="7"/>
      <c r="R20" s="66">
        <v>2.4E-2</v>
      </c>
      <c r="S20" s="9"/>
    </row>
    <row r="21" spans="16:19" ht="15" customHeight="1" x14ac:dyDescent="0.2">
      <c r="P21" s="8"/>
      <c r="S21" s="9"/>
    </row>
    <row r="22" spans="16:19" ht="15" customHeight="1" x14ac:dyDescent="0.2">
      <c r="P22" s="37" t="s">
        <v>72</v>
      </c>
      <c r="S22" s="9"/>
    </row>
    <row r="23" spans="16:19" ht="33" customHeight="1" thickBot="1" x14ac:dyDescent="0.25">
      <c r="P23" s="38" t="s">
        <v>23</v>
      </c>
      <c r="Q23" s="39" t="s">
        <v>24</v>
      </c>
      <c r="R23" s="39" t="s">
        <v>22</v>
      </c>
      <c r="S23" s="40" t="s">
        <v>6</v>
      </c>
    </row>
    <row r="24" spans="16:19" ht="15" customHeight="1" x14ac:dyDescent="0.2">
      <c r="P24" s="11" t="str" cm="1">
        <f t="array" ref="P24:P28">projection_data!B15:B19</f>
        <v>FY25</v>
      </c>
      <c r="Q24" s="12" cm="1">
        <f t="array" ref="Q24:Q28">projection_data!K15:K19</f>
        <v>6009446.4116000002</v>
      </c>
      <c r="R24" s="43" cm="1">
        <f t="array" ref="R24:R28">projection_data!M15:M19</f>
        <v>3914.752</v>
      </c>
      <c r="S24" s="41" cm="1">
        <f t="array" ref="S24:S28">projection_data!H15:H19</f>
        <v>23525492358.703922</v>
      </c>
    </row>
    <row r="25" spans="16:19" ht="15" customHeight="1" x14ac:dyDescent="0.2">
      <c r="P25" s="11" t="str">
        <v>FY26</v>
      </c>
      <c r="Q25" s="12">
        <v>6271458.2751457607</v>
      </c>
      <c r="R25" s="43">
        <v>4008.706048</v>
      </c>
      <c r="S25" s="41">
        <v>25140432717.356461</v>
      </c>
    </row>
    <row r="26" spans="16:19" ht="15" customHeight="1" x14ac:dyDescent="0.2">
      <c r="P26" s="11" t="str">
        <v>FY27</v>
      </c>
      <c r="Q26" s="12">
        <v>6544893.8559421161</v>
      </c>
      <c r="R26" s="43">
        <v>4104.9149931520005</v>
      </c>
      <c r="S26" s="41">
        <v>26866232917.845203</v>
      </c>
    </row>
    <row r="27" spans="16:19" ht="15" customHeight="1" x14ac:dyDescent="0.2">
      <c r="P27" s="11" t="str">
        <v>FY28</v>
      </c>
      <c r="Q27" s="12">
        <v>6830251.2280611927</v>
      </c>
      <c r="R27" s="43">
        <v>4203.4329529876486</v>
      </c>
      <c r="S27" s="41">
        <v>28710503089.216774</v>
      </c>
    </row>
    <row r="28" spans="16:19" ht="15" customHeight="1" thickBot="1" x14ac:dyDescent="0.25">
      <c r="P28" s="13" t="str">
        <v>FY29</v>
      </c>
      <c r="Q28" s="14">
        <v>7128050.181604661</v>
      </c>
      <c r="R28" s="44">
        <v>4304.3153438593527</v>
      </c>
      <c r="S28" s="42">
        <v>30681375768.480389</v>
      </c>
    </row>
    <row r="29" spans="16:19" ht="15" customHeight="1"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workbookViewId="0">
      <selection activeCell="H18" sqref="H18"/>
    </sheetView>
  </sheetViews>
  <sheetFormatPr baseColWidth="10" defaultColWidth="8.83203125" defaultRowHeight="15" x14ac:dyDescent="0.2"/>
  <cols>
    <col min="2" max="2" width="9.1640625" bestFit="1" customWidth="1"/>
    <col min="3" max="3" width="14.83203125" bestFit="1" customWidth="1"/>
    <col min="4" max="4" width="14" bestFit="1" customWidth="1"/>
    <col min="5" max="5" width="22.5" bestFit="1" customWidth="1"/>
    <col min="6" max="6" width="26.1640625" bestFit="1" customWidth="1"/>
    <col min="7" max="7" width="28" bestFit="1" customWidth="1"/>
    <col min="8" max="8" width="17.83203125" bestFit="1" customWidth="1"/>
    <col min="9" max="9" width="24.83203125" bestFit="1" customWidth="1"/>
    <col min="10" max="10" width="26.6640625" bestFit="1" customWidth="1"/>
    <col min="11" max="11" width="31" bestFit="1" customWidth="1"/>
    <col min="12" max="12" width="31" customWidth="1"/>
    <col min="13" max="13" width="31.1640625" bestFit="1" customWidth="1"/>
    <col min="14" max="14" width="43.5" bestFit="1" customWidth="1"/>
    <col min="15" max="15" width="45.1640625" bestFit="1" customWidth="1"/>
  </cols>
  <sheetData>
    <row r="1" spans="1:15" s="1" customFormat="1" ht="16" x14ac:dyDescent="0.2">
      <c r="A1" s="1" t="s">
        <v>18</v>
      </c>
      <c r="B1" s="1" t="s">
        <v>0</v>
      </c>
      <c r="C1" s="1" t="s">
        <v>1</v>
      </c>
      <c r="D1" s="1" t="s">
        <v>2</v>
      </c>
      <c r="E1" s="1" t="s">
        <v>3</v>
      </c>
      <c r="F1" s="1" t="s">
        <v>4</v>
      </c>
      <c r="G1" s="1" t="s">
        <v>5</v>
      </c>
      <c r="H1" s="1" t="s">
        <v>6</v>
      </c>
      <c r="I1" s="1" t="s">
        <v>7</v>
      </c>
      <c r="J1" s="1" t="s">
        <v>8</v>
      </c>
      <c r="K1" s="16" t="s">
        <v>24</v>
      </c>
      <c r="L1" s="16" t="s">
        <v>55</v>
      </c>
      <c r="M1" s="1" t="s">
        <v>9</v>
      </c>
      <c r="N1" s="1" t="s">
        <v>10</v>
      </c>
      <c r="O1" s="1" t="s">
        <v>11</v>
      </c>
    </row>
    <row r="2" spans="1:15" x14ac:dyDescent="0.2">
      <c r="A2" t="s">
        <v>19</v>
      </c>
      <c r="B2" t="s">
        <v>42</v>
      </c>
      <c r="C2">
        <v>12</v>
      </c>
      <c r="D2" s="2">
        <v>36183872</v>
      </c>
      <c r="E2" s="3">
        <v>-6.0000000000000001E-3</v>
      </c>
      <c r="H2" s="4">
        <v>4051469000</v>
      </c>
      <c r="K2" s="2">
        <v>3015323</v>
      </c>
      <c r="L2" s="2"/>
      <c r="M2" s="4">
        <v>1344</v>
      </c>
    </row>
    <row r="3" spans="1:15" x14ac:dyDescent="0.2">
      <c r="A3" t="s">
        <v>19</v>
      </c>
      <c r="B3" t="s">
        <v>41</v>
      </c>
      <c r="C3">
        <v>12</v>
      </c>
      <c r="D3" s="2">
        <v>39819452</v>
      </c>
      <c r="E3" s="3">
        <v>0.01</v>
      </c>
      <c r="F3" s="2">
        <v>3635580</v>
      </c>
      <c r="G3" s="3">
        <v>0.1</v>
      </c>
      <c r="H3" s="4">
        <v>9797000000</v>
      </c>
      <c r="I3" s="4">
        <v>5745531000</v>
      </c>
      <c r="J3" s="3">
        <v>1.4179999999999999</v>
      </c>
      <c r="K3" s="2">
        <v>3318288</v>
      </c>
      <c r="L3" s="25">
        <f>(K3-K2)/K2</f>
        <v>0.10047513981089257</v>
      </c>
      <c r="M3" s="4">
        <v>2952</v>
      </c>
      <c r="N3" s="4">
        <v>1609</v>
      </c>
      <c r="O3" s="3">
        <v>1.1970000000000001</v>
      </c>
    </row>
    <row r="4" spans="1:15" x14ac:dyDescent="0.2">
      <c r="A4" t="s">
        <v>19</v>
      </c>
      <c r="B4" t="s">
        <v>40</v>
      </c>
      <c r="C4">
        <v>12</v>
      </c>
      <c r="D4" s="2">
        <v>43086932</v>
      </c>
      <c r="E4" s="3">
        <v>5.0000000000000001E-3</v>
      </c>
      <c r="F4" s="2">
        <v>3267480</v>
      </c>
      <c r="G4" s="3">
        <v>8.2000000000000003E-2</v>
      </c>
      <c r="H4" s="4">
        <v>11217000000</v>
      </c>
      <c r="I4" s="4">
        <v>1420000000</v>
      </c>
      <c r="J4" s="3">
        <v>0.14499999999999999</v>
      </c>
      <c r="K4" s="2">
        <v>3590578</v>
      </c>
      <c r="L4" s="25">
        <f t="shared" ref="L4:L14" si="0">(K4-K3)/K3</f>
        <v>8.2057374164026753E-2</v>
      </c>
      <c r="M4" s="4">
        <v>3124</v>
      </c>
      <c r="N4" s="4">
        <v>172</v>
      </c>
      <c r="O4" s="3">
        <v>5.8000000000000003E-2</v>
      </c>
    </row>
    <row r="5" spans="1:15" x14ac:dyDescent="0.2">
      <c r="A5" t="s">
        <v>19</v>
      </c>
      <c r="B5" t="s">
        <v>39</v>
      </c>
      <c r="C5">
        <v>12</v>
      </c>
      <c r="D5" s="2">
        <v>51654212</v>
      </c>
      <c r="E5" s="3">
        <v>2.3E-2</v>
      </c>
      <c r="F5" s="2">
        <v>8567280</v>
      </c>
      <c r="G5" s="3">
        <v>0.19900000000000001</v>
      </c>
      <c r="H5" s="4">
        <v>12667000000</v>
      </c>
      <c r="I5" s="4">
        <v>1450000000</v>
      </c>
      <c r="J5" s="3">
        <v>0.129</v>
      </c>
      <c r="K5" s="2">
        <v>4304518</v>
      </c>
      <c r="L5" s="25">
        <f t="shared" si="0"/>
        <v>0.19883706745821983</v>
      </c>
      <c r="M5" s="4">
        <v>2943</v>
      </c>
      <c r="N5" s="4">
        <v>-181</v>
      </c>
      <c r="O5" s="3">
        <v>-5.8000000000000003E-2</v>
      </c>
    </row>
    <row r="6" spans="1:15" x14ac:dyDescent="0.2">
      <c r="A6" t="s">
        <v>19</v>
      </c>
      <c r="B6" t="s">
        <v>38</v>
      </c>
      <c r="C6">
        <v>12</v>
      </c>
      <c r="D6" s="2">
        <v>56531245</v>
      </c>
      <c r="E6" s="3">
        <v>5.0000000000000001E-3</v>
      </c>
      <c r="F6" s="2">
        <v>4877033</v>
      </c>
      <c r="G6" s="3">
        <v>9.4E-2</v>
      </c>
      <c r="H6" s="4">
        <v>12466000000</v>
      </c>
      <c r="I6" s="4">
        <v>-201000000</v>
      </c>
      <c r="J6" s="3">
        <v>-1.6E-2</v>
      </c>
      <c r="K6" s="2">
        <v>4710937</v>
      </c>
      <c r="L6" s="25">
        <f t="shared" si="0"/>
        <v>9.4416842954309868E-2</v>
      </c>
      <c r="M6" s="4">
        <v>2646</v>
      </c>
      <c r="N6" s="4">
        <v>-297</v>
      </c>
      <c r="O6" s="3">
        <v>-0.10100000000000001</v>
      </c>
    </row>
    <row r="7" spans="1:15" x14ac:dyDescent="0.2">
      <c r="A7" t="s">
        <v>19</v>
      </c>
      <c r="B7" t="s">
        <v>37</v>
      </c>
      <c r="C7">
        <v>12</v>
      </c>
      <c r="D7" s="2">
        <v>55252382</v>
      </c>
      <c r="E7" s="3">
        <v>-4.0000000000000001E-3</v>
      </c>
      <c r="F7" s="2">
        <v>-1278863</v>
      </c>
      <c r="G7" s="3">
        <v>-2.3E-2</v>
      </c>
      <c r="H7" s="4">
        <v>13762000000</v>
      </c>
      <c r="I7" s="4">
        <v>1296000000</v>
      </c>
      <c r="J7" s="3">
        <v>0.104</v>
      </c>
      <c r="K7" s="2">
        <v>4604365</v>
      </c>
      <c r="L7" s="25">
        <f t="shared" si="0"/>
        <v>-2.2622251157253855E-2</v>
      </c>
      <c r="M7" s="4">
        <v>2989</v>
      </c>
      <c r="N7" s="4">
        <v>343</v>
      </c>
      <c r="O7" s="3">
        <v>0.13</v>
      </c>
    </row>
    <row r="8" spans="1:15" x14ac:dyDescent="0.2">
      <c r="A8" t="s">
        <v>19</v>
      </c>
      <c r="B8" t="s">
        <v>36</v>
      </c>
      <c r="C8">
        <v>12</v>
      </c>
      <c r="D8" s="2">
        <v>55782046</v>
      </c>
      <c r="E8" s="3">
        <v>1E-3</v>
      </c>
      <c r="F8" s="2">
        <v>529664</v>
      </c>
      <c r="G8" s="3">
        <v>0.01</v>
      </c>
      <c r="H8" s="4">
        <v>15962000000</v>
      </c>
      <c r="I8" s="4">
        <v>2200000000</v>
      </c>
      <c r="J8" s="3">
        <v>0.16</v>
      </c>
      <c r="K8" s="2">
        <v>4648504</v>
      </c>
      <c r="L8" s="25">
        <f t="shared" si="0"/>
        <v>9.5863381812692963E-3</v>
      </c>
      <c r="M8" s="4">
        <v>3434</v>
      </c>
      <c r="N8" s="4">
        <v>445</v>
      </c>
      <c r="O8" s="3">
        <v>0.14899999999999999</v>
      </c>
    </row>
    <row r="9" spans="1:15" x14ac:dyDescent="0.2">
      <c r="A9" t="s">
        <v>19</v>
      </c>
      <c r="B9" t="s">
        <v>35</v>
      </c>
      <c r="C9">
        <v>12</v>
      </c>
      <c r="D9" s="2">
        <v>56214821</v>
      </c>
      <c r="E9" s="3">
        <v>0</v>
      </c>
      <c r="F9" s="2">
        <v>432775</v>
      </c>
      <c r="G9" s="3">
        <v>8.0000000000000002E-3</v>
      </c>
      <c r="H9" s="4">
        <v>16130000000</v>
      </c>
      <c r="I9" s="4">
        <v>168000000</v>
      </c>
      <c r="J9" s="3">
        <v>1.0999999999999999E-2</v>
      </c>
      <c r="K9" s="2">
        <v>4684568</v>
      </c>
      <c r="L9" s="25">
        <f t="shared" si="0"/>
        <v>7.758194894529509E-3</v>
      </c>
      <c r="M9" s="4">
        <v>3443</v>
      </c>
      <c r="N9" s="4">
        <v>9</v>
      </c>
      <c r="O9" s="3">
        <v>3.0000000000000001E-3</v>
      </c>
    </row>
    <row r="10" spans="1:15" x14ac:dyDescent="0.2">
      <c r="A10" t="s">
        <v>19</v>
      </c>
      <c r="B10" t="s">
        <v>34</v>
      </c>
      <c r="C10">
        <v>12</v>
      </c>
      <c r="D10" s="2">
        <v>55318082</v>
      </c>
      <c r="E10" s="3">
        <v>-2E-3</v>
      </c>
      <c r="F10" s="2">
        <v>-896739</v>
      </c>
      <c r="G10" s="3">
        <v>-1.6E-2</v>
      </c>
      <c r="H10" s="4">
        <v>17838000000</v>
      </c>
      <c r="I10" s="4">
        <v>1708000000</v>
      </c>
      <c r="J10" s="3">
        <v>0.106</v>
      </c>
      <c r="K10" s="2">
        <v>4609840</v>
      </c>
      <c r="L10" s="25">
        <f t="shared" si="0"/>
        <v>-1.5951951172445356E-2</v>
      </c>
      <c r="M10" s="4">
        <v>3870</v>
      </c>
      <c r="N10" s="4">
        <v>426</v>
      </c>
      <c r="O10" s="3">
        <v>0.124</v>
      </c>
    </row>
    <row r="11" spans="1:15" x14ac:dyDescent="0.2">
      <c r="A11" t="s">
        <v>19</v>
      </c>
      <c r="B11" t="s">
        <v>33</v>
      </c>
      <c r="C11">
        <v>12</v>
      </c>
      <c r="D11" s="2">
        <v>61432468</v>
      </c>
      <c r="E11" s="3">
        <v>1.4999999999999999E-2</v>
      </c>
      <c r="F11" s="2">
        <v>6114386</v>
      </c>
      <c r="G11" s="3">
        <v>0.111</v>
      </c>
      <c r="H11" s="4">
        <v>17686000000</v>
      </c>
      <c r="I11" s="4">
        <v>-152000000</v>
      </c>
      <c r="J11" s="3">
        <v>-8.9999999999999993E-3</v>
      </c>
      <c r="K11" s="2">
        <v>5119372</v>
      </c>
      <c r="L11" s="25">
        <f t="shared" si="0"/>
        <v>0.11053138503722472</v>
      </c>
      <c r="M11" s="4">
        <v>3455</v>
      </c>
      <c r="N11" s="4">
        <v>-415</v>
      </c>
      <c r="O11" s="3">
        <v>-0.107</v>
      </c>
    </row>
    <row r="12" spans="1:15" x14ac:dyDescent="0.2">
      <c r="A12" t="s">
        <v>19</v>
      </c>
      <c r="B12" t="s">
        <v>32</v>
      </c>
      <c r="C12">
        <v>12</v>
      </c>
      <c r="D12" s="2">
        <v>67365292</v>
      </c>
      <c r="E12" s="3">
        <v>6.0000000000000001E-3</v>
      </c>
      <c r="F12" s="2">
        <v>5932824</v>
      </c>
      <c r="G12" s="3">
        <v>9.7000000000000003E-2</v>
      </c>
      <c r="H12" s="4">
        <v>19634000000</v>
      </c>
      <c r="I12" s="4">
        <v>1948000000</v>
      </c>
      <c r="J12" s="3">
        <v>0.11</v>
      </c>
      <c r="K12" s="2">
        <v>5613774</v>
      </c>
      <c r="L12" s="25">
        <f t="shared" si="0"/>
        <v>9.6574736119977217E-2</v>
      </c>
      <c r="M12" s="4">
        <v>3497</v>
      </c>
      <c r="N12" s="4">
        <v>43</v>
      </c>
      <c r="O12" s="3">
        <v>1.2E-2</v>
      </c>
    </row>
    <row r="13" spans="1:15" x14ac:dyDescent="0.2">
      <c r="A13" t="s">
        <v>19</v>
      </c>
      <c r="B13" t="s">
        <v>31</v>
      </c>
      <c r="C13">
        <v>12</v>
      </c>
      <c r="D13" s="2">
        <v>70489889</v>
      </c>
      <c r="E13" s="3">
        <v>4.0000000000000001E-3</v>
      </c>
      <c r="F13" s="2">
        <v>3124597</v>
      </c>
      <c r="G13" s="3">
        <v>4.5999999999999999E-2</v>
      </c>
      <c r="H13" s="4">
        <v>21104000000</v>
      </c>
      <c r="I13" s="4">
        <v>1470000000</v>
      </c>
      <c r="J13" s="3">
        <v>7.4999999999999997E-2</v>
      </c>
      <c r="K13" s="2">
        <v>5874157</v>
      </c>
      <c r="L13" s="25">
        <f t="shared" si="0"/>
        <v>4.6382878968765043E-2</v>
      </c>
      <c r="M13" s="4">
        <v>3593</v>
      </c>
      <c r="N13" s="4">
        <v>95</v>
      </c>
      <c r="O13" s="3">
        <v>2.7E-2</v>
      </c>
    </row>
    <row r="14" spans="1:15" x14ac:dyDescent="0.2">
      <c r="A14" t="s">
        <v>19</v>
      </c>
      <c r="B14" t="s">
        <v>30</v>
      </c>
      <c r="C14">
        <v>12</v>
      </c>
      <c r="D14" s="2">
        <v>69100570</v>
      </c>
      <c r="E14" s="3">
        <v>-5.0000000000000001E-3</v>
      </c>
      <c r="F14" s="2">
        <v>-1389319</v>
      </c>
      <c r="G14" s="3">
        <v>-0.02</v>
      </c>
      <c r="H14" s="4">
        <v>22013000000</v>
      </c>
      <c r="I14" s="4">
        <v>909000000</v>
      </c>
      <c r="J14" s="3">
        <v>4.2999999999999997E-2</v>
      </c>
      <c r="K14" s="2">
        <v>5758381</v>
      </c>
      <c r="L14" s="25">
        <f t="shared" si="0"/>
        <v>-1.9709381278028491E-2</v>
      </c>
      <c r="M14" s="4">
        <v>3823</v>
      </c>
      <c r="N14" s="4">
        <v>230</v>
      </c>
      <c r="O14" s="3">
        <v>6.4000000000000001E-2</v>
      </c>
    </row>
    <row r="15" spans="1:15" x14ac:dyDescent="0.2">
      <c r="A15" s="5" t="s">
        <v>20</v>
      </c>
      <c r="B15" t="s">
        <v>48</v>
      </c>
      <c r="C15" s="5"/>
      <c r="D15" s="5">
        <f>(1+Graph!$P$20)*projection_data!D14</f>
        <v>72113354.852000013</v>
      </c>
      <c r="E15" s="5"/>
      <c r="F15" s="5"/>
      <c r="G15" s="5"/>
      <c r="H15" s="6">
        <f>K15*M15</f>
        <v>23525492358.703922</v>
      </c>
      <c r="K15" s="5">
        <f>(1+Graph!$P$20)*projection_data!K14</f>
        <v>6009446.4116000002</v>
      </c>
      <c r="L15" s="25"/>
      <c r="M15" s="6">
        <f>(1+Graph!$R$20)*M14</f>
        <v>3914.752</v>
      </c>
    </row>
    <row r="16" spans="1:15" x14ac:dyDescent="0.2">
      <c r="A16" s="5" t="s">
        <v>20</v>
      </c>
      <c r="B16" t="s">
        <v>49</v>
      </c>
      <c r="C16" s="5"/>
      <c r="D16" s="5">
        <f>(1+Graph!$P$20)*D15</f>
        <v>75257497.123547226</v>
      </c>
      <c r="E16" s="5"/>
      <c r="F16" s="5"/>
      <c r="G16" s="5"/>
      <c r="H16" s="6">
        <f t="shared" ref="H16:H19" si="1">K16*M16</f>
        <v>25140432717.356461</v>
      </c>
      <c r="K16" s="5">
        <f>(1+Graph!$P$20)*K15</f>
        <v>6271458.2751457607</v>
      </c>
      <c r="L16" s="25"/>
      <c r="M16" s="6">
        <f>(1+Graph!$R$20)*M15</f>
        <v>4008.706048</v>
      </c>
    </row>
    <row r="17" spans="1:13" x14ac:dyDescent="0.2">
      <c r="A17" s="5" t="s">
        <v>20</v>
      </c>
      <c r="B17" t="s">
        <v>50</v>
      </c>
      <c r="C17" s="5"/>
      <c r="D17" s="5">
        <f>(1+Graph!$P$20)*D16</f>
        <v>78538723.998133898</v>
      </c>
      <c r="E17" s="5"/>
      <c r="F17" s="5"/>
      <c r="G17" s="5"/>
      <c r="H17" s="6">
        <f>K17*M17</f>
        <v>26866232917.845203</v>
      </c>
      <c r="K17" s="5">
        <f>(1+Graph!$P$20)*K16</f>
        <v>6544893.8559421161</v>
      </c>
      <c r="L17" s="25"/>
      <c r="M17" s="6">
        <f>(1+Graph!$R$20)*M16</f>
        <v>4104.9149931520005</v>
      </c>
    </row>
    <row r="18" spans="1:13" x14ac:dyDescent="0.2">
      <c r="A18" s="5" t="s">
        <v>20</v>
      </c>
      <c r="B18" t="s">
        <v>51</v>
      </c>
      <c r="C18" s="5"/>
      <c r="D18" s="5">
        <f>(1+Graph!$P$20)*D17</f>
        <v>81963012.364452541</v>
      </c>
      <c r="E18" s="5"/>
      <c r="F18" s="5"/>
      <c r="G18" s="5"/>
      <c r="H18" s="6">
        <f t="shared" si="1"/>
        <v>28710503089.216774</v>
      </c>
      <c r="K18" s="5">
        <f>(1+Graph!$P$20)*K17</f>
        <v>6830251.2280611927</v>
      </c>
      <c r="L18" s="25"/>
      <c r="M18" s="6">
        <f>(1+Graph!$R$20)*M17</f>
        <v>4203.4329529876486</v>
      </c>
    </row>
    <row r="19" spans="1:13" x14ac:dyDescent="0.2">
      <c r="A19" s="5" t="s">
        <v>20</v>
      </c>
      <c r="B19" t="s">
        <v>52</v>
      </c>
      <c r="C19" s="5"/>
      <c r="D19" s="5">
        <f>(1+Graph!$P$20)*D18</f>
        <v>85536599.70354268</v>
      </c>
      <c r="E19" s="5"/>
      <c r="F19" s="5"/>
      <c r="G19" s="5"/>
      <c r="H19" s="6">
        <f t="shared" si="1"/>
        <v>30681375768.480389</v>
      </c>
      <c r="K19" s="5">
        <f>(1+Graph!$P$20)*K18</f>
        <v>7128050.181604661</v>
      </c>
      <c r="L19" s="25"/>
      <c r="M19" s="6">
        <f>(1+Graph!$R$20)*M18</f>
        <v>4304.3153438593527</v>
      </c>
    </row>
  </sheetData>
  <sheetProtection sheet="1" objects="1" scenarios="1"/>
  <sortState xmlns:xlrd2="http://schemas.microsoft.com/office/spreadsheetml/2017/richdata2" ref="B2:O14">
    <sortCondition ref="B2:B14"/>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2025-03-12T01:25:07Z</dcterms:modified>
</cp:coreProperties>
</file>