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E116FCDC-A708-604F-8F56-4372C577A83F}"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6" l="1" a="1"/>
  <c r="D13" i="6" s="1"/>
  <c r="F13" i="6" a="1"/>
  <c r="F13" i="6" s="1"/>
  <c r="C8" i="4"/>
  <c r="B13" i="6" a="1"/>
  <c r="B13" i="6" s="1"/>
  <c r="B14" i="6" s="1"/>
  <c r="P6" i="4"/>
  <c r="P5" i="4"/>
  <c r="P4" i="4"/>
  <c r="D8" i="4"/>
  <c r="D7" i="4" s="1"/>
  <c r="D6" i="4" s="1"/>
  <c r="E8" i="4"/>
  <c r="E7" i="4" s="1"/>
  <c r="E6" i="4" s="1"/>
  <c r="E5" i="4" s="1"/>
  <c r="E4" i="4" s="1"/>
  <c r="G8" i="4"/>
  <c r="G7" i="4" s="1"/>
  <c r="G6" i="4" s="1"/>
  <c r="P7" i="4"/>
  <c r="P8" i="4"/>
  <c r="C13" i="6" l="1"/>
  <c r="D14" i="6"/>
  <c r="C7" i="4"/>
  <c r="C6" i="4" s="1"/>
  <c r="C5" i="4" s="1"/>
  <c r="C4" i="4" s="1"/>
  <c r="B15" i="6"/>
  <c r="B16" i="6" s="1"/>
  <c r="B17" i="6" s="1"/>
  <c r="D5" i="4"/>
  <c r="D4" i="4" s="1"/>
  <c r="F7" i="4"/>
  <c r="F8" i="4"/>
  <c r="G5" i="4"/>
  <c r="F6" i="4"/>
  <c r="I7" i="4" l="1"/>
  <c r="J7" i="4" s="1"/>
  <c r="I6" i="4"/>
  <c r="J6" i="4" s="1"/>
  <c r="G4" i="4"/>
  <c r="F4" i="4" s="1"/>
  <c r="F5" i="4"/>
  <c r="I5" i="4" s="1"/>
  <c r="J5" i="4" s="1"/>
  <c r="I4" i="4" l="1"/>
  <c r="J4" i="4" s="1"/>
  <c r="Q11" i="3" l="1"/>
  <c r="Q12" i="3"/>
  <c r="Q13" i="3"/>
  <c r="P24" i="3" a="1"/>
  <c r="P24" i="3" s="1"/>
  <c r="Q6" i="3"/>
  <c r="Q8" i="3"/>
  <c r="Q7" i="3"/>
  <c r="F14" i="6" l="1"/>
  <c r="C14" i="6" s="1"/>
  <c r="I8" i="4"/>
  <c r="J8" i="4" s="1"/>
  <c r="F15" i="6" l="1"/>
  <c r="F16" i="6" s="1"/>
  <c r="F17" i="6" s="1"/>
  <c r="A25" i="4"/>
  <c r="A24" i="4"/>
  <c r="N8" i="4"/>
  <c r="N7" i="4" s="1"/>
  <c r="R24" i="3" l="1" a="1"/>
  <c r="R24" i="3" s="1"/>
  <c r="D15" i="6"/>
  <c r="C15" i="6" s="1"/>
  <c r="K7" i="4"/>
  <c r="O7" i="4"/>
  <c r="N6" i="4"/>
  <c r="K8" i="4"/>
  <c r="L8" i="4" s="1"/>
  <c r="M8" i="4" s="1"/>
  <c r="O8" i="4"/>
  <c r="D16" i="6" l="1"/>
  <c r="D17" i="6" s="1"/>
  <c r="C17" i="6" s="1"/>
  <c r="N5" i="4"/>
  <c r="K5" i="4" s="1"/>
  <c r="O6" i="4"/>
  <c r="K6" i="4"/>
  <c r="L6" i="4" s="1"/>
  <c r="M6" i="4" s="1"/>
  <c r="L7" i="4"/>
  <c r="M7" i="4" s="1"/>
  <c r="C16" i="6" l="1"/>
  <c r="S24" i="3" s="1" a="1"/>
  <c r="S24" i="3" s="1"/>
  <c r="O5" i="4"/>
  <c r="N4" i="4"/>
  <c r="L5" i="4"/>
  <c r="M5" i="4"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<sst xmlns="http://schemas.openxmlformats.org/spreadsheetml/2006/main" count="132" uniqueCount="74">
  <si>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</si>
  <si>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</si>
  <si>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</si>
  <si>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</si>
  <si>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</si>
  <si>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</si>
  <si>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</si>
  <si>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</si>
  <si>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</si>
  <si>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</si>
  <si>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</si>
  <si>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</si>
  <si>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</si>
  <si>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</si>
  <si>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</si>
  <si>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</si>
  <si>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</si>
  <si>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</si>
  <si>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</si>
  <si>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</si>
  <si>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</si>
  <si>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</si>
  <si>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</si>
  <si>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</si>
  <si>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</si>
  <si>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</si>
  <si>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</si>
  <si>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</si>
  <si>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</si>
  <si>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</si>
  <si>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</si>
  <si>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</si>
  <si>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</si>
  <si>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</si>
  <si>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</si>
  <si>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</si>
  <si>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</si>
  <si>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</si>
  <si>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</si>
  <si>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</si>
  <si>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</si>
  <si>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</si>
  <si>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</si>
  <si>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</si>
  <si>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</si>
  <si>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</si>
  <si>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</si>
  <si>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</si>
  <si>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</si>
  <si>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</si>
  <si>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</si>
  <si>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</si>
  <si>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</si>
  <si>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</si>
  <si>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</si>
  <si>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</si>
  <si>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</si>
  <si>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</si>
  <si>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</si>
  <si>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</si>
  <si>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</si>
  <si>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</si>
  <si>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</si>
  <si>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</si>
  <si>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</si>
  <si>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</si>
  <si>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</si>
  <si>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</si>
  <si>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</si>
  <si>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</si>
  <si>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</si>
  <si>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</si>
  <si>
    <t>FY26 (YTD)</t>
  </si>
  <si>
    <t>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</si>
</sst>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 numFmtId="171" formatCode="&quot;$&quot;#,##0.0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3">
    <xf numFmtId="0" fontId="0" fillId="0" borderId="0" xfId="0"/>
    <xf numFmtId="3"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xf numFmtId="171" fontId="0" fillId="0" borderId="0" xfId="10" applyNumberFormat="1" applyFont="1"/>
    <xf numFmtId="10" fontId="0" fillId="0" borderId="0" xfId="0" applyNumberFormat="1" applyAlignment="1">
      <alignment horizontal="right"/>
    </xf>
    <xf numFmtId="9" fontId="0" fillId="0" borderId="0" xfId="1" applyFont="1" applyAlignment="1">
      <alignment horizontal="right"/>
    </xf>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71" formatCode="&quot;$&quot;#,##0.00"/>
    </dxf>
    <dxf>
      <numFmt numFmtId="14" formatCode="0.0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3" formatCode="#,##0"/>
    </dxf>
    <dxf>
      <numFmt numFmtId="10" formatCode="&quot;$&quot;#,##0_);[Red]\(&quot;$&quot;#,##0\)"/>
    </dxf>
  </dxfs>
  <tableStyles count="0" defaultTableStyle="TableStyleMedium9" defaultPivotStyle="PivotStyleLight16"/>
  <colors>
    <mruColors>
      <color rgb="FFC7D8EA"/>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rgbClr val="C7D8EA"/>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projection_data!$D$2:$D$17</c:f>
              <c:numCache>
                <c:formatCode>#,##0</c:formatCode>
                <c:ptCount val="16"/>
                <c:pt idx="0">
                  <c:v>135152.91666666599</c:v>
                </c:pt>
                <c:pt idx="1">
                  <c:v>144672</c:v>
                </c:pt>
                <c:pt idx="2">
                  <c:v>175045.33333333299</c:v>
                </c:pt>
                <c:pt idx="3">
                  <c:v>204796.83333333299</c:v>
                </c:pt>
                <c:pt idx="4">
                  <c:v>234696.41666666599</c:v>
                </c:pt>
                <c:pt idx="5">
                  <c:v>267329.33333333302</c:v>
                </c:pt>
                <c:pt idx="6">
                  <c:v>274331.91666666599</c:v>
                </c:pt>
                <c:pt idx="7">
                  <c:v>279188.75</c:v>
                </c:pt>
                <c:pt idx="8">
                  <c:v>294392.41666666599</c:v>
                </c:pt>
                <c:pt idx="9">
                  <c:v>324988.41666666599</c:v>
                </c:pt>
                <c:pt idx="10">
                  <c:v>363780</c:v>
                </c:pt>
                <c:pt idx="11">
                  <c:v>391718.304</c:v>
                </c:pt>
                <c:pt idx="12">
                  <c:v>421802.26974720001</c:v>
                </c:pt>
                <c:pt idx="13">
                  <c:v>454196.68406378495</c:v>
                </c:pt>
                <c:pt idx="14">
                  <c:v>489078.98939988361</c:v>
                </c:pt>
                <c:pt idx="15">
                  <c:v>526640.2557857947</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projection_data!$C$2:$C$17</c:f>
              <c:numCache>
                <c:formatCode>"$"#,##0_);[Red]\("$"#,##0\)</c:formatCode>
                <c:ptCount val="16"/>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c:v>9728000000</c:v>
                </c:pt>
                <c:pt idx="11" formatCode="&quot;$&quot;#,##0.00_);[Red]\(&quot;$&quot;#,##0.00\)">
                  <c:v>10495013109.759989</c:v>
                </c:pt>
                <c:pt idx="12" formatCode="&quot;$&quot;#,##0.00_);[Red]\(&quot;$&quot;#,##0.00\)">
                  <c:v>11322502073.811075</c:v>
                </c:pt>
                <c:pt idx="13" formatCode="&quot;$&quot;#,##0.00_);[Red]\(&quot;$&quot;#,##0.00\)">
                  <c:v>12215235166.522617</c:v>
                </c:pt>
                <c:pt idx="14" formatCode="&quot;$&quot;#,##0.00_);[Red]\(&quot;$&quot;#,##0.00\)">
                  <c:v>13178356621.243446</c:v>
                </c:pt>
                <c:pt idx="15" formatCode="&quot;$&quot;#,##0.00_);[Red]\(&quot;$&quot;#,##0.00\)">
                  <c:v>14217416273.133478</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2" totalsRowShown="0" headerRowDxfId="3">
  <autoFilter ref="A1:G12"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5"/>
    <tableColumn id="4" xr3:uid="{2A994CA5-E802-1241-A0A7-341CFD69AFD6}" name="Average Annual Enrollment" dataDxfId="4"/>
    <tableColumn id="5" xr3:uid="{410693AE-0DD9-F340-BB48-7F49D2049665}" name="Average Annual Enrollment Change %" dataDxfId="2" dataCellStyle="Percent"/>
    <tableColumn id="6" xr3:uid="{4B0D0AC8-F08E-7544-9AF6-BC3DA742F6F2}" name="Average Annual Spending per Enrollee" dataDxfId="0" dataCellStyle="Currency"/>
    <tableColumn id="7" xr3:uid="{F8434FAD-6E36-6344-9152-D139B9351C1D}" name="Average Annual Spending per Enrollee Annual Change %" dataDxfId="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1"/>
  <sheetViews>
    <sheetView showGridLines="0" tabSelected="1" workbookViewId="0">
      <selection activeCell="H28" sqref="H28"/>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3" t="s">
        <v>52</v>
      </c>
      <c r="B1" s="53"/>
      <c r="C1" s="53"/>
      <c r="D1" s="53"/>
      <c r="E1" s="53"/>
      <c r="F1" s="53"/>
      <c r="G1" s="53"/>
      <c r="H1" s="53"/>
      <c r="I1" s="53"/>
      <c r="J1" s="53"/>
      <c r="K1" s="53"/>
      <c r="L1" s="53"/>
      <c r="M1" s="53"/>
      <c r="N1" s="53"/>
      <c r="O1" s="53"/>
      <c r="P1" s="53"/>
    </row>
    <row r="2" spans="1:16" s="10" customFormat="1" ht="42" customHeight="1" x14ac:dyDescent="0.2">
      <c r="C2" s="54" t="s">
        <v>53</v>
      </c>
      <c r="D2" s="54"/>
      <c r="E2" s="54"/>
      <c r="F2" s="54"/>
      <c r="G2" s="54"/>
      <c r="H2" s="54"/>
      <c r="I2" s="50" t="s">
        <v>17</v>
      </c>
      <c r="J2" s="50"/>
      <c r="K2" s="51" t="s">
        <v>3</v>
      </c>
      <c r="L2" s="51"/>
      <c r="M2" s="51"/>
      <c r="N2" s="52" t="s">
        <v>18</v>
      </c>
      <c r="O2" s="52"/>
      <c r="P2" s="52"/>
    </row>
    <row r="3" spans="1:16" s="18" customFormat="1" ht="45" customHeight="1" x14ac:dyDescent="0.2">
      <c r="A3" s="19" t="s">
        <v>19</v>
      </c>
      <c r="B3" s="19" t="s">
        <v>1</v>
      </c>
      <c r="C3" s="19" t="s">
        <v>60</v>
      </c>
      <c r="D3" s="19" t="s">
        <v>59</v>
      </c>
      <c r="E3" s="19" t="s">
        <v>61</v>
      </c>
      <c r="F3" s="19" t="s">
        <v>62</v>
      </c>
      <c r="G3" s="19" t="s">
        <v>20</v>
      </c>
      <c r="H3" s="19" t="s">
        <v>51</v>
      </c>
      <c r="I3" s="19" t="s">
        <v>2</v>
      </c>
      <c r="J3" s="19" t="s">
        <v>21</v>
      </c>
      <c r="K3" s="19" t="s">
        <v>37</v>
      </c>
      <c r="L3" s="19" t="s">
        <v>38</v>
      </c>
      <c r="M3" s="19" t="s">
        <v>4</v>
      </c>
      <c r="N3" s="19" t="s">
        <v>5</v>
      </c>
      <c r="O3" s="19" t="s">
        <v>6</v>
      </c>
      <c r="P3" s="19" t="s">
        <v>22</v>
      </c>
    </row>
    <row r="4" spans="1:16" s="18" customFormat="1" ht="15" customHeight="1" x14ac:dyDescent="0.2">
      <c r="A4" s="20" t="s">
        <v>70</v>
      </c>
      <c r="B4" s="19"/>
      <c r="C4" s="22">
        <f>C5*(1+$H$25)</f>
        <v>907844.24037334672</v>
      </c>
      <c r="D4" s="22">
        <f>D5*(1+$H$25)</f>
        <v>169210.21776076485</v>
      </c>
      <c r="E4" s="22">
        <f>E5*(1+$H$25)</f>
        <v>5242628.6112954253</v>
      </c>
      <c r="F4" s="22">
        <f>G4*12</f>
        <v>6319683.0694295364</v>
      </c>
      <c r="G4" s="22">
        <f>G5*(1+$H$25)</f>
        <v>526640.2557857947</v>
      </c>
      <c r="H4" s="26" t="s">
        <v>67</v>
      </c>
      <c r="I4" s="22">
        <f>F4-F5</f>
        <v>450735.19663093332</v>
      </c>
      <c r="J4" s="24">
        <f t="shared" ref="J4:J6" si="0">I4/F5</f>
        <v>7.6800000000000104E-2</v>
      </c>
      <c r="K4" s="31">
        <f t="shared" ref="K4:K6" si="1">N4*G4</f>
        <v>14217416273.133478</v>
      </c>
      <c r="L4" s="31">
        <f t="shared" ref="L4:L6" si="2">K4-K5</f>
        <v>1039059651.8900318</v>
      </c>
      <c r="M4" s="25">
        <f t="shared" ref="M4:M6" si="3">L4/K5</f>
        <v>7.8845920000000055E-2</v>
      </c>
      <c r="N4" s="23">
        <f t="shared" ref="N4:N6" si="4">(1+P4)*N5</f>
        <v>26996.447986908657</v>
      </c>
      <c r="O4" s="23">
        <f t="shared" ref="O4:O6" si="5">N4-N5</f>
        <v>51.195978815376293</v>
      </c>
      <c r="P4" s="24">
        <f>$H$27</f>
        <v>1.9E-3</v>
      </c>
    </row>
    <row r="5" spans="1:16" s="18" customFormat="1" ht="15" customHeight="1" x14ac:dyDescent="0.2">
      <c r="A5" s="20" t="s">
        <v>69</v>
      </c>
      <c r="B5" s="19"/>
      <c r="C5" s="22">
        <f>C6*(1+$H$25)</f>
        <v>843094.57686974993</v>
      </c>
      <c r="D5" s="22">
        <f>D6*(1+$H$25)</f>
        <v>157141.73269016051</v>
      </c>
      <c r="E5" s="22">
        <f>E6*(1+$H$25)</f>
        <v>4868711.5632386934</v>
      </c>
      <c r="F5" s="22">
        <f t="shared" ref="F5:F8" si="6">G5*12</f>
        <v>5868947.872798603</v>
      </c>
      <c r="G5" s="22">
        <f>G6*(1+$H$25)</f>
        <v>489078.98939988361</v>
      </c>
      <c r="H5" s="26" t="s">
        <v>67</v>
      </c>
      <c r="I5" s="22">
        <f>F5-F6</f>
        <v>418587.66403318383</v>
      </c>
      <c r="J5" s="24">
        <f t="shared" si="0"/>
        <v>7.6799999999999938E-2</v>
      </c>
      <c r="K5" s="31">
        <f>N5*G5</f>
        <v>13178356621.243446</v>
      </c>
      <c r="L5" s="31">
        <f t="shared" si="2"/>
        <v>963121454.72082901</v>
      </c>
      <c r="M5" s="25">
        <f t="shared" si="3"/>
        <v>7.884592E-2</v>
      </c>
      <c r="N5" s="23">
        <f t="shared" si="4"/>
        <v>26945.252008093281</v>
      </c>
      <c r="O5" s="23">
        <f t="shared" si="5"/>
        <v>51.098890922625287</v>
      </c>
      <c r="P5" s="24">
        <f>$H$27</f>
        <v>1.9E-3</v>
      </c>
    </row>
    <row r="6" spans="1:16" s="18" customFormat="1" ht="15" customHeight="1" x14ac:dyDescent="0.2">
      <c r="A6" s="20" t="s">
        <v>68</v>
      </c>
      <c r="B6" s="19"/>
      <c r="C6" s="22">
        <f>C7*(1+$H$25)</f>
        <v>782963.01715244236</v>
      </c>
      <c r="D6" s="22">
        <f>D7*(1+$H$25)</f>
        <v>145934.00138387864</v>
      </c>
      <c r="E6" s="22">
        <f>E7*(1+$H$25)</f>
        <v>4521463.1902290983</v>
      </c>
      <c r="F6" s="22">
        <f t="shared" si="6"/>
        <v>5450360.2087654192</v>
      </c>
      <c r="G6" s="22">
        <f>G7*(1+$H$25)</f>
        <v>454196.68406378495</v>
      </c>
      <c r="H6" s="26" t="s">
        <v>67</v>
      </c>
      <c r="I6" s="22">
        <f t="shared" ref="I6" si="7">F6-F7</f>
        <v>388732.97179901879</v>
      </c>
      <c r="J6" s="24">
        <f t="shared" si="0"/>
        <v>7.6799999999999854E-2</v>
      </c>
      <c r="K6" s="31">
        <f t="shared" si="1"/>
        <v>12215235166.522617</v>
      </c>
      <c r="L6" s="31">
        <f t="shared" si="2"/>
        <v>892733092.71154213</v>
      </c>
      <c r="M6" s="25">
        <f t="shared" si="3"/>
        <v>7.884592E-2</v>
      </c>
      <c r="N6" s="23">
        <f t="shared" si="4"/>
        <v>26894.153117170656</v>
      </c>
      <c r="O6" s="23">
        <f t="shared" si="5"/>
        <v>51.001987147046748</v>
      </c>
      <c r="P6" s="24">
        <f>$H$27</f>
        <v>1.9E-3</v>
      </c>
    </row>
    <row r="7" spans="1:16" x14ac:dyDescent="0.2">
      <c r="A7" s="20" t="s">
        <v>23</v>
      </c>
      <c r="B7" s="21"/>
      <c r="C7" s="22">
        <f>C8*(1+$H$25)</f>
        <v>727120.18680576002</v>
      </c>
      <c r="D7" s="22">
        <f>D8*(1+$H$25)</f>
        <v>135525.63278592</v>
      </c>
      <c r="E7" s="22">
        <f>E8*(1+$H$25)</f>
        <v>4198981.4173747199</v>
      </c>
      <c r="F7" s="22">
        <f t="shared" si="6"/>
        <v>5061627.2369664004</v>
      </c>
      <c r="G7" s="22">
        <f>G8*(1+$H$25)</f>
        <v>421802.26974720001</v>
      </c>
      <c r="H7" s="26" t="s">
        <v>67</v>
      </c>
      <c r="I7" s="22">
        <f>F7-F8</f>
        <v>361007.58896640036</v>
      </c>
      <c r="J7" s="24">
        <f>I7/F8</f>
        <v>7.6800000000000077E-2</v>
      </c>
      <c r="K7" s="31">
        <f>N7*G7</f>
        <v>11322502073.811075</v>
      </c>
      <c r="L7" s="31">
        <f>K7-K8</f>
        <v>827488964.05108643</v>
      </c>
      <c r="M7" s="25">
        <f>L7/K8</f>
        <v>7.8845919999999917E-2</v>
      </c>
      <c r="N7" s="23">
        <f>(1+P7)*N8</f>
        <v>26843.151130023609</v>
      </c>
      <c r="O7" s="23">
        <f>N7-N8</f>
        <v>50.905267139478383</v>
      </c>
      <c r="P7" s="24">
        <f>$H$27</f>
        <v>1.9E-3</v>
      </c>
    </row>
    <row r="8" spans="1:16" x14ac:dyDescent="0.2">
      <c r="A8" s="20" t="s">
        <v>24</v>
      </c>
      <c r="B8" s="21"/>
      <c r="C8" s="22">
        <f>C10*(1+$H$25)</f>
        <v>675260.20319999999</v>
      </c>
      <c r="D8" s="22">
        <f t="shared" ref="C8:D8" si="8">D10*(1+$H$25)</f>
        <v>125859.61439999999</v>
      </c>
      <c r="E8" s="22">
        <f>E10*(1+$H$25)</f>
        <v>3899499.8303999999</v>
      </c>
      <c r="F8" s="22">
        <f t="shared" si="6"/>
        <v>4700619.648</v>
      </c>
      <c r="G8" s="22">
        <f>G10*(1+$H$25)</f>
        <v>391718.304</v>
      </c>
      <c r="H8" s="26" t="s">
        <v>67</v>
      </c>
      <c r="I8" s="22">
        <f>F8-F10</f>
        <v>335259.64800000004</v>
      </c>
      <c r="J8" s="24">
        <f>I8/F10</f>
        <v>7.6800000000000007E-2</v>
      </c>
      <c r="K8" s="31">
        <f>N8*G8</f>
        <v>10495013109.759989</v>
      </c>
      <c r="L8" s="31">
        <f>K8-K10</f>
        <v>767013109.75998878</v>
      </c>
      <c r="M8" s="25">
        <f>L8/K10</f>
        <v>7.8845919999998848E-2</v>
      </c>
      <c r="N8" s="23">
        <f>(1+P8)*N10</f>
        <v>26792.24586288413</v>
      </c>
      <c r="O8" s="23">
        <f>N8-N10</f>
        <v>50.808730551430926</v>
      </c>
      <c r="P8" s="24">
        <f>$H$27</f>
        <v>1.9E-3</v>
      </c>
    </row>
    <row r="9" spans="1:16" x14ac:dyDescent="0.2">
      <c r="A9" s="20" t="s">
        <v>72</v>
      </c>
      <c r="B9" s="21">
        <v>2</v>
      </c>
      <c r="C9" s="22">
        <v>124444</v>
      </c>
      <c r="D9" s="22">
        <v>19567</v>
      </c>
      <c r="E9" s="22">
        <v>611997</v>
      </c>
      <c r="F9" s="22">
        <v>756008</v>
      </c>
      <c r="G9" s="22">
        <v>378004</v>
      </c>
      <c r="H9" s="26">
        <v>378065</v>
      </c>
      <c r="I9" s="47" t="s">
        <v>67</v>
      </c>
      <c r="J9" s="26" t="s">
        <v>67</v>
      </c>
      <c r="K9" s="26" t="s">
        <v>67</v>
      </c>
      <c r="L9" s="26" t="s">
        <v>67</v>
      </c>
      <c r="M9" s="26" t="s">
        <v>67</v>
      </c>
      <c r="N9" s="26" t="s">
        <v>67</v>
      </c>
      <c r="O9" s="26" t="s">
        <v>67</v>
      </c>
      <c r="P9" s="26" t="s">
        <v>67</v>
      </c>
    </row>
    <row r="10" spans="1:16" x14ac:dyDescent="0.2">
      <c r="A10" s="20" t="s">
        <v>73</v>
      </c>
      <c r="B10" s="21">
        <v>12</v>
      </c>
      <c r="C10" s="22">
        <v>627099</v>
      </c>
      <c r="D10" s="22">
        <v>116883</v>
      </c>
      <c r="E10" s="22">
        <v>3621378</v>
      </c>
      <c r="F10" s="22">
        <v>4365360</v>
      </c>
      <c r="G10" s="22">
        <v>363780</v>
      </c>
      <c r="H10" s="26">
        <v>373961</v>
      </c>
      <c r="I10" s="22">
        <v>465499</v>
      </c>
      <c r="J10" s="48">
        <v>0.11936297216746899</v>
      </c>
      <c r="K10" s="31">
        <v>9728000000</v>
      </c>
      <c r="L10" s="31">
        <v>863000000</v>
      </c>
      <c r="M10" s="25">
        <v>9.7349125775521697E-2</v>
      </c>
      <c r="N10" s="23">
        <v>26741.4371323327</v>
      </c>
      <c r="O10" s="23">
        <v>-536.45815675577899</v>
      </c>
      <c r="P10" s="25">
        <v>-1.9666405749800199E-2</v>
      </c>
    </row>
    <row r="11" spans="1:16" x14ac:dyDescent="0.2">
      <c r="A11" s="20" t="s">
        <v>25</v>
      </c>
      <c r="B11" s="21">
        <v>12</v>
      </c>
      <c r="C11" s="22">
        <v>495854</v>
      </c>
      <c r="D11" s="22">
        <v>111731</v>
      </c>
      <c r="E11" s="22">
        <v>3292276</v>
      </c>
      <c r="F11" s="22">
        <v>3899861</v>
      </c>
      <c r="G11" s="22">
        <v>324988.41666666599</v>
      </c>
      <c r="H11" s="26">
        <v>333060</v>
      </c>
      <c r="I11" s="22">
        <v>367152</v>
      </c>
      <c r="J11" s="48">
        <v>0.10392930750877</v>
      </c>
      <c r="K11" s="31">
        <v>8865000000</v>
      </c>
      <c r="L11" s="31">
        <v>1251000000</v>
      </c>
      <c r="M11" s="25">
        <v>0.164302600472813</v>
      </c>
      <c r="N11" s="23">
        <v>27277.895289088501</v>
      </c>
      <c r="O11" s="23">
        <v>1414.45734387423</v>
      </c>
      <c r="P11" s="25">
        <v>5.4689455704629499E-2</v>
      </c>
    </row>
    <row r="12" spans="1:16" x14ac:dyDescent="0.2">
      <c r="A12" s="20" t="s">
        <v>26</v>
      </c>
      <c r="B12" s="21">
        <v>12</v>
      </c>
      <c r="C12" s="22">
        <v>417691</v>
      </c>
      <c r="D12" s="22">
        <v>92371</v>
      </c>
      <c r="E12" s="22">
        <v>3022647</v>
      </c>
      <c r="F12" s="22">
        <v>3532709</v>
      </c>
      <c r="G12" s="22">
        <v>294392.41666666599</v>
      </c>
      <c r="H12" s="26">
        <v>300026</v>
      </c>
      <c r="I12" s="22">
        <v>182444</v>
      </c>
      <c r="J12" s="48">
        <v>5.4456587762460498E-2</v>
      </c>
      <c r="K12" s="31">
        <v>7614000000</v>
      </c>
      <c r="L12" s="31">
        <v>-83000000</v>
      </c>
      <c r="M12" s="25">
        <v>-1.07834221125113E-2</v>
      </c>
      <c r="N12" s="23">
        <v>25863.437945214198</v>
      </c>
      <c r="O12" s="23">
        <v>-1705.7244941748399</v>
      </c>
      <c r="P12" s="25">
        <v>-6.1870740466812603E-2</v>
      </c>
    </row>
    <row r="13" spans="1:16" x14ac:dyDescent="0.2">
      <c r="A13" s="20" t="s">
        <v>27</v>
      </c>
      <c r="B13" s="21">
        <v>12</v>
      </c>
      <c r="C13" s="22">
        <v>359128</v>
      </c>
      <c r="D13" s="22">
        <v>67561</v>
      </c>
      <c r="E13" s="22">
        <v>2923576</v>
      </c>
      <c r="F13" s="22">
        <v>3350265</v>
      </c>
      <c r="G13" s="22">
        <v>279188.75</v>
      </c>
      <c r="H13" s="26">
        <v>281667</v>
      </c>
      <c r="I13" s="22">
        <v>58282</v>
      </c>
      <c r="J13" s="48">
        <v>1.7704222652425598E-2</v>
      </c>
      <c r="K13" s="31">
        <v>7697000000</v>
      </c>
      <c r="L13" s="31">
        <v>482000000</v>
      </c>
      <c r="M13" s="25">
        <v>6.68052668052668E-2</v>
      </c>
      <c r="N13" s="23">
        <v>27569.1624393891</v>
      </c>
      <c r="O13" s="23">
        <v>1268.9051172826601</v>
      </c>
      <c r="P13" s="25">
        <v>4.8246870809742701E-2</v>
      </c>
    </row>
    <row r="14" spans="1:16" x14ac:dyDescent="0.2">
      <c r="A14" s="20" t="s">
        <v>28</v>
      </c>
      <c r="B14" s="21">
        <v>12</v>
      </c>
      <c r="C14" s="22">
        <v>274950</v>
      </c>
      <c r="D14" s="22">
        <v>66683</v>
      </c>
      <c r="E14" s="22">
        <v>2950350</v>
      </c>
      <c r="F14" s="22">
        <v>3291983</v>
      </c>
      <c r="G14" s="22">
        <v>274331.91666666599</v>
      </c>
      <c r="H14" s="26">
        <v>272732</v>
      </c>
      <c r="I14" s="22">
        <v>84031</v>
      </c>
      <c r="J14" s="48">
        <v>2.61945939340738E-2</v>
      </c>
      <c r="K14" s="31">
        <v>7215000000</v>
      </c>
      <c r="L14" s="31">
        <v>-550000000</v>
      </c>
      <c r="M14" s="25">
        <v>-7.0830650354153202E-2</v>
      </c>
      <c r="N14" s="23">
        <v>26300.257322106401</v>
      </c>
      <c r="O14" s="23">
        <v>-2746.3119532442902</v>
      </c>
      <c r="P14" s="25">
        <v>-9.4548582560999503E-2</v>
      </c>
    </row>
    <row r="15" spans="1:16" x14ac:dyDescent="0.2">
      <c r="A15" s="20" t="s">
        <v>29</v>
      </c>
      <c r="B15" s="21">
        <v>12</v>
      </c>
      <c r="C15" s="22">
        <v>212188</v>
      </c>
      <c r="D15" s="22">
        <v>69079</v>
      </c>
      <c r="E15" s="22">
        <v>2926685</v>
      </c>
      <c r="F15" s="22">
        <v>3207952</v>
      </c>
      <c r="G15" s="22">
        <v>267329.33333333302</v>
      </c>
      <c r="H15" s="26">
        <v>274097</v>
      </c>
      <c r="I15" s="22">
        <v>391595</v>
      </c>
      <c r="J15" s="48">
        <v>0.13904309716417301</v>
      </c>
      <c r="K15" s="31">
        <v>7765000000</v>
      </c>
      <c r="L15" s="31">
        <v>1480000000</v>
      </c>
      <c r="M15" s="25">
        <v>0.235481304693715</v>
      </c>
      <c r="N15" s="23">
        <v>29046.569275350699</v>
      </c>
      <c r="O15" s="23">
        <v>2267.2937786718799</v>
      </c>
      <c r="P15" s="25">
        <v>8.4665986536979806E-2</v>
      </c>
    </row>
    <row r="16" spans="1:16" x14ac:dyDescent="0.2">
      <c r="A16" s="20" t="s">
        <v>30</v>
      </c>
      <c r="B16" s="21">
        <v>12</v>
      </c>
      <c r="C16" s="22">
        <v>147375</v>
      </c>
      <c r="D16" s="22">
        <v>68798</v>
      </c>
      <c r="E16" s="22">
        <v>2600184</v>
      </c>
      <c r="F16" s="22">
        <v>2816357</v>
      </c>
      <c r="G16" s="22">
        <v>234696.41666666599</v>
      </c>
      <c r="H16" s="26">
        <v>242484</v>
      </c>
      <c r="I16" s="22">
        <v>358795</v>
      </c>
      <c r="J16" s="48">
        <v>0.14599631667481799</v>
      </c>
      <c r="K16" s="31">
        <v>6285000000</v>
      </c>
      <c r="L16" s="31">
        <v>473000000</v>
      </c>
      <c r="M16" s="25">
        <v>8.1383344803853994E-2</v>
      </c>
      <c r="N16" s="23">
        <v>26779.275496678802</v>
      </c>
      <c r="O16" s="23">
        <v>-1600.0695615536299</v>
      </c>
      <c r="P16" s="25">
        <v>-5.6381483021204402E-2</v>
      </c>
    </row>
    <row r="17" spans="1:16" x14ac:dyDescent="0.2">
      <c r="A17" s="20" t="s">
        <v>31</v>
      </c>
      <c r="B17" s="21">
        <v>12</v>
      </c>
      <c r="C17" s="22">
        <v>102662</v>
      </c>
      <c r="D17" s="22">
        <v>68264</v>
      </c>
      <c r="E17" s="22">
        <v>2286636</v>
      </c>
      <c r="F17" s="22">
        <v>2457562</v>
      </c>
      <c r="G17" s="22">
        <v>204796.83333333299</v>
      </c>
      <c r="H17" s="26">
        <v>211642</v>
      </c>
      <c r="I17" s="22">
        <v>357018</v>
      </c>
      <c r="J17" s="48">
        <v>0.16996454251850901</v>
      </c>
      <c r="K17" s="31">
        <v>5812000000</v>
      </c>
      <c r="L17" s="31">
        <v>1200000000</v>
      </c>
      <c r="M17" s="25">
        <v>0.26019080659150001</v>
      </c>
      <c r="N17" s="23">
        <v>28379.345058232499</v>
      </c>
      <c r="O17" s="23">
        <v>2031.8845908488099</v>
      </c>
      <c r="P17" s="25">
        <v>7.7118802146573004E-2</v>
      </c>
    </row>
    <row r="18" spans="1:16" x14ac:dyDescent="0.2">
      <c r="A18" s="20" t="s">
        <v>32</v>
      </c>
      <c r="B18" s="21">
        <v>12</v>
      </c>
      <c r="C18" s="22">
        <v>75216</v>
      </c>
      <c r="D18" s="22">
        <v>67232</v>
      </c>
      <c r="E18" s="22">
        <v>1958096</v>
      </c>
      <c r="F18" s="22">
        <v>2100544</v>
      </c>
      <c r="G18" s="22">
        <v>175045.33333333299</v>
      </c>
      <c r="H18" s="26">
        <v>182251</v>
      </c>
      <c r="I18" s="22">
        <v>364480</v>
      </c>
      <c r="J18" s="48">
        <v>0.20994617709946101</v>
      </c>
      <c r="K18" s="31">
        <v>4612000000</v>
      </c>
      <c r="L18" s="31">
        <v>819000000</v>
      </c>
      <c r="M18" s="25">
        <v>0.21592407065647201</v>
      </c>
      <c r="N18" s="23">
        <v>26347.4604673836</v>
      </c>
      <c r="O18" s="23">
        <v>129.533017704412</v>
      </c>
      <c r="P18" s="25">
        <v>4.9406276660513403E-3</v>
      </c>
    </row>
    <row r="19" spans="1:16" x14ac:dyDescent="0.2">
      <c r="A19" s="20" t="s">
        <v>33</v>
      </c>
      <c r="B19" s="21">
        <v>12</v>
      </c>
      <c r="C19" s="22">
        <v>72207</v>
      </c>
      <c r="D19" s="22">
        <v>65801</v>
      </c>
      <c r="E19" s="22">
        <v>1598056</v>
      </c>
      <c r="F19" s="22">
        <v>1736064</v>
      </c>
      <c r="G19" s="22">
        <v>144672</v>
      </c>
      <c r="H19" s="26">
        <v>149436</v>
      </c>
      <c r="I19" s="22">
        <v>114229</v>
      </c>
      <c r="J19" s="48">
        <v>7.0431948996044602E-2</v>
      </c>
      <c r="K19" s="31">
        <v>3793000000</v>
      </c>
      <c r="L19" s="49">
        <v>322000000</v>
      </c>
      <c r="M19" s="25">
        <v>9.2768654566407302E-2</v>
      </c>
      <c r="N19" s="23">
        <v>26217.927449679199</v>
      </c>
      <c r="O19" s="23">
        <v>535.90677556630897</v>
      </c>
      <c r="P19" s="25">
        <v>2.08670019531015E-2</v>
      </c>
    </row>
    <row r="20" spans="1:16" x14ac:dyDescent="0.2">
      <c r="A20" s="20" t="s">
        <v>34</v>
      </c>
      <c r="B20" s="21">
        <v>12</v>
      </c>
      <c r="C20" s="22">
        <v>68842</v>
      </c>
      <c r="D20" s="22">
        <v>67387</v>
      </c>
      <c r="E20" s="22">
        <v>1485606</v>
      </c>
      <c r="F20" s="22">
        <v>1621835</v>
      </c>
      <c r="G20" s="22">
        <v>135152.91666666599</v>
      </c>
      <c r="H20" s="26">
        <v>139204</v>
      </c>
      <c r="I20" s="47" t="s">
        <v>67</v>
      </c>
      <c r="J20" s="48" t="s">
        <v>67</v>
      </c>
      <c r="K20" s="31">
        <v>3471000000</v>
      </c>
      <c r="L20" s="49" t="s">
        <v>67</v>
      </c>
      <c r="M20" s="48" t="s">
        <v>67</v>
      </c>
      <c r="N20" s="23">
        <v>25682.0206741129</v>
      </c>
      <c r="O20" s="26" t="s">
        <v>67</v>
      </c>
      <c r="P20" s="48" t="s">
        <v>67</v>
      </c>
    </row>
    <row r="22" spans="1:16" ht="16" thickBot="1" x14ac:dyDescent="0.25">
      <c r="A22" s="27" t="s">
        <v>41</v>
      </c>
      <c r="H22" s="27" t="s">
        <v>43</v>
      </c>
    </row>
    <row r="23" spans="1:16" ht="16" x14ac:dyDescent="0.2">
      <c r="A23" t="s">
        <v>42</v>
      </c>
      <c r="H23" s="3" t="s">
        <v>71</v>
      </c>
    </row>
    <row r="24" spans="1:16" x14ac:dyDescent="0.2">
      <c r="A24" t="str">
        <f>_xlfn.CONCAT("(2) Full-year Enrollment 2025 Estimate Represents YTD annualized. Months in YTD = ",B9,".")</f>
        <v>(2) Full-year Enrollment 2025 Estimate Represents YTD annualized. Months in YTD = 2.</v>
      </c>
      <c r="H24" t="s">
        <v>35</v>
      </c>
    </row>
    <row r="25" spans="1:16" ht="16" x14ac:dyDescent="0.2">
      <c r="A25" t="str">
        <f>_xlfn.CONCAT("(3) FY25 full-year spending estimate is based an assumption of per capita spending growth = ",ROUND(H27*100,2),"%")</f>
        <v>(3) FY25 full-year spending estimate is based an assumption of per capita spending growth = 0.19%</v>
      </c>
      <c r="H25" s="11">
        <v>7.6799999999999993E-2</v>
      </c>
    </row>
    <row r="26" spans="1:16" x14ac:dyDescent="0.2">
      <c r="H26" t="s">
        <v>36</v>
      </c>
    </row>
    <row r="27" spans="1:16" ht="16" x14ac:dyDescent="0.2">
      <c r="H27" s="11">
        <v>1.9E-3</v>
      </c>
    </row>
    <row r="29" spans="1:16" ht="16" thickBot="1" x14ac:dyDescent="0.25">
      <c r="A29" s="27" t="s">
        <v>44</v>
      </c>
    </row>
    <row r="30" spans="1:16" x14ac:dyDescent="0.2">
      <c r="A30" t="s">
        <v>45</v>
      </c>
    </row>
    <row r="31" spans="1:16" x14ac:dyDescent="0.2">
      <c r="A31" t="s">
        <v>54</v>
      </c>
    </row>
    <row r="32" spans="1:16" x14ac:dyDescent="0.2">
      <c r="A32" t="s">
        <v>46</v>
      </c>
    </row>
    <row r="33" spans="1:1" x14ac:dyDescent="0.2">
      <c r="A33" t="s">
        <v>55</v>
      </c>
    </row>
    <row r="34" spans="1:1" x14ac:dyDescent="0.2">
      <c r="A34" t="s">
        <v>47</v>
      </c>
    </row>
    <row r="35" spans="1:1" x14ac:dyDescent="0.2">
      <c r="A35" t="s">
        <v>48</v>
      </c>
    </row>
    <row r="36" spans="1:1" x14ac:dyDescent="0.2">
      <c r="A36" t="s">
        <v>56</v>
      </c>
    </row>
    <row r="37" spans="1:1" x14ac:dyDescent="0.2">
      <c r="A37" t="s">
        <v>57</v>
      </c>
    </row>
    <row r="38" spans="1:1" x14ac:dyDescent="0.2">
      <c r="A38" t="s">
        <v>66</v>
      </c>
    </row>
    <row r="39" spans="1:1" x14ac:dyDescent="0.2">
      <c r="A39" t="s">
        <v>58</v>
      </c>
    </row>
    <row r="40" spans="1:1" x14ac:dyDescent="0.2">
      <c r="A40" t="s">
        <v>49</v>
      </c>
    </row>
    <row r="41" spans="1:1" x14ac:dyDescent="0.2">
      <c r="A41" t="s">
        <v>50</v>
      </c>
    </row>
  </sheetData>
  <sortState xmlns:xlrd2="http://schemas.microsoft.com/office/spreadsheetml/2017/richdata2" ref="A7:P20">
    <sortCondition descending="1" ref="A9:A20"/>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1" sqref="R21"/>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4" t="s">
        <v>9</v>
      </c>
      <c r="Q2" s="65"/>
      <c r="R2" s="65"/>
      <c r="S2" s="66"/>
    </row>
    <row r="3" spans="16:19" ht="16" thickTop="1" x14ac:dyDescent="0.2">
      <c r="P3" s="67" t="s">
        <v>39</v>
      </c>
      <c r="Q3" s="68"/>
      <c r="R3" s="68"/>
      <c r="S3" s="69"/>
    </row>
    <row r="4" spans="16:19" x14ac:dyDescent="0.2">
      <c r="P4" s="13"/>
      <c r="Q4" s="40"/>
      <c r="R4" s="40"/>
      <c r="S4" s="14"/>
    </row>
    <row r="5" spans="16:19" ht="16" thickBot="1" x14ac:dyDescent="0.25">
      <c r="P5" s="61" t="s">
        <v>20</v>
      </c>
      <c r="Q5" s="62"/>
      <c r="R5" s="62"/>
      <c r="S5" s="63"/>
    </row>
    <row r="6" spans="16:19" x14ac:dyDescent="0.2">
      <c r="P6" s="6" t="s">
        <v>10</v>
      </c>
      <c r="Q6" s="16">
        <f>AVERAGE(projection_data!E12)</f>
        <v>0.11936297216746899</v>
      </c>
      <c r="R6" s="16"/>
      <c r="S6" s="14"/>
    </row>
    <row r="7" spans="16:19" x14ac:dyDescent="0.2">
      <c r="P7" s="6" t="s">
        <v>11</v>
      </c>
      <c r="Q7" s="16">
        <f>AVERAGE(projection_data!E10:E12)</f>
        <v>9.2582955812899867E-2</v>
      </c>
      <c r="R7" s="16"/>
      <c r="S7" s="14"/>
    </row>
    <row r="8" spans="16:19" x14ac:dyDescent="0.2">
      <c r="P8" s="6" t="s">
        <v>12</v>
      </c>
      <c r="Q8" s="16">
        <f>AVERAGE(projection_data!E7:E12)</f>
        <v>7.6781796864895321E-2</v>
      </c>
      <c r="R8" s="16"/>
      <c r="S8" s="14"/>
    </row>
    <row r="9" spans="16:19" x14ac:dyDescent="0.2">
      <c r="P9" s="13"/>
      <c r="Q9" s="40"/>
      <c r="R9" s="40"/>
      <c r="S9" s="14"/>
    </row>
    <row r="10" spans="16:19" ht="16" thickBot="1" x14ac:dyDescent="0.25">
      <c r="P10" s="61" t="s">
        <v>63</v>
      </c>
      <c r="Q10" s="62"/>
      <c r="R10" s="62"/>
      <c r="S10" s="63"/>
    </row>
    <row r="11" spans="16:19" x14ac:dyDescent="0.2">
      <c r="P11" s="6" t="s">
        <v>10</v>
      </c>
      <c r="Q11" s="41">
        <f>AVERAGE(projection_data!G12)</f>
        <v>-1.9666405749800199E-2</v>
      </c>
      <c r="R11" s="41"/>
      <c r="S11" s="14"/>
    </row>
    <row r="12" spans="16:19" x14ac:dyDescent="0.2">
      <c r="P12" s="6" t="s">
        <v>11</v>
      </c>
      <c r="Q12" s="41">
        <f>AVERAGE(projection_data!G10:G12)</f>
        <v>-8.9492301706611006E-3</v>
      </c>
      <c r="R12" s="41"/>
      <c r="S12" s="14"/>
    </row>
    <row r="13" spans="16:19" x14ac:dyDescent="0.2">
      <c r="P13" s="6" t="s">
        <v>12</v>
      </c>
      <c r="Q13" s="41">
        <f>AVERAGE(projection_data!G7:G12)</f>
        <v>1.9194307122899501E-3</v>
      </c>
      <c r="R13" s="41"/>
      <c r="S13" s="14"/>
    </row>
    <row r="14" spans="16:19" x14ac:dyDescent="0.2">
      <c r="P14" s="13"/>
      <c r="Q14" s="40"/>
      <c r="R14" s="40"/>
      <c r="S14" s="14"/>
    </row>
    <row r="15" spans="16:19" ht="18" thickBot="1" x14ac:dyDescent="0.25">
      <c r="P15" s="58" t="s">
        <v>8</v>
      </c>
      <c r="Q15" s="59"/>
      <c r="R15" s="59"/>
      <c r="S15" s="60"/>
    </row>
    <row r="16" spans="16:19" ht="16" thickTop="1" x14ac:dyDescent="0.2">
      <c r="P16" s="36" t="s">
        <v>13</v>
      </c>
      <c r="Q16" s="40"/>
      <c r="R16" s="40"/>
      <c r="S16" s="14"/>
    </row>
    <row r="17" spans="16:19" ht="16" customHeight="1" x14ac:dyDescent="0.2">
      <c r="P17" s="55" t="s">
        <v>71</v>
      </c>
      <c r="Q17" s="56"/>
      <c r="R17" s="56"/>
      <c r="S17" s="57"/>
    </row>
    <row r="18" spans="16:19" x14ac:dyDescent="0.2">
      <c r="P18" s="55"/>
      <c r="Q18" s="56"/>
      <c r="R18" s="56"/>
      <c r="S18" s="57"/>
    </row>
    <row r="19" spans="16:19" ht="16" thickBot="1" x14ac:dyDescent="0.25">
      <c r="P19" s="15" t="s">
        <v>20</v>
      </c>
      <c r="Q19" s="40"/>
      <c r="R19" s="39" t="s">
        <v>64</v>
      </c>
      <c r="S19" s="14"/>
    </row>
    <row r="20" spans="16:19" ht="16" x14ac:dyDescent="0.2">
      <c r="P20" s="12">
        <v>7.6799999999999993E-2</v>
      </c>
      <c r="Q20" s="3"/>
      <c r="R20" s="44">
        <v>1.9E-3</v>
      </c>
      <c r="S20" s="5"/>
    </row>
    <row r="21" spans="16:19" x14ac:dyDescent="0.2">
      <c r="P21" s="4"/>
      <c r="S21" s="5"/>
    </row>
    <row r="22" spans="16:19" x14ac:dyDescent="0.2">
      <c r="P22" s="36" t="s">
        <v>65</v>
      </c>
      <c r="S22" s="5"/>
    </row>
    <row r="23" spans="16:19" ht="33" thickBot="1" x14ac:dyDescent="0.25">
      <c r="P23" s="37" t="s">
        <v>19</v>
      </c>
      <c r="Q23" s="42" t="s">
        <v>20</v>
      </c>
      <c r="R23" s="42" t="s">
        <v>18</v>
      </c>
      <c r="S23" s="38" t="s">
        <v>3</v>
      </c>
    </row>
    <row r="24" spans="16:19" ht="16" x14ac:dyDescent="0.2">
      <c r="P24" s="7" t="str" cm="1">
        <f t="array" ref="P24:P28">projection_data!B13:B17</f>
        <v>FY26</v>
      </c>
      <c r="Q24" s="43" cm="1">
        <f t="array" ref="Q24:Q28">projection_data!D13:D17</f>
        <v>391718.304</v>
      </c>
      <c r="R24" s="32" cm="1">
        <f t="array" ref="R24:R28">projection_data!F13:F17</f>
        <v>26792.24586288413</v>
      </c>
      <c r="S24" s="34" cm="1">
        <f t="array" ref="S24:S28">projection_data!C13:C17</f>
        <v>10495013109.759989</v>
      </c>
    </row>
    <row r="25" spans="16:19" ht="16" customHeight="1" x14ac:dyDescent="0.2">
      <c r="P25" s="7" t="str">
        <v>FY27</v>
      </c>
      <c r="Q25" s="43">
        <v>421802.26974720001</v>
      </c>
      <c r="R25" s="32">
        <v>26843.151130023609</v>
      </c>
      <c r="S25" s="34">
        <v>11322502073.811075</v>
      </c>
    </row>
    <row r="26" spans="16:19" ht="16" x14ac:dyDescent="0.2">
      <c r="P26" s="7" t="str">
        <v>FY28</v>
      </c>
      <c r="Q26" s="43">
        <v>454196.68406378495</v>
      </c>
      <c r="R26" s="32">
        <v>26894.153117170656</v>
      </c>
      <c r="S26" s="34">
        <v>12215235166.522617</v>
      </c>
    </row>
    <row r="27" spans="16:19" ht="16" x14ac:dyDescent="0.2">
      <c r="P27" s="7" t="str">
        <v>FY29</v>
      </c>
      <c r="Q27" s="43">
        <v>489078.98939988361</v>
      </c>
      <c r="R27" s="32">
        <v>26945.252008093281</v>
      </c>
      <c r="S27" s="34">
        <v>13178356621.243446</v>
      </c>
    </row>
    <row r="28" spans="16:19" ht="17" thickBot="1" x14ac:dyDescent="0.25">
      <c r="P28" s="8" t="str">
        <v>FY30</v>
      </c>
      <c r="Q28" s="9">
        <v>526640.2557857947</v>
      </c>
      <c r="R28" s="33">
        <v>26996.447986908657</v>
      </c>
      <c r="S28" s="35">
        <v>14217416273.133478</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7"/>
  <sheetViews>
    <sheetView workbookViewId="0">
      <selection activeCell="D25" sqref="D25"/>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5" customFormat="1" ht="16" x14ac:dyDescent="0.2">
      <c r="A1" s="45" t="s">
        <v>14</v>
      </c>
      <c r="B1" s="45" t="s">
        <v>0</v>
      </c>
      <c r="C1" s="45" t="s">
        <v>3</v>
      </c>
      <c r="D1" s="46" t="s">
        <v>20</v>
      </c>
      <c r="E1" s="46" t="s">
        <v>40</v>
      </c>
      <c r="F1" s="45" t="s">
        <v>5</v>
      </c>
      <c r="G1" s="45" t="s">
        <v>7</v>
      </c>
    </row>
    <row r="2" spans="1:7" x14ac:dyDescent="0.2">
      <c r="A2" t="s">
        <v>15</v>
      </c>
      <c r="B2" t="s">
        <v>34</v>
      </c>
      <c r="C2" s="2">
        <v>3471000000</v>
      </c>
      <c r="D2" s="1">
        <v>135152.91666666599</v>
      </c>
      <c r="E2" s="72" t="s">
        <v>67</v>
      </c>
      <c r="F2" s="70">
        <v>25682.0206741129</v>
      </c>
      <c r="G2" s="71" t="s">
        <v>67</v>
      </c>
    </row>
    <row r="3" spans="1:7" x14ac:dyDescent="0.2">
      <c r="A3" t="s">
        <v>15</v>
      </c>
      <c r="B3" t="s">
        <v>33</v>
      </c>
      <c r="C3" s="2">
        <v>3793000000</v>
      </c>
      <c r="D3" s="1">
        <v>144672</v>
      </c>
      <c r="E3" s="17">
        <v>7.0431948996044602E-2</v>
      </c>
      <c r="F3" s="70">
        <v>26217.927449679199</v>
      </c>
      <c r="G3" s="17">
        <v>2.08670019531015E-2</v>
      </c>
    </row>
    <row r="4" spans="1:7" x14ac:dyDescent="0.2">
      <c r="A4" t="s">
        <v>15</v>
      </c>
      <c r="B4" t="s">
        <v>32</v>
      </c>
      <c r="C4" s="2">
        <v>4612000000</v>
      </c>
      <c r="D4" s="1">
        <v>175045.33333333299</v>
      </c>
      <c r="E4" s="17">
        <v>0.20994617709946101</v>
      </c>
      <c r="F4" s="70">
        <v>26347.4604673836</v>
      </c>
      <c r="G4" s="17">
        <v>4.9406276660513403E-3</v>
      </c>
    </row>
    <row r="5" spans="1:7" x14ac:dyDescent="0.2">
      <c r="A5" t="s">
        <v>15</v>
      </c>
      <c r="B5" t="s">
        <v>31</v>
      </c>
      <c r="C5" s="2">
        <v>5812000000</v>
      </c>
      <c r="D5" s="1">
        <v>204796.83333333299</v>
      </c>
      <c r="E5" s="17">
        <v>0.16996454251850901</v>
      </c>
      <c r="F5" s="70">
        <v>28379.345058232499</v>
      </c>
      <c r="G5" s="17">
        <v>7.7118802146573004E-2</v>
      </c>
    </row>
    <row r="6" spans="1:7" x14ac:dyDescent="0.2">
      <c r="A6" t="s">
        <v>15</v>
      </c>
      <c r="B6" t="s">
        <v>30</v>
      </c>
      <c r="C6" s="2">
        <v>6285000000</v>
      </c>
      <c r="D6" s="1">
        <v>234696.41666666599</v>
      </c>
      <c r="E6" s="17">
        <v>0.14599631667481799</v>
      </c>
      <c r="F6" s="70">
        <v>26779.275496678802</v>
      </c>
      <c r="G6" s="17">
        <v>-5.6381483021204402E-2</v>
      </c>
    </row>
    <row r="7" spans="1:7" x14ac:dyDescent="0.2">
      <c r="A7" t="s">
        <v>15</v>
      </c>
      <c r="B7" t="s">
        <v>29</v>
      </c>
      <c r="C7" s="2">
        <v>7765000000</v>
      </c>
      <c r="D7" s="1">
        <v>267329.33333333302</v>
      </c>
      <c r="E7" s="17">
        <v>0.13904309716417301</v>
      </c>
      <c r="F7" s="70">
        <v>29046.569275350699</v>
      </c>
      <c r="G7" s="17">
        <v>8.4665986536979806E-2</v>
      </c>
    </row>
    <row r="8" spans="1:7" x14ac:dyDescent="0.2">
      <c r="A8" t="s">
        <v>15</v>
      </c>
      <c r="B8" t="s">
        <v>28</v>
      </c>
      <c r="C8" s="2">
        <v>7215000000</v>
      </c>
      <c r="D8" s="1">
        <v>274331.91666666599</v>
      </c>
      <c r="E8" s="17">
        <v>2.61945939340739E-2</v>
      </c>
      <c r="F8" s="70">
        <v>26300.257322106401</v>
      </c>
      <c r="G8" s="17">
        <v>-9.4548582560999503E-2</v>
      </c>
    </row>
    <row r="9" spans="1:7" x14ac:dyDescent="0.2">
      <c r="A9" t="s">
        <v>15</v>
      </c>
      <c r="B9" t="s">
        <v>27</v>
      </c>
      <c r="C9" s="2">
        <v>7697000000</v>
      </c>
      <c r="D9" s="1">
        <v>279188.75</v>
      </c>
      <c r="E9" s="17">
        <v>1.7704222652425501E-2</v>
      </c>
      <c r="F9" s="70">
        <v>27569.1624393891</v>
      </c>
      <c r="G9" s="17">
        <v>4.8246870809742701E-2</v>
      </c>
    </row>
    <row r="10" spans="1:7" x14ac:dyDescent="0.2">
      <c r="A10" t="s">
        <v>15</v>
      </c>
      <c r="B10" t="s">
        <v>26</v>
      </c>
      <c r="C10" s="2">
        <v>7614000000</v>
      </c>
      <c r="D10" s="1">
        <v>294392.41666666599</v>
      </c>
      <c r="E10" s="17">
        <v>5.4456587762460602E-2</v>
      </c>
      <c r="F10" s="70">
        <v>25863.437945214198</v>
      </c>
      <c r="G10" s="17">
        <v>-6.1870740466812603E-2</v>
      </c>
    </row>
    <row r="11" spans="1:7" x14ac:dyDescent="0.2">
      <c r="A11" t="s">
        <v>15</v>
      </c>
      <c r="B11" t="s">
        <v>25</v>
      </c>
      <c r="C11" s="2">
        <v>8865000000</v>
      </c>
      <c r="D11" s="1">
        <v>324988.41666666599</v>
      </c>
      <c r="E11" s="17">
        <v>0.10392930750877</v>
      </c>
      <c r="F11" s="70">
        <v>27277.895289088501</v>
      </c>
      <c r="G11" s="17">
        <v>5.4689455704629499E-2</v>
      </c>
    </row>
    <row r="12" spans="1:7" x14ac:dyDescent="0.2">
      <c r="A12" t="s">
        <v>15</v>
      </c>
      <c r="B12" t="s">
        <v>73</v>
      </c>
      <c r="C12" s="2">
        <v>9728000000</v>
      </c>
      <c r="D12" s="1">
        <v>363780</v>
      </c>
      <c r="E12" s="17">
        <v>0.11936297216746899</v>
      </c>
      <c r="F12" s="70">
        <v>26741.4371323327</v>
      </c>
      <c r="G12" s="17">
        <v>-1.9666405749800199E-2</v>
      </c>
    </row>
    <row r="13" spans="1:7" s="28" customFormat="1" x14ac:dyDescent="0.2">
      <c r="A13" s="28" t="s">
        <v>16</v>
      </c>
      <c r="B13" s="28" t="str" cm="1">
        <f t="array" ref="B13">CONCATENATE("FY",RIGHT(INDEX(Table1[],ROWS(Table1[]),2),2)+1)</f>
        <v>FY26</v>
      </c>
      <c r="C13" s="29">
        <f>D13*F13</f>
        <v>10495013109.759989</v>
      </c>
      <c r="D13" s="30" cm="1">
        <f t="array" ref="D13">(1+Graph!$P$20)*INDEX(Table1[],ROWS(Table1[]),4)</f>
        <v>391718.304</v>
      </c>
      <c r="E13" s="29"/>
      <c r="F13" s="29" cm="1">
        <f t="array" ref="F13">(1+Graph!$R$20)*INDEX(Table1[],ROWS(Table1[]),6)</f>
        <v>26792.24586288413</v>
      </c>
    </row>
    <row r="14" spans="1:7" s="28" customFormat="1" x14ac:dyDescent="0.2">
      <c r="A14" s="28" t="s">
        <v>16</v>
      </c>
      <c r="B14" s="28" t="str">
        <f>CONCATENATE("FY",RIGHT(B13,2)+1)</f>
        <v>FY27</v>
      </c>
      <c r="C14" s="29">
        <f>D14*F14</f>
        <v>11322502073.811075</v>
      </c>
      <c r="D14" s="30">
        <f>(1+Graph!$P$20)*D13</f>
        <v>421802.26974720001</v>
      </c>
      <c r="E14" s="29"/>
      <c r="F14" s="29">
        <f>(1+Graph!$R$20)*F13</f>
        <v>26843.151130023609</v>
      </c>
    </row>
    <row r="15" spans="1:7" s="28" customFormat="1" x14ac:dyDescent="0.2">
      <c r="A15" s="28" t="s">
        <v>16</v>
      </c>
      <c r="B15" s="28" t="str">
        <f t="shared" ref="B15:B17" si="0">CONCATENATE("FY",RIGHT(B14,2)+1)</f>
        <v>FY28</v>
      </c>
      <c r="C15" s="29">
        <f>D15*F15</f>
        <v>12215235166.522617</v>
      </c>
      <c r="D15" s="30">
        <f>(1+Graph!$P$20)*D14</f>
        <v>454196.68406378495</v>
      </c>
      <c r="E15" s="29"/>
      <c r="F15" s="29">
        <f>(1+Graph!$R$20)*F14</f>
        <v>26894.153117170656</v>
      </c>
    </row>
    <row r="16" spans="1:7" s="28" customFormat="1" x14ac:dyDescent="0.2">
      <c r="A16" s="28" t="s">
        <v>16</v>
      </c>
      <c r="B16" s="28" t="str">
        <f t="shared" si="0"/>
        <v>FY29</v>
      </c>
      <c r="C16" s="29">
        <f>D16*F16</f>
        <v>13178356621.243446</v>
      </c>
      <c r="D16" s="30">
        <f>(1+Graph!$P$20)*D15</f>
        <v>489078.98939988361</v>
      </c>
      <c r="E16" s="29"/>
      <c r="F16" s="29">
        <f>(1+Graph!$R$20)*F15</f>
        <v>26945.252008093281</v>
      </c>
    </row>
    <row r="17" spans="1:6" s="28" customFormat="1" x14ac:dyDescent="0.2">
      <c r="A17" s="28" t="s">
        <v>16</v>
      </c>
      <c r="B17" s="28" t="str">
        <f t="shared" si="0"/>
        <v>FY30</v>
      </c>
      <c r="C17" s="29">
        <f>D17*F17</f>
        <v>14217416273.133478</v>
      </c>
      <c r="D17" s="30">
        <f>(1+Graph!$P$20)*D16</f>
        <v>526640.2557857947</v>
      </c>
      <c r="E17" s="29"/>
      <c r="F17" s="29">
        <f>(1+Graph!$R$20)*F16</f>
        <v>26996.447986908657</v>
      </c>
    </row>
  </sheetData>
  <sheetProtection sheet="1" objects="1" scenarios="1"/>
  <sortState xmlns:xlrd2="http://schemas.microsoft.com/office/spreadsheetml/2017/richdata2" ref="B2:G13">
    <sortCondition ref="B2:B13"/>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2025-07-16T06:45:10Z</dcterms:modified>
</cp:coreProperties>
</file>