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6342C446-A9E4-314E-AF3F-35DE71579B7D}" xr6:coauthVersionLast="47" xr6:coauthVersionMax="47" xr10:uidLastSave="{00000000-0000-0000-0000-000000000000}"/>
  <bookViews>
    <workbookView xWindow="0" yWindow="0" windowWidth="28800" windowHeight="18000" xr2:uid="{00000000-000D-0000-FFFF-FFFF00000000}"/>
  </bookViews>
  <sheets>
    <sheet name="Table" sheetId="4" r:id="rId1"/>
    <sheet name="Graph" sheetId="3" r:id="rId2"/>
    <sheet name="projection_data"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6" l="1"/>
  <c r="D13" i="6" s="1"/>
  <c r="P6" i="4"/>
  <c r="P5" i="4"/>
  <c r="P4" i="4"/>
  <c r="D8" i="4"/>
  <c r="D7" i="4" s="1"/>
  <c r="D6" i="4" s="1"/>
  <c r="C8" i="4"/>
  <c r="C7" i="4" s="1"/>
  <c r="C6" i="4" s="1"/>
  <c r="C5" i="4" s="1"/>
  <c r="C4" i="4" s="1"/>
  <c r="E8" i="4"/>
  <c r="E7" i="4" s="1"/>
  <c r="E6" i="4" s="1"/>
  <c r="E5" i="4" s="1"/>
  <c r="E4" i="4" s="1"/>
  <c r="G8" i="4"/>
  <c r="G7" i="4" s="1"/>
  <c r="G6" i="4" s="1"/>
  <c r="P7" i="4"/>
  <c r="P8" i="4"/>
  <c r="D5" i="4" l="1"/>
  <c r="D4" i="4" s="1"/>
  <c r="F7" i="4"/>
  <c r="F8" i="4"/>
  <c r="G5" i="4"/>
  <c r="F6" i="4"/>
  <c r="I7" i="4" l="1"/>
  <c r="J7" i="4" s="1"/>
  <c r="I6" i="4"/>
  <c r="J6" i="4" s="1"/>
  <c r="G4" i="4"/>
  <c r="F4" i="4" s="1"/>
  <c r="F5" i="4"/>
  <c r="I5" i="4" s="1"/>
  <c r="J5" i="4" s="1"/>
  <c r="I4" i="4" l="1"/>
  <c r="J4" i="4" s="1"/>
  <c r="F12" i="6" l="1"/>
  <c r="F13" i="6" s="1"/>
  <c r="Q11" i="3"/>
  <c r="Q12" i="3"/>
  <c r="Q13" i="3"/>
  <c r="P24" i="3" a="1"/>
  <c r="P24" i="3" s="1"/>
  <c r="Q6" i="3"/>
  <c r="Q8" i="3"/>
  <c r="Q7" i="3"/>
  <c r="F14" i="6" l="1"/>
  <c r="F15" i="6" s="1"/>
  <c r="F16" i="6" s="1"/>
  <c r="I8" i="4"/>
  <c r="C12" i="6"/>
  <c r="R24" i="3" l="1" a="1"/>
  <c r="R24" i="3" s="1"/>
  <c r="C13" i="6"/>
  <c r="A24" i="4"/>
  <c r="A23" i="4"/>
  <c r="N8" i="4"/>
  <c r="N7" i="4" s="1"/>
  <c r="D14" i="6" l="1"/>
  <c r="C14" i="6" s="1"/>
  <c r="K7" i="4"/>
  <c r="O7" i="4"/>
  <c r="N6" i="4"/>
  <c r="K8" i="4"/>
  <c r="L8" i="4" s="1"/>
  <c r="M8" i="4" s="1"/>
  <c r="J8" i="4"/>
  <c r="O8" i="4"/>
  <c r="D15" i="6" l="1"/>
  <c r="D16" i="6" s="1"/>
  <c r="C16" i="6" s="1"/>
  <c r="N5" i="4"/>
  <c r="K5" i="4" s="1"/>
  <c r="O6" i="4"/>
  <c r="K6" i="4"/>
  <c r="L6" i="4" s="1"/>
  <c r="M6" i="4" s="1"/>
  <c r="L7" i="4"/>
  <c r="M7" i="4" s="1"/>
  <c r="C15" i="6" l="1"/>
  <c r="O5" i="4"/>
  <c r="N4" i="4"/>
  <c r="L5" i="4"/>
  <c r="M5" i="4" s="1"/>
  <c r="S24" i="3" a="1"/>
  <c r="S24" i="3" s="1"/>
  <c r="Q24" i="3" a="1"/>
  <c r="Q24" i="3" s="1"/>
  <c r="K4" i="4" l="1"/>
  <c r="L4" i="4" s="1"/>
  <c r="M4" i="4" s="1"/>
  <c r="O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<sst xmlns="http://schemas.openxmlformats.org/spreadsheetml/2006/main" count="129" uniqueCount="78">
  <si>
    <t>Fiscal Year</t>
  </si>
  <si>
    <t>Months Reported</t>
  </si>
  <si>
    <t>Enrollee Months Annual Change</t>
  </si>
  <si>
    <t>State Spending</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</si>
  <si>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</si>
  <si>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</si>
  <si>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</si>
  <si>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</si>
  <si>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</si>
  <si>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</si>
  <si>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</si>
  <si>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</si>
  <si>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</si>
  <si>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</si>
  <si>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</si>
  <si>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</si>
  <si>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</si>
  <si>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</si>
  <si>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</si>
  <si>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</si>
  <si>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</si>
  <si>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</si>
  <si>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</si>
  <si>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FY26 (Forecast)</t>
  </si>
  <si>
    <t>FY25 (Estimate)(1)(2)</t>
  </si>
  <si>
    <t>FY25 (YTD)</t>
  </si>
  <si>
    <t>FY24</t>
  </si>
  <si>
    <t>FY23</t>
  </si>
  <si>
    <t>FY22</t>
  </si>
  <si>
    <t>FY21</t>
  </si>
  <si>
    <t>FY20</t>
  </si>
  <si>
    <t>FY19</t>
  </si>
  <si>
    <t>FY18</t>
  </si>
  <si>
    <t>FY17</t>
  </si>
  <si>
    <t>FY16</t>
  </si>
  <si>
    <t>FY15</t>
  </si>
  <si>
    <t>Average Annual Enrollment:</t>
  </si>
  <si>
    <t>Average Annual Per Capita Spending:</t>
  </si>
  <si>
    <t>State Spending (Millions)</t>
  </si>
  <si>
    <t>State Spending Annual Change (Millions)</t>
  </si>
  <si>
    <t>FY25</t>
  </si>
  <si>
    <t>FY26</t>
  </si>
  <si>
    <t>FY27</t>
  </si>
  <si>
    <t>FY28</t>
  </si>
  <si>
    <t>FY29</t>
  </si>
  <si>
    <t>Average Annual Growth Rates (as of FY24)</t>
  </si>
  <si>
    <t>Average Annual Enrollment Change %</t>
  </si>
  <si>
    <t>Notes</t>
  </si>
  <si>
    <t>(1) Data sources: Full-year Enrollment 2025 Estimate Represents YTD annualized</t>
  </si>
  <si>
    <t>FY26 Growth Assumptions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</si>
  <si>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</si>
  <si>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</si>
  <si>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</si>
  <si>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</si>
  <si>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</si>
  <si>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</si>
  <si>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</si>
  <si>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</si>
  <si>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t>Medicaid Managed Long Term Care Enrollment and Spending</t>
  </si>
  <si>
    <t>Total Medicaid Managed Long Term Care Enrollment</t>
  </si>
  <si>
    <r>
      <rPr>
        <b/>
        <sz val="11"/>
        <color theme="1"/>
        <rFont val="Calibri"/>
        <family val="2"/>
        <scheme val="minor"/>
      </rPr>
      <t>Enrollee Months:</t>
    </r>
    <r>
      <rPr>
        <sz val="11"/>
        <color theme="1"/>
        <rFont val="Calibri"/>
        <family val="2"/>
        <scheme val="minor"/>
      </rPr>
      <t xml:space="preserve"> The total number of Medicaid managed long term care enrollee months reported within the fiscal year.</t>
    </r>
  </si>
  <si>
    <r>
      <rPr>
        <b/>
        <sz val="11"/>
        <color theme="1"/>
        <rFont val="Calibri"/>
        <family val="2"/>
        <scheme val="minor"/>
      </rPr>
      <t>End of Period Enrollment:</t>
    </r>
    <r>
      <rPr>
        <sz val="11"/>
        <color theme="1"/>
        <rFont val="Calibri"/>
        <family val="2"/>
        <scheme val="minor"/>
      </rPr>
      <t xml:space="preserve"> The total number of Medicaid managed long term care enrollees at the end of the reporting period. For completed fiscal years, this represents the enrollment total on the final day of the year. For partial fiscal years, it reflects the year-to-date (YTD) enrollment total as of the most recent reporting date.</t>
    </r>
  </si>
  <si>
    <r>
      <rPr>
        <b/>
        <sz val="11"/>
        <color theme="1"/>
        <rFont val="Calibri"/>
        <family val="2"/>
        <scheme val="minor"/>
      </rPr>
      <t>State Spending (Millions):</t>
    </r>
    <r>
      <rPr>
        <sz val="11"/>
        <color theme="1"/>
        <rFont val="Calibri"/>
        <family val="2"/>
        <scheme val="minor"/>
      </rPr>
      <t xml:space="preserve"> The total Medicaid managed long term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</si>
  <si>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long term care, expressed in millions of dollars.</t>
    </r>
  </si>
  <si>
    <r>
      <rPr>
        <b/>
        <sz val="11"/>
        <color theme="1"/>
        <rFont val="Calibri"/>
        <family val="2"/>
        <scheme val="minor"/>
      </rPr>
      <t>Average Annual Spending per Enrollee:</t>
    </r>
    <r>
      <rPr>
        <sz val="11"/>
        <color theme="1"/>
        <rFont val="Calibri"/>
        <family val="2"/>
        <scheme val="minor"/>
      </rPr>
      <t xml:space="preserve"> The average amount of Medicaid managed long term care State spending per enrollee for the fiscal year.</t>
    </r>
  </si>
  <si>
    <t>PACE
Enrollee Months</t>
  </si>
  <si>
    <t>MAP
Enrollee Months</t>
  </si>
  <si>
    <t>PARTIAL MLTC
Enrollee Months</t>
  </si>
  <si>
    <t>Total
Enrollee Months</t>
  </si>
  <si>
    <t>Per Capita Spending State Spending</t>
  </si>
  <si>
    <t>Per Capita State Spending</t>
  </si>
  <si>
    <t>Calculations</t>
  </si>
  <si>
    <r>
      <rPr>
        <b/>
        <sz val="11"/>
        <color theme="1"/>
        <rFont val="Calibri"/>
        <family val="2"/>
        <scheme val="minor"/>
      </rPr>
      <t>State Spending Annual Change %:</t>
    </r>
    <r>
      <rPr>
        <sz val="11"/>
        <color theme="1"/>
        <rFont val="Calibri"/>
        <family val="2"/>
        <scheme val="minor"/>
      </rPr>
      <t xml:space="preserve"> The percentage change in the State’s share of Medicaid managed long term care spending compared to the prior fiscal year.</t>
    </r>
  </si>
  <si>
    <t>NA</t>
  </si>
  <si>
    <t>FY27 (Forecast)</t>
  </si>
  <si>
    <t>FY28 (Forecast)</t>
  </si>
  <si>
    <t>FY29 (Forecast)</t>
  </si>
  <si>
    <t>You can forecast projected enrollment and State spending by changing the two inputs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</si>
</sst>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
      <sz val="11"/>
      <color theme="5" tint="0.3999755851924192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68">
    <xf numFmtId="0" fontId="0" fillId="0" borderId="0" xfId="0"/>
    <xf numFmtId="3" fontId="0" fillId="0" borderId="0" xfId="0" applyNumberFormat="1"/>
    <xf numFmtId="10" fontId="0" fillId="0" borderId="0" xfId="0" applyNumberFormat="1"/>
    <xf numFmtId="6" fontId="0" fillId="0" borderId="0" xfId="0" applyNumberForma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0" fontId="8" fillId="3" borderId="17" xfId="7" applyBorder="1"/>
    <xf numFmtId="165" fontId="8" fillId="3" borderId="18" xfId="7" applyNumberFormat="1" applyBorder="1"/>
    <xf numFmtId="0" fontId="0" fillId="0" borderId="0" xfId="0" applyAlignment="1">
      <alignment vertical="center"/>
    </xf>
    <xf numFmtId="164" fontId="14" fillId="2" borderId="3" xfId="6" applyNumberFormat="1" applyFont="1" applyAlignment="1">
      <alignment horizontal="right" wrapText="1"/>
    </xf>
    <xf numFmtId="10" fontId="14" fillId="2" borderId="14" xfId="6" applyNumberFormat="1" applyFont="1" applyBorder="1" applyProtection="1">
      <protection locked="0"/>
    </xf>
    <xf numFmtId="0" fontId="3" fillId="0" borderId="8" xfId="0" applyFont="1" applyBorder="1"/>
    <xf numFmtId="0" fontId="3" fillId="0" borderId="9" xfId="0" applyFont="1" applyBorder="1"/>
    <xf numFmtId="0" fontId="2" fillId="0" borderId="10" xfId="4" applyFont="1" applyBorder="1"/>
    <xf numFmtId="10" fontId="3" fillId="0" borderId="0" xfId="1" applyNumberFormat="1" applyFont="1" applyBorder="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3"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0" fontId="16" fillId="0" borderId="0" xfId="0" applyFont="1"/>
    <xf numFmtId="8" fontId="16" fillId="0" borderId="0" xfId="0" applyNumberFormat="1" applyFont="1"/>
    <xf numFmtId="3" fontId="16" fillId="0" borderId="0" xfId="0" applyNumberFormat="1" applyFont="1"/>
    <xf numFmtId="167" fontId="0" fillId="0" borderId="20" xfId="0" applyNumberFormat="1" applyBorder="1"/>
    <xf numFmtId="166" fontId="8" fillId="3" borderId="4" xfId="10" applyNumberFormat="1" applyFont="1" applyFill="1" applyBorder="1"/>
    <xf numFmtId="166" fontId="8" fillId="3" borderId="22" xfId="10" applyNumberFormat="1" applyFont="1" applyFill="1" applyBorder="1"/>
    <xf numFmtId="166" fontId="1" fillId="9" borderId="16" xfId="11" applyNumberFormat="1" applyBorder="1"/>
    <xf numFmtId="166" fontId="1" fillId="9" borderId="19" xfId="11" applyNumberFormat="1" applyBorder="1"/>
    <xf numFmtId="0" fontId="6" fillId="0" borderId="8" xfId="5" applyBorder="1"/>
    <xf numFmtId="0" fontId="2" fillId="0" borderId="10" xfId="4" applyFont="1" applyBorder="1" applyAlignment="1">
      <alignment wrapText="1"/>
    </xf>
    <xf numFmtId="0" fontId="2" fillId="0" borderId="11" xfId="4" applyFont="1" applyBorder="1" applyAlignment="1">
      <alignment horizontal="right" wrapText="1"/>
    </xf>
    <xf numFmtId="0" fontId="2" fillId="0" borderId="2" xfId="4" applyFont="1"/>
    <xf numFmtId="0" fontId="3" fillId="0" borderId="0" xfId="0" applyFont="1"/>
    <xf numFmtId="10" fontId="3" fillId="0" borderId="0" xfId="0" applyNumberFormat="1" applyFont="1"/>
    <xf numFmtId="0" fontId="2" fillId="0" borderId="2" xfId="4" applyFont="1" applyAlignment="1">
      <alignment horizontal="right" wrapText="1"/>
    </xf>
    <xf numFmtId="165" fontId="8" fillId="3" borderId="4" xfId="7" applyNumberFormat="1"/>
    <xf numFmtId="10" fontId="14" fillId="2" borderId="3" xfId="6" applyNumberFormat="1" applyFont="1" applyProtection="1">
      <protection locked="0"/>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10" fillId="5" borderId="21" xfId="9" applyFont="1" applyFill="1" applyBorder="1" applyAlignment="1">
      <alignment horizontal="center" vertic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5" fillId="0" borderId="12" xfId="3" applyFont="1" applyBorder="1"/>
    <xf numFmtId="0" fontId="15" fillId="0" borderId="1" xfId="3" applyFont="1"/>
    <xf numFmtId="0" fontId="15" fillId="0" borderId="13" xfId="3" applyFont="1" applyBorder="1"/>
    <xf numFmtId="0" fontId="2" fillId="0" borderId="10" xfId="4" applyFont="1" applyBorder="1"/>
    <xf numFmtId="0" fontId="2" fillId="0" borderId="2" xfId="4" applyFont="1"/>
    <xf numFmtId="0" fontId="2" fillId="0" borderId="11" xfId="4" applyFont="1" applyBorder="1"/>
    <xf numFmtId="0" fontId="15" fillId="0" borderId="5" xfId="3" applyFont="1" applyBorder="1"/>
    <xf numFmtId="0" fontId="15" fillId="0" borderId="6" xfId="3" applyFont="1" applyBorder="1"/>
    <xf numFmtId="0" fontId="15" fillId="0" borderId="7" xfId="3" applyFont="1" applyBorder="1"/>
    <xf numFmtId="0" fontId="2" fillId="0" borderId="8" xfId="5" applyFont="1" applyBorder="1"/>
    <xf numFmtId="0" fontId="2" fillId="0" borderId="0" xfId="5" applyFont="1" applyBorder="1"/>
    <xf numFmtId="0" fontId="2" fillId="0" borderId="9" xfId="5" applyFont="1" applyBorder="1"/>
    <xf numFmtId="0" fontId="2" fillId="0" borderId="0" xfId="0" applyFont="1" applyFill="1" applyAlignment="1">
      <alignment horizontal="center"/>
    </xf>
    <xf numFmtId="0" fontId="2" fillId="0" borderId="0" xfId="0" applyFont="1" applyFill="1" applyAlignment="1">
      <alignment horizontal="center" wrapText="1"/>
    </xf>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0"/>
  <tableStyles count="0" defaultTableStyle="TableStyleMedium9" defaultPivotStyle="PivotStyleLight16"/>
  <colors>
    <mruColors>
      <color rgb="FFF2DCDB"/>
      <color rgb="FFE4DFEC"/>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Long Term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chemeClr val="accent1">
                <a:lumMod val="40000"/>
                <a:lumOff val="60000"/>
                <a:alpha val="80000"/>
              </a:schemeClr>
            </a:solidFill>
            <a:ln>
              <a:noFill/>
            </a:ln>
            <a:effectLst/>
          </c:spPr>
          <c:invertIfNegative val="0"/>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chemeClr val="accent1">
                  <a:lumMod val="40000"/>
                  <a:lumOff val="60000"/>
                  <a:alpha val="80000"/>
                </a:schemeClr>
              </a:solidFill>
              <a:ln>
                <a:noFill/>
              </a:ln>
              <a:effectLst/>
            </c:spPr>
            <c:extLst>
              <c:ext xmlns:c16="http://schemas.microsoft.com/office/drawing/2014/chart" uri="{C3380CC4-5D6E-409C-BE32-E72D297353CC}">
                <c16:uniqueId val="{00000003-995D-784E-BC21-BE9172A3D010}"/>
              </c:ext>
            </c:extLst>
          </c:dPt>
          <c:cat>
            <c:strRef>
              <c:f>projection_data!$B$2:$B$16</c:f>
              <c:strCache>
                <c:ptCount val="15"/>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strCache>
            </c:strRef>
          </c:cat>
          <c:val>
            <c:numRef>
              <c:f>projection_data!$D$2:$D$16</c:f>
              <c:numCache>
                <c:formatCode>#,##0</c:formatCode>
                <c:ptCount val="15"/>
                <c:pt idx="0">
                  <c:v>134481.07999999999</c:v>
                </c:pt>
                <c:pt idx="1">
                  <c:v>144570</c:v>
                </c:pt>
                <c:pt idx="2">
                  <c:v>174025.5</c:v>
                </c:pt>
                <c:pt idx="3">
                  <c:v>203367.92</c:v>
                </c:pt>
                <c:pt idx="4">
                  <c:v>233322.17</c:v>
                </c:pt>
                <c:pt idx="5">
                  <c:v>265927.58</c:v>
                </c:pt>
                <c:pt idx="6">
                  <c:v>271057.83</c:v>
                </c:pt>
                <c:pt idx="7">
                  <c:v>278112.42</c:v>
                </c:pt>
                <c:pt idx="8">
                  <c:v>293737.5</c:v>
                </c:pt>
                <c:pt idx="9">
                  <c:v>323615.58</c:v>
                </c:pt>
                <c:pt idx="10">
                  <c:v>345815.60878800001</c:v>
                </c:pt>
                <c:pt idx="11">
                  <c:v>369538.55955085682</c:v>
                </c:pt>
                <c:pt idx="12">
                  <c:v>394888.90473604557</c:v>
                </c:pt>
                <c:pt idx="13">
                  <c:v>421978.28360093827</c:v>
                </c:pt>
                <c:pt idx="14">
                  <c:v>450925.99385596265</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projection_data!$C$1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projection_data!$B$2:$B$16</c:f>
              <c:strCache>
                <c:ptCount val="15"/>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strCache>
            </c:strRef>
          </c:cat>
          <c:val>
            <c:numRef>
              <c:f>projection_data!$C$2:$C$16</c:f>
              <c:numCache>
                <c:formatCode>"$"#,##0_);[Red]\("$"#,##0\)</c:formatCode>
                <c:ptCount val="15"/>
                <c:pt idx="0">
                  <c:v>3471000000</c:v>
                </c:pt>
                <c:pt idx="1">
                  <c:v>3793000000</c:v>
                </c:pt>
                <c:pt idx="2">
                  <c:v>4612000000</c:v>
                </c:pt>
                <c:pt idx="3">
                  <c:v>5812000000</c:v>
                </c:pt>
                <c:pt idx="4">
                  <c:v>6285000000</c:v>
                </c:pt>
                <c:pt idx="5">
                  <c:v>7765000000</c:v>
                </c:pt>
                <c:pt idx="6">
                  <c:v>7215000000</c:v>
                </c:pt>
                <c:pt idx="7">
                  <c:v>7697000000</c:v>
                </c:pt>
                <c:pt idx="8">
                  <c:v>7614000000</c:v>
                </c:pt>
                <c:pt idx="9">
                  <c:v>8865000000</c:v>
                </c:pt>
                <c:pt idx="10" formatCode="&quot;$&quot;#,##0.00_);[Red]\(&quot;$&quot;#,##0.00\)">
                  <c:v>9527134805.1896362</c:v>
                </c:pt>
                <c:pt idx="11" formatCode="&quot;$&quot;#,##0.00_);[Red]\(&quot;$&quot;#,##0.00\)">
                  <c:v>10238726221.466753</c:v>
                </c:pt>
                <c:pt idx="12" formatCode="&quot;$&quot;#,##0.00_);[Red]\(&quot;$&quot;#,##0.00\)">
                  <c:v>11003467126.448851</c:v>
                </c:pt>
                <c:pt idx="13" formatCode="&quot;$&quot;#,##0.00_);[Red]\(&quot;$&quot;#,##0.00\)">
                  <c:v>11825327309.659784</c:v>
                </c:pt>
                <c:pt idx="14" formatCode="&quot;$&quot;#,##0.00_);[Red]\(&quot;$&quot;#,##0.00\)">
                  <c:v>12708573068.252131</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baseline="0"/>
                  <a:t>Average Annual Enrollment</a:t>
                </a:r>
                <a:endParaRPr lang="en-US" sz="1400" b="1"/>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114300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1123950</xdr:colOff>
      <xdr:row>6</xdr:row>
      <xdr:rowOff>22143</xdr:rowOff>
    </xdr:from>
    <xdr:to>
      <xdr:col>5</xdr:col>
      <xdr:colOff>12700</xdr:colOff>
      <xdr:row>6</xdr:row>
      <xdr:rowOff>108692</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4565650" y="1241343"/>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1302135</xdr:colOff>
      <xdr:row>5</xdr:row>
      <xdr:rowOff>114583</xdr:rowOff>
    </xdr:from>
    <xdr:to>
      <xdr:col>6</xdr:col>
      <xdr:colOff>762000</xdr:colOff>
      <xdr:row>7</xdr:row>
      <xdr:rowOff>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4743835" y="1143283"/>
          <a:ext cx="1644265" cy="26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186511</xdr:colOff>
      <xdr:row>5</xdr:row>
      <xdr:rowOff>102338</xdr:rowOff>
    </xdr:from>
    <xdr:to>
      <xdr:col>9</xdr:col>
      <xdr:colOff>368300</xdr:colOff>
      <xdr:row>6</xdr:row>
      <xdr:rowOff>165100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6638111" y="1131038"/>
          <a:ext cx="1832789" cy="253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State Spending</a:t>
          </a:r>
        </a:p>
      </xdr:txBody>
    </xdr:sp>
    <xdr:clientData/>
  </xdr:twoCellAnchor>
  <xdr:twoCellAnchor>
    <xdr:from>
      <xdr:col>6</xdr:col>
      <xdr:colOff>769752</xdr:colOff>
      <xdr:row>6</xdr:row>
      <xdr:rowOff>30140</xdr:rowOff>
    </xdr:from>
    <xdr:to>
      <xdr:col>7</xdr:col>
      <xdr:colOff>241135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3958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P40"/>
  <sheetViews>
    <sheetView showGridLines="0" tabSelected="1" workbookViewId="0">
      <selection activeCell="H24" sqref="H24"/>
    </sheetView>
  </sheetViews>
  <sheetFormatPr baseColWidth="10" defaultColWidth="8.83203125" defaultRowHeight="15" x14ac:dyDescent="0.2"/>
  <cols>
    <col min="1" max="1" width="17" customWidth="1"/>
    <col min="2" max="2" width="14.83203125" hidden="1" customWidth="1"/>
    <col min="3" max="10" width="14.6640625" customWidth="1"/>
    <col min="11" max="16" width="18" customWidth="1"/>
  </cols>
  <sheetData>
    <row r="1" spans="1:16" ht="23" x14ac:dyDescent="0.25">
      <c r="A1" s="49" t="s">
        <v>58</v>
      </c>
      <c r="B1" s="49"/>
      <c r="C1" s="49"/>
      <c r="D1" s="49"/>
      <c r="E1" s="49"/>
      <c r="F1" s="49"/>
      <c r="G1" s="49"/>
      <c r="H1" s="49"/>
      <c r="I1" s="49"/>
      <c r="J1" s="49"/>
      <c r="K1" s="49"/>
      <c r="L1" s="49"/>
      <c r="M1" s="49"/>
      <c r="N1" s="49"/>
      <c r="O1" s="49"/>
      <c r="P1" s="49"/>
    </row>
    <row r="2" spans="1:16" s="11" customFormat="1" ht="42" customHeight="1" x14ac:dyDescent="0.2">
      <c r="C2" s="50" t="s">
        <v>59</v>
      </c>
      <c r="D2" s="50"/>
      <c r="E2" s="50"/>
      <c r="F2" s="50"/>
      <c r="G2" s="50"/>
      <c r="H2" s="50"/>
      <c r="I2" s="46" t="s">
        <v>17</v>
      </c>
      <c r="J2" s="46"/>
      <c r="K2" s="47" t="s">
        <v>3</v>
      </c>
      <c r="L2" s="47"/>
      <c r="M2" s="47"/>
      <c r="N2" s="48" t="s">
        <v>18</v>
      </c>
      <c r="O2" s="48"/>
      <c r="P2" s="48"/>
    </row>
    <row r="3" spans="1:16" s="19" customFormat="1" ht="45" customHeight="1" x14ac:dyDescent="0.2">
      <c r="A3" s="20" t="s">
        <v>19</v>
      </c>
      <c r="B3" s="20" t="s">
        <v>1</v>
      </c>
      <c r="C3" s="20" t="s">
        <v>66</v>
      </c>
      <c r="D3" s="20" t="s">
        <v>65</v>
      </c>
      <c r="E3" s="20" t="s">
        <v>67</v>
      </c>
      <c r="F3" s="20" t="s">
        <v>68</v>
      </c>
      <c r="G3" s="20" t="s">
        <v>20</v>
      </c>
      <c r="H3" s="20" t="s">
        <v>57</v>
      </c>
      <c r="I3" s="20" t="s">
        <v>2</v>
      </c>
      <c r="J3" s="20" t="s">
        <v>21</v>
      </c>
      <c r="K3" s="20" t="s">
        <v>38</v>
      </c>
      <c r="L3" s="20" t="s">
        <v>39</v>
      </c>
      <c r="M3" s="20" t="s">
        <v>4</v>
      </c>
      <c r="N3" s="20" t="s">
        <v>5</v>
      </c>
      <c r="O3" s="20" t="s">
        <v>6</v>
      </c>
      <c r="P3" s="20" t="s">
        <v>22</v>
      </c>
    </row>
    <row r="4" spans="1:16" s="19" customFormat="1" ht="15" customHeight="1" x14ac:dyDescent="0.2">
      <c r="A4" s="21" t="s">
        <v>76</v>
      </c>
      <c r="B4" s="20"/>
      <c r="C4" s="23">
        <f t="shared" ref="C4:C7" si="0">C5*(1+$H$24)</f>
        <v>687858.94516254519</v>
      </c>
      <c r="D4" s="23">
        <f>D5*(1+$H$24)</f>
        <v>155302.80578954259</v>
      </c>
      <c r="E4" s="23">
        <f t="shared" ref="E4:E6" si="1">E5*(1+$H$24)</f>
        <v>4567950.2310554693</v>
      </c>
      <c r="F4" s="23">
        <f>G4*12</f>
        <v>5411111.9262715522</v>
      </c>
      <c r="G4" s="23">
        <f t="shared" ref="G4:G6" si="2">G5*(1+$H$24)</f>
        <v>450925.99385596265</v>
      </c>
      <c r="H4" s="27" t="s">
        <v>73</v>
      </c>
      <c r="I4" s="23">
        <f>F4-F5</f>
        <v>347372.52306029294</v>
      </c>
      <c r="J4" s="25">
        <f t="shared" ref="J4:J6" si="3">I4/F5</f>
        <v>6.8600000000000105E-2</v>
      </c>
      <c r="K4" s="32">
        <f t="shared" ref="K4:K6" si="4">N4*G4</f>
        <v>12708573068.252131</v>
      </c>
      <c r="L4" s="32">
        <f t="shared" ref="L4:L6" si="5">K4-K5</f>
        <v>883245758.59234619</v>
      </c>
      <c r="M4" s="26">
        <f t="shared" ref="M4:M6" si="6">L4/K5</f>
        <v>7.4691020000000094E-2</v>
      </c>
      <c r="N4" s="24">
        <f t="shared" ref="N4:N6" si="7">(1+P4)*N5</f>
        <v>28183.278944685488</v>
      </c>
      <c r="O4" s="24">
        <f t="shared" ref="O4:O6" si="8">N4-N5</f>
        <v>159.7342050161169</v>
      </c>
      <c r="P4" s="25">
        <f>$H$26</f>
        <v>5.7000000000000002E-3</v>
      </c>
    </row>
    <row r="5" spans="1:16" s="19" customFormat="1" ht="15" customHeight="1" x14ac:dyDescent="0.2">
      <c r="A5" s="21" t="s">
        <v>75</v>
      </c>
      <c r="B5" s="20"/>
      <c r="C5" s="23">
        <f t="shared" si="0"/>
        <v>643701.05293144786</v>
      </c>
      <c r="D5" s="23">
        <f>D6*(1+$H$24)</f>
        <v>145332.96442966739</v>
      </c>
      <c r="E5" s="23">
        <f t="shared" si="1"/>
        <v>4274705.4380081128</v>
      </c>
      <c r="F5" s="23">
        <f t="shared" ref="F5:F8" si="9">G5*12</f>
        <v>5063739.4032112593</v>
      </c>
      <c r="G5" s="23">
        <f t="shared" si="2"/>
        <v>421978.28360093827</v>
      </c>
      <c r="H5" s="27" t="s">
        <v>73</v>
      </c>
      <c r="I5" s="23">
        <f>F5-F6</f>
        <v>325072.54637871217</v>
      </c>
      <c r="J5" s="25">
        <f t="shared" si="3"/>
        <v>6.8599999999999883E-2</v>
      </c>
      <c r="K5" s="32">
        <f>N5*G5</f>
        <v>11825327309.659784</v>
      </c>
      <c r="L5" s="32">
        <f t="shared" si="5"/>
        <v>821860183.21093369</v>
      </c>
      <c r="M5" s="26">
        <f t="shared" si="6"/>
        <v>7.4691020000000011E-2</v>
      </c>
      <c r="N5" s="24">
        <f t="shared" si="7"/>
        <v>28023.544739669371</v>
      </c>
      <c r="O5" s="24">
        <f t="shared" si="8"/>
        <v>158.8288803978503</v>
      </c>
      <c r="P5" s="25">
        <f>$H$26</f>
        <v>5.7000000000000002E-3</v>
      </c>
    </row>
    <row r="6" spans="1:16" s="19" customFormat="1" ht="15" customHeight="1" x14ac:dyDescent="0.2">
      <c r="A6" s="21" t="s">
        <v>74</v>
      </c>
      <c r="B6" s="20"/>
      <c r="C6" s="23">
        <f t="shared" si="0"/>
        <v>602377.9271303087</v>
      </c>
      <c r="D6" s="23">
        <f>D7*(1+$H$24)</f>
        <v>136003.14844625434</v>
      </c>
      <c r="E6" s="23">
        <f t="shared" si="1"/>
        <v>4000285.8300656122</v>
      </c>
      <c r="F6" s="23">
        <f t="shared" si="9"/>
        <v>4738666.8568325471</v>
      </c>
      <c r="G6" s="23">
        <f t="shared" si="2"/>
        <v>394888.90473604557</v>
      </c>
      <c r="H6" s="27" t="s">
        <v>73</v>
      </c>
      <c r="I6" s="23">
        <f t="shared" ref="I6" si="10">F6-F7</f>
        <v>304204.14222226478</v>
      </c>
      <c r="J6" s="25">
        <f t="shared" si="3"/>
        <v>6.8599999999999869E-2</v>
      </c>
      <c r="K6" s="32">
        <f t="shared" si="4"/>
        <v>11003467126.448851</v>
      </c>
      <c r="L6" s="32">
        <f t="shared" si="5"/>
        <v>764740904.98209763</v>
      </c>
      <c r="M6" s="26">
        <f t="shared" si="6"/>
        <v>7.4691019999999997E-2</v>
      </c>
      <c r="N6" s="24">
        <f t="shared" si="7"/>
        <v>27864.71585927152</v>
      </c>
      <c r="O6" s="24">
        <f t="shared" si="8"/>
        <v>157.9286868826166</v>
      </c>
      <c r="P6" s="25">
        <f>$H$26</f>
        <v>5.7000000000000002E-3</v>
      </c>
    </row>
    <row r="7" spans="1:16" x14ac:dyDescent="0.2">
      <c r="A7" s="21" t="s">
        <v>23</v>
      </c>
      <c r="B7" s="22"/>
      <c r="C7" s="23">
        <f t="shared" si="0"/>
        <v>563707.58668379998</v>
      </c>
      <c r="D7" s="23">
        <f>D8*(1+$H$24)</f>
        <v>127272.27067776</v>
      </c>
      <c r="E7" s="23">
        <f>E8*(1+$H$24)</f>
        <v>3743482.90292496</v>
      </c>
      <c r="F7" s="23">
        <f t="shared" si="9"/>
        <v>4434462.7146102823</v>
      </c>
      <c r="G7" s="23">
        <f>G8*(1+$H$24)</f>
        <v>369538.55955085682</v>
      </c>
      <c r="H7" s="27" t="s">
        <v>73</v>
      </c>
      <c r="I7" s="23">
        <f>F7-F8</f>
        <v>284675.40915428195</v>
      </c>
      <c r="J7" s="25">
        <f>I7/F8</f>
        <v>6.8600000000000078E-2</v>
      </c>
      <c r="K7" s="32">
        <f>N7*G7</f>
        <v>10238726221.466753</v>
      </c>
      <c r="L7" s="32">
        <f>K7-K8</f>
        <v>711591416.27711678</v>
      </c>
      <c r="M7" s="26">
        <f>L7/K8</f>
        <v>7.4691020000000163E-2</v>
      </c>
      <c r="N7" s="24">
        <f>(1+P7)*N8</f>
        <v>27706.787172388904</v>
      </c>
      <c r="O7" s="24">
        <f>N7-N8</f>
        <v>157.03359538890072</v>
      </c>
      <c r="P7" s="25">
        <f>$H$26</f>
        <v>5.7000000000000002E-3</v>
      </c>
    </row>
    <row r="8" spans="1:16" x14ac:dyDescent="0.2">
      <c r="A8" s="21" t="s">
        <v>24</v>
      </c>
      <c r="B8" s="22"/>
      <c r="C8" s="23">
        <f t="shared" ref="C8:D8" si="11">C10*(1+$H$24)</f>
        <v>527519.73300000001</v>
      </c>
      <c r="D8" s="23">
        <f t="shared" si="11"/>
        <v>119101.88159999999</v>
      </c>
      <c r="E8" s="23">
        <f>E10*(1+$H$24)</f>
        <v>3503165.7335999999</v>
      </c>
      <c r="F8" s="23">
        <f t="shared" si="9"/>
        <v>4149787.3054560004</v>
      </c>
      <c r="G8" s="23">
        <f>G10*(1+$H$24)</f>
        <v>345815.60878800001</v>
      </c>
      <c r="H8" s="27" t="s">
        <v>73</v>
      </c>
      <c r="I8" s="23">
        <f>F8-F10</f>
        <v>266400.30545600038</v>
      </c>
      <c r="J8" s="26">
        <f>I8/F10</f>
        <v>6.8599988993113578E-2</v>
      </c>
      <c r="K8" s="32">
        <f>N8*G8</f>
        <v>9527134805.1896362</v>
      </c>
      <c r="L8" s="32">
        <f>K8-K10</f>
        <v>662134805.18963623</v>
      </c>
      <c r="M8" s="26">
        <f>L8/K10</f>
        <v>7.4690897370517345E-2</v>
      </c>
      <c r="N8" s="24">
        <f>(1+P8)*N10</f>
        <v>27549.753577000003</v>
      </c>
      <c r="O8" s="24">
        <f>N8-N10</f>
        <v>156.14357700000255</v>
      </c>
      <c r="P8" s="25">
        <f>$H$26</f>
        <v>5.7000000000000002E-3</v>
      </c>
    </row>
    <row r="9" spans="1:16" x14ac:dyDescent="0.2">
      <c r="A9" s="21" t="s">
        <v>25</v>
      </c>
      <c r="B9" s="22">
        <v>5</v>
      </c>
      <c r="C9" s="23">
        <v>242846</v>
      </c>
      <c r="D9" s="23">
        <v>47389</v>
      </c>
      <c r="E9" s="23">
        <v>1465713</v>
      </c>
      <c r="F9" s="23">
        <v>1755948</v>
      </c>
      <c r="G9" s="23">
        <v>351189.6</v>
      </c>
      <c r="H9" s="23">
        <v>358404</v>
      </c>
      <c r="I9" s="27">
        <v>-2127439</v>
      </c>
      <c r="J9" s="27">
        <v>-0.54783079999999995</v>
      </c>
      <c r="K9" s="27" t="s">
        <v>73</v>
      </c>
      <c r="L9" s="27" t="s">
        <v>73</v>
      </c>
      <c r="M9" s="27" t="s">
        <v>73</v>
      </c>
      <c r="N9" s="27" t="s">
        <v>73</v>
      </c>
      <c r="O9" s="27" t="s">
        <v>73</v>
      </c>
      <c r="P9" s="27" t="s">
        <v>73</v>
      </c>
    </row>
    <row r="10" spans="1:16" x14ac:dyDescent="0.2">
      <c r="A10" s="22" t="s">
        <v>26</v>
      </c>
      <c r="B10" s="22">
        <v>12</v>
      </c>
      <c r="C10" s="23">
        <v>493655</v>
      </c>
      <c r="D10" s="23">
        <v>111456</v>
      </c>
      <c r="E10" s="23">
        <v>3278276</v>
      </c>
      <c r="F10" s="23">
        <v>3883387</v>
      </c>
      <c r="G10" s="23">
        <v>323615.58</v>
      </c>
      <c r="H10" s="23">
        <v>331687</v>
      </c>
      <c r="I10" s="23">
        <v>358537</v>
      </c>
      <c r="J10" s="26">
        <v>0.10171695</v>
      </c>
      <c r="K10" s="32">
        <v>8865000000</v>
      </c>
      <c r="L10" s="32">
        <v>1251000000</v>
      </c>
      <c r="M10" s="26">
        <v>0.16430259999999999</v>
      </c>
      <c r="N10" s="24">
        <v>27393.61</v>
      </c>
      <c r="O10" s="24">
        <v>1472.5098</v>
      </c>
      <c r="P10" s="26">
        <v>5.6807370000000003E-2</v>
      </c>
    </row>
    <row r="11" spans="1:16" x14ac:dyDescent="0.2">
      <c r="A11" s="22" t="s">
        <v>27</v>
      </c>
      <c r="B11" s="22">
        <v>12</v>
      </c>
      <c r="C11" s="23">
        <v>416312</v>
      </c>
      <c r="D11" s="23">
        <v>91950</v>
      </c>
      <c r="E11" s="23">
        <v>3016588</v>
      </c>
      <c r="F11" s="23">
        <v>3524850</v>
      </c>
      <c r="G11" s="23">
        <v>293737.5</v>
      </c>
      <c r="H11" s="23">
        <v>299176</v>
      </c>
      <c r="I11" s="23">
        <v>187501</v>
      </c>
      <c r="J11" s="26">
        <v>5.6182620000000003E-2</v>
      </c>
      <c r="K11" s="32">
        <v>7614000000</v>
      </c>
      <c r="L11" s="32">
        <v>-83000000</v>
      </c>
      <c r="M11" s="26">
        <v>-1.078342E-2</v>
      </c>
      <c r="N11" s="24">
        <v>25921.1</v>
      </c>
      <c r="O11" s="24">
        <v>-1754.7559000000001</v>
      </c>
      <c r="P11" s="26">
        <v>-6.3403840000000003E-2</v>
      </c>
    </row>
    <row r="12" spans="1:16" x14ac:dyDescent="0.2">
      <c r="A12" s="22" t="s">
        <v>28</v>
      </c>
      <c r="B12" s="22">
        <v>12</v>
      </c>
      <c r="C12" s="23">
        <v>356653</v>
      </c>
      <c r="D12" s="23">
        <v>67089</v>
      </c>
      <c r="E12" s="23">
        <v>2913607</v>
      </c>
      <c r="F12" s="23">
        <v>3337349</v>
      </c>
      <c r="G12" s="23">
        <v>278112.42</v>
      </c>
      <c r="H12" s="23">
        <v>280508</v>
      </c>
      <c r="I12" s="23">
        <v>84655</v>
      </c>
      <c r="J12" s="26">
        <v>2.602612E-2</v>
      </c>
      <c r="K12" s="32">
        <v>7697000000</v>
      </c>
      <c r="L12" s="32">
        <v>482000000</v>
      </c>
      <c r="M12" s="26">
        <v>6.680527E-2</v>
      </c>
      <c r="N12" s="24">
        <v>27675.86</v>
      </c>
      <c r="O12" s="24">
        <v>1057.9231</v>
      </c>
      <c r="P12" s="26">
        <v>3.9744750000000002E-2</v>
      </c>
    </row>
    <row r="13" spans="1:16" x14ac:dyDescent="0.2">
      <c r="A13" s="22" t="s">
        <v>29</v>
      </c>
      <c r="B13" s="22">
        <v>12</v>
      </c>
      <c r="C13" s="23">
        <v>271565</v>
      </c>
      <c r="D13" s="23">
        <v>65494</v>
      </c>
      <c r="E13" s="23">
        <v>2915635</v>
      </c>
      <c r="F13" s="23">
        <v>3252694</v>
      </c>
      <c r="G13" s="23">
        <v>271057.83</v>
      </c>
      <c r="H13" s="23">
        <v>270784</v>
      </c>
      <c r="I13" s="23">
        <v>61563</v>
      </c>
      <c r="J13" s="26">
        <v>1.9291909999999999E-2</v>
      </c>
      <c r="K13" s="32">
        <v>7215000000</v>
      </c>
      <c r="L13" s="32">
        <v>-550000000</v>
      </c>
      <c r="M13" s="26">
        <v>-7.0830649999999995E-2</v>
      </c>
      <c r="N13" s="24">
        <v>26617.94</v>
      </c>
      <c r="O13" s="24">
        <v>-2581.7429999999999</v>
      </c>
      <c r="P13" s="26">
        <v>-8.8416830000000002E-2</v>
      </c>
    </row>
    <row r="14" spans="1:16" x14ac:dyDescent="0.2">
      <c r="A14" s="22" t="s">
        <v>30</v>
      </c>
      <c r="B14" s="22">
        <v>12</v>
      </c>
      <c r="C14" s="23">
        <v>211114</v>
      </c>
      <c r="D14" s="23">
        <v>68522</v>
      </c>
      <c r="E14" s="23">
        <v>2911495</v>
      </c>
      <c r="F14" s="23">
        <v>3191131</v>
      </c>
      <c r="G14" s="23">
        <v>265927.58</v>
      </c>
      <c r="H14" s="23">
        <v>272758</v>
      </c>
      <c r="I14" s="23">
        <v>391265</v>
      </c>
      <c r="J14" s="26">
        <v>0.13974418999999999</v>
      </c>
      <c r="K14" s="32">
        <v>7765000000</v>
      </c>
      <c r="L14" s="32">
        <v>1480000000</v>
      </c>
      <c r="M14" s="26">
        <v>0.2354813</v>
      </c>
      <c r="N14" s="24">
        <v>29199.68</v>
      </c>
      <c r="O14" s="24">
        <v>2262.6752999999999</v>
      </c>
      <c r="P14" s="26">
        <v>8.3998779999999995E-2</v>
      </c>
    </row>
    <row r="15" spans="1:16" x14ac:dyDescent="0.2">
      <c r="A15" s="22" t="s">
        <v>31</v>
      </c>
      <c r="B15" s="22">
        <v>12</v>
      </c>
      <c r="C15" s="23">
        <v>146837</v>
      </c>
      <c r="D15" s="23">
        <v>68314</v>
      </c>
      <c r="E15" s="23">
        <v>2584715</v>
      </c>
      <c r="F15" s="23">
        <v>2799866</v>
      </c>
      <c r="G15" s="23">
        <v>233322.17</v>
      </c>
      <c r="H15" s="23">
        <v>240219</v>
      </c>
      <c r="I15" s="23">
        <v>359451</v>
      </c>
      <c r="J15" s="26">
        <v>0.14729092999999999</v>
      </c>
      <c r="K15" s="32">
        <v>6285000000</v>
      </c>
      <c r="L15" s="32">
        <v>473000000</v>
      </c>
      <c r="M15" s="26">
        <v>8.1383339999999998E-2</v>
      </c>
      <c r="N15" s="24">
        <v>26937</v>
      </c>
      <c r="O15" s="24">
        <v>-1641.7424000000001</v>
      </c>
      <c r="P15" s="26">
        <v>-5.7446270000000001E-2</v>
      </c>
    </row>
    <row r="16" spans="1:16" x14ac:dyDescent="0.2">
      <c r="A16" s="22" t="s">
        <v>32</v>
      </c>
      <c r="B16" s="22">
        <v>12</v>
      </c>
      <c r="C16" s="23">
        <v>102280</v>
      </c>
      <c r="D16" s="23">
        <v>67591</v>
      </c>
      <c r="E16" s="23">
        <v>2270544</v>
      </c>
      <c r="F16" s="23">
        <v>2440415</v>
      </c>
      <c r="G16" s="23">
        <v>203367.92</v>
      </c>
      <c r="H16" s="23">
        <v>210264</v>
      </c>
      <c r="I16" s="23">
        <v>352109</v>
      </c>
      <c r="J16" s="26">
        <v>0.16860987</v>
      </c>
      <c r="K16" s="32">
        <v>5812000000</v>
      </c>
      <c r="L16" s="32">
        <v>1200000000</v>
      </c>
      <c r="M16" s="26">
        <v>0.26019080999999999</v>
      </c>
      <c r="N16" s="24">
        <v>28578.75</v>
      </c>
      <c r="O16" s="24">
        <v>2076.8825999999999</v>
      </c>
      <c r="P16" s="26">
        <v>7.8367419999999993E-2</v>
      </c>
    </row>
    <row r="17" spans="1:16" x14ac:dyDescent="0.2">
      <c r="A17" s="22" t="s">
        <v>33</v>
      </c>
      <c r="B17" s="22">
        <v>12</v>
      </c>
      <c r="C17" s="23">
        <v>74966</v>
      </c>
      <c r="D17" s="23">
        <v>66883</v>
      </c>
      <c r="E17" s="23">
        <v>1946457</v>
      </c>
      <c r="F17" s="23">
        <v>2088306</v>
      </c>
      <c r="G17" s="23">
        <v>174025.5</v>
      </c>
      <c r="H17" s="23">
        <v>181219</v>
      </c>
      <c r="I17" s="23">
        <v>353466</v>
      </c>
      <c r="J17" s="26">
        <v>0.20374559</v>
      </c>
      <c r="K17" s="32">
        <v>4612000000</v>
      </c>
      <c r="L17" s="32">
        <v>819000000</v>
      </c>
      <c r="M17" s="26">
        <v>0.21592407</v>
      </c>
      <c r="N17" s="24">
        <v>26501.86</v>
      </c>
      <c r="O17" s="24">
        <v>265.43799999999999</v>
      </c>
      <c r="P17" s="26">
        <v>1.011715E-2</v>
      </c>
    </row>
    <row r="18" spans="1:16" x14ac:dyDescent="0.2">
      <c r="A18" s="22" t="s">
        <v>34</v>
      </c>
      <c r="B18" s="22">
        <v>12</v>
      </c>
      <c r="C18" s="23">
        <v>71979</v>
      </c>
      <c r="D18" s="23">
        <v>65736</v>
      </c>
      <c r="E18" s="23">
        <v>1597125</v>
      </c>
      <c r="F18" s="23">
        <v>1734840</v>
      </c>
      <c r="G18" s="23">
        <v>144570</v>
      </c>
      <c r="H18" s="23">
        <v>148887</v>
      </c>
      <c r="I18" s="23">
        <v>121067</v>
      </c>
      <c r="J18" s="26">
        <v>7.5021080000000004E-2</v>
      </c>
      <c r="K18" s="32">
        <v>3793000000</v>
      </c>
      <c r="L18" s="32">
        <v>322000000</v>
      </c>
      <c r="M18" s="26">
        <v>9.2768649999999994E-2</v>
      </c>
      <c r="N18" s="24">
        <v>26236.43</v>
      </c>
      <c r="O18" s="24">
        <v>426.1037</v>
      </c>
      <c r="P18" s="26">
        <v>1.6509039999999999E-2</v>
      </c>
    </row>
    <row r="19" spans="1:16" x14ac:dyDescent="0.2">
      <c r="A19" s="22" t="s">
        <v>35</v>
      </c>
      <c r="B19" s="22">
        <v>12</v>
      </c>
      <c r="C19" s="23">
        <v>68552</v>
      </c>
      <c r="D19" s="23">
        <v>67476</v>
      </c>
      <c r="E19" s="23">
        <v>1477745</v>
      </c>
      <c r="F19" s="23">
        <v>1613773</v>
      </c>
      <c r="G19" s="23">
        <v>134481.07999999999</v>
      </c>
      <c r="H19" s="23">
        <v>138251</v>
      </c>
      <c r="I19" s="23">
        <v>243287</v>
      </c>
      <c r="J19" s="26">
        <v>0.17751877999999999</v>
      </c>
      <c r="K19" s="32">
        <v>3471000000</v>
      </c>
      <c r="L19" s="32" t="s">
        <v>73</v>
      </c>
      <c r="M19" s="26" t="s">
        <v>73</v>
      </c>
      <c r="N19" s="24">
        <v>25810.32</v>
      </c>
      <c r="O19" s="24" t="s">
        <v>73</v>
      </c>
      <c r="P19" s="26" t="s">
        <v>73</v>
      </c>
    </row>
    <row r="21" spans="1:16" ht="16" thickBot="1" x14ac:dyDescent="0.25">
      <c r="A21" s="28" t="s">
        <v>47</v>
      </c>
      <c r="H21" s="28" t="s">
        <v>49</v>
      </c>
    </row>
    <row r="22" spans="1:16" ht="16" x14ac:dyDescent="0.2">
      <c r="A22" t="s">
        <v>48</v>
      </c>
      <c r="H22" s="4" t="s">
        <v>77</v>
      </c>
    </row>
    <row r="23" spans="1:16" x14ac:dyDescent="0.2">
      <c r="A23" t="str">
        <f>_xlfn.CONCAT("(2) Full-year Enrollment 2025 Estimate Represents YTD annualized. Months in YTD = ",B9,".")</f>
        <v>(2) Full-year Enrollment 2025 Estimate Represents YTD annualized. Months in YTD = 5.</v>
      </c>
      <c r="H23" t="s">
        <v>36</v>
      </c>
    </row>
    <row r="24" spans="1:16" ht="16" x14ac:dyDescent="0.2">
      <c r="A24" t="str">
        <f>_xlfn.CONCAT("(3) FY25 full-year spending estimate is based an assumption of per capita spending growth = ",ROUND(H26*100,2),"%")</f>
        <v>(3) FY25 full-year spending estimate is based an assumption of per capita spending growth = 0.57%</v>
      </c>
      <c r="H24" s="12">
        <v>6.8599999999999994E-2</v>
      </c>
    </row>
    <row r="25" spans="1:16" x14ac:dyDescent="0.2">
      <c r="H25" t="s">
        <v>37</v>
      </c>
    </row>
    <row r="26" spans="1:16" ht="16" x14ac:dyDescent="0.2">
      <c r="H26" s="12">
        <v>5.7000000000000002E-3</v>
      </c>
    </row>
    <row r="28" spans="1:16" ht="16" thickBot="1" x14ac:dyDescent="0.25">
      <c r="A28" s="28" t="s">
        <v>50</v>
      </c>
    </row>
    <row r="29" spans="1:16" x14ac:dyDescent="0.2">
      <c r="A29" t="s">
        <v>51</v>
      </c>
    </row>
    <row r="30" spans="1:16" x14ac:dyDescent="0.2">
      <c r="A30" t="s">
        <v>60</v>
      </c>
    </row>
    <row r="31" spans="1:16" x14ac:dyDescent="0.2">
      <c r="A31" t="s">
        <v>52</v>
      </c>
    </row>
    <row r="32" spans="1:16" x14ac:dyDescent="0.2">
      <c r="A32" t="s">
        <v>61</v>
      </c>
    </row>
    <row r="33" spans="1:1" x14ac:dyDescent="0.2">
      <c r="A33" t="s">
        <v>53</v>
      </c>
    </row>
    <row r="34" spans="1:1" x14ac:dyDescent="0.2">
      <c r="A34" t="s">
        <v>54</v>
      </c>
    </row>
    <row r="35" spans="1:1" x14ac:dyDescent="0.2">
      <c r="A35" t="s">
        <v>62</v>
      </c>
    </row>
    <row r="36" spans="1:1" x14ac:dyDescent="0.2">
      <c r="A36" t="s">
        <v>63</v>
      </c>
    </row>
    <row r="37" spans="1:1" x14ac:dyDescent="0.2">
      <c r="A37" t="s">
        <v>72</v>
      </c>
    </row>
    <row r="38" spans="1:1" x14ac:dyDescent="0.2">
      <c r="A38" t="s">
        <v>64</v>
      </c>
    </row>
    <row r="39" spans="1:1" x14ac:dyDescent="0.2">
      <c r="A39" t="s">
        <v>55</v>
      </c>
    </row>
    <row r="40" spans="1:1" x14ac:dyDescent="0.2">
      <c r="A40" t="s">
        <v>56</v>
      </c>
    </row>
  </sheetData>
  <sortState xmlns:xlrd2="http://schemas.microsoft.com/office/spreadsheetml/2017/richdata2" ref="A7:P19">
    <sortCondition descending="1" ref="A9:A19"/>
  </sortState>
  <mergeCells count="5">
    <mergeCell ref="I2:J2"/>
    <mergeCell ref="K2:M2"/>
    <mergeCell ref="N2:P2"/>
    <mergeCell ref="A1:P1"/>
    <mergeCell ref="C2:H2"/>
  </mergeCells>
  <pageMargins left="0.7" right="0.7" top="0.75" bottom="0.75" header="0.3" footer="0.3"/>
  <ignoredErrors>
    <ignoredError sqref="F4:F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R28" sqref="R28"/>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1.1640625" customWidth="1"/>
    <col min="17" max="17" width="13.33203125" customWidth="1"/>
    <col min="18" max="18" width="11.5" customWidth="1"/>
    <col min="19" max="19" width="16.83203125" customWidth="1"/>
    <col min="20" max="20" width="10.83203125" customWidth="1"/>
    <col min="21" max="21" width="0" hidden="1" customWidth="1"/>
    <col min="22" max="16384" width="10.83203125" hidden="1"/>
  </cols>
  <sheetData>
    <row r="1" spans="16:19" ht="16" thickBot="1" x14ac:dyDescent="0.25"/>
    <row r="2" spans="16:19" ht="18" thickBot="1" x14ac:dyDescent="0.25">
      <c r="P2" s="60" t="s">
        <v>9</v>
      </c>
      <c r="Q2" s="61"/>
      <c r="R2" s="61"/>
      <c r="S2" s="62"/>
    </row>
    <row r="3" spans="16:19" ht="16" thickTop="1" x14ac:dyDescent="0.2">
      <c r="P3" s="63" t="s">
        <v>45</v>
      </c>
      <c r="Q3" s="64"/>
      <c r="R3" s="64"/>
      <c r="S3" s="65"/>
    </row>
    <row r="4" spans="16:19" x14ac:dyDescent="0.2">
      <c r="P4" s="14"/>
      <c r="Q4" s="41"/>
      <c r="R4" s="41"/>
      <c r="S4" s="15"/>
    </row>
    <row r="5" spans="16:19" ht="16" thickBot="1" x14ac:dyDescent="0.25">
      <c r="P5" s="57" t="s">
        <v>20</v>
      </c>
      <c r="Q5" s="58"/>
      <c r="R5" s="58"/>
      <c r="S5" s="59"/>
    </row>
    <row r="6" spans="16:19" x14ac:dyDescent="0.2">
      <c r="P6" s="7" t="s">
        <v>10</v>
      </c>
      <c r="Q6" s="17">
        <f>AVERAGE(projection_data!E11)</f>
        <v>0.10171695</v>
      </c>
      <c r="R6" s="17"/>
      <c r="S6" s="15"/>
    </row>
    <row r="7" spans="16:19" x14ac:dyDescent="0.2">
      <c r="P7" s="7" t="s">
        <v>11</v>
      </c>
      <c r="Q7" s="17">
        <f>AVERAGE(projection_data!E9:E11)</f>
        <v>6.1308563333333337E-2</v>
      </c>
      <c r="R7" s="17"/>
      <c r="S7" s="15"/>
    </row>
    <row r="8" spans="16:19" x14ac:dyDescent="0.2">
      <c r="P8" s="7" t="s">
        <v>12</v>
      </c>
      <c r="Q8" s="17">
        <f>AVERAGE(projection_data!E7:E11)</f>
        <v>6.8592358000000006E-2</v>
      </c>
      <c r="R8" s="17"/>
      <c r="S8" s="15"/>
    </row>
    <row r="9" spans="16:19" x14ac:dyDescent="0.2">
      <c r="P9" s="14"/>
      <c r="Q9" s="41"/>
      <c r="R9" s="41"/>
      <c r="S9" s="15"/>
    </row>
    <row r="10" spans="16:19" ht="16" thickBot="1" x14ac:dyDescent="0.25">
      <c r="P10" s="57" t="s">
        <v>69</v>
      </c>
      <c r="Q10" s="58"/>
      <c r="R10" s="58"/>
      <c r="S10" s="59"/>
    </row>
    <row r="11" spans="16:19" x14ac:dyDescent="0.2">
      <c r="P11" s="7" t="s">
        <v>10</v>
      </c>
      <c r="Q11" s="42">
        <f>AVERAGE(projection_data!G11)</f>
        <v>5.6807370000000003E-2</v>
      </c>
      <c r="R11" s="42"/>
      <c r="S11" s="15"/>
    </row>
    <row r="12" spans="16:19" x14ac:dyDescent="0.2">
      <c r="P12" s="7" t="s">
        <v>11</v>
      </c>
      <c r="Q12" s="42">
        <f>AVERAGE(projection_data!G9:G11)</f>
        <v>1.1049426666666667E-2</v>
      </c>
      <c r="R12" s="42"/>
      <c r="S12" s="15"/>
    </row>
    <row r="13" spans="16:19" x14ac:dyDescent="0.2">
      <c r="P13" s="7" t="s">
        <v>12</v>
      </c>
      <c r="Q13" s="42">
        <f>AVERAGE(projection_data!G7:G11)</f>
        <v>5.7460459999999994E-3</v>
      </c>
      <c r="R13" s="42"/>
      <c r="S13" s="15"/>
    </row>
    <row r="14" spans="16:19" x14ac:dyDescent="0.2">
      <c r="P14" s="14"/>
      <c r="Q14" s="41"/>
      <c r="R14" s="41"/>
      <c r="S14" s="15"/>
    </row>
    <row r="15" spans="16:19" ht="18" thickBot="1" x14ac:dyDescent="0.25">
      <c r="P15" s="54" t="s">
        <v>8</v>
      </c>
      <c r="Q15" s="55"/>
      <c r="R15" s="55"/>
      <c r="S15" s="56"/>
    </row>
    <row r="16" spans="16:19" ht="16" thickTop="1" x14ac:dyDescent="0.2">
      <c r="P16" s="37" t="s">
        <v>13</v>
      </c>
      <c r="Q16" s="41"/>
      <c r="R16" s="41"/>
      <c r="S16" s="15"/>
    </row>
    <row r="17" spans="16:19" ht="16" customHeight="1" x14ac:dyDescent="0.2">
      <c r="P17" s="51" t="s">
        <v>77</v>
      </c>
      <c r="Q17" s="52"/>
      <c r="R17" s="52"/>
      <c r="S17" s="53"/>
    </row>
    <row r="18" spans="16:19" x14ac:dyDescent="0.2">
      <c r="P18" s="51"/>
      <c r="Q18" s="52"/>
      <c r="R18" s="52"/>
      <c r="S18" s="53"/>
    </row>
    <row r="19" spans="16:19" ht="16" thickBot="1" x14ac:dyDescent="0.25">
      <c r="P19" s="16" t="s">
        <v>20</v>
      </c>
      <c r="Q19" s="41"/>
      <c r="R19" s="40" t="s">
        <v>70</v>
      </c>
      <c r="S19" s="15"/>
    </row>
    <row r="20" spans="16:19" ht="16" x14ac:dyDescent="0.2">
      <c r="P20" s="13">
        <v>6.8599999999999994E-2</v>
      </c>
      <c r="Q20" s="4"/>
      <c r="R20" s="45">
        <v>5.7000000000000002E-3</v>
      </c>
      <c r="S20" s="6"/>
    </row>
    <row r="21" spans="16:19" x14ac:dyDescent="0.2">
      <c r="P21" s="5"/>
      <c r="S21" s="6"/>
    </row>
    <row r="22" spans="16:19" x14ac:dyDescent="0.2">
      <c r="P22" s="37" t="s">
        <v>71</v>
      </c>
      <c r="S22" s="6"/>
    </row>
    <row r="23" spans="16:19" ht="33" thickBot="1" x14ac:dyDescent="0.25">
      <c r="P23" s="38" t="s">
        <v>19</v>
      </c>
      <c r="Q23" s="43" t="s">
        <v>20</v>
      </c>
      <c r="R23" s="43" t="s">
        <v>18</v>
      </c>
      <c r="S23" s="39" t="s">
        <v>3</v>
      </c>
    </row>
    <row r="24" spans="16:19" ht="16" x14ac:dyDescent="0.2">
      <c r="P24" s="8" t="str" cm="1">
        <f t="array" ref="P24:P28">projection_data!B12:B16</f>
        <v>FY25</v>
      </c>
      <c r="Q24" s="44" cm="1">
        <f t="array" ref="Q24:Q28">projection_data!D12:D16</f>
        <v>345815.60878800001</v>
      </c>
      <c r="R24" s="33" cm="1">
        <f t="array" ref="R24:R28">projection_data!F12:F16</f>
        <v>27549.753577000003</v>
      </c>
      <c r="S24" s="35" cm="1">
        <f t="array" ref="S24:S28">projection_data!C12:C16</f>
        <v>9527134805.1896362</v>
      </c>
    </row>
    <row r="25" spans="16:19" ht="16" customHeight="1" x14ac:dyDescent="0.2">
      <c r="P25" s="8" t="str">
        <v>FY26</v>
      </c>
      <c r="Q25" s="44">
        <v>369538.55955085682</v>
      </c>
      <c r="R25" s="33">
        <v>27706.787172388904</v>
      </c>
      <c r="S25" s="35">
        <v>10238726221.466753</v>
      </c>
    </row>
    <row r="26" spans="16:19" ht="16" x14ac:dyDescent="0.2">
      <c r="P26" s="8" t="str">
        <v>FY27</v>
      </c>
      <c r="Q26" s="44">
        <v>394888.90473604557</v>
      </c>
      <c r="R26" s="33">
        <v>27864.71585927152</v>
      </c>
      <c r="S26" s="35">
        <v>11003467126.448851</v>
      </c>
    </row>
    <row r="27" spans="16:19" ht="16" x14ac:dyDescent="0.2">
      <c r="P27" s="8" t="str">
        <v>FY28</v>
      </c>
      <c r="Q27" s="44">
        <v>421978.28360093827</v>
      </c>
      <c r="R27" s="33">
        <v>28023.544739669371</v>
      </c>
      <c r="S27" s="35">
        <v>11825327309.659784</v>
      </c>
    </row>
    <row r="28" spans="16:19" ht="17" thickBot="1" x14ac:dyDescent="0.25">
      <c r="P28" s="9" t="str">
        <v>FY29</v>
      </c>
      <c r="Q28" s="10">
        <v>450925.99385596265</v>
      </c>
      <c r="R28" s="34">
        <v>28183.278944685488</v>
      </c>
      <c r="S28" s="36">
        <v>12708573068.252131</v>
      </c>
    </row>
    <row r="29" spans="16:19"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6393-3785-8B4D-BC33-531ADF13ED6E}">
  <dimension ref="A1:G16"/>
  <sheetViews>
    <sheetView workbookViewId="0">
      <selection activeCell="C35" sqref="C35"/>
    </sheetView>
  </sheetViews>
  <sheetFormatPr baseColWidth="10" defaultColWidth="8.83203125" defaultRowHeight="15" x14ac:dyDescent="0.2"/>
  <cols>
    <col min="2" max="2" width="9.1640625" bestFit="1" customWidth="1"/>
    <col min="3" max="3" width="20" customWidth="1"/>
    <col min="4" max="4" width="31" bestFit="1" customWidth="1"/>
    <col min="5" max="5" width="31" customWidth="1"/>
    <col min="6" max="6" width="31.1640625" bestFit="1" customWidth="1"/>
    <col min="7" max="7" width="45.1640625" bestFit="1" customWidth="1"/>
  </cols>
  <sheetData>
    <row r="1" spans="1:7" s="66" customFormat="1" ht="16" x14ac:dyDescent="0.2">
      <c r="A1" s="66" t="s">
        <v>14</v>
      </c>
      <c r="B1" s="66" t="s">
        <v>0</v>
      </c>
      <c r="C1" s="66" t="s">
        <v>3</v>
      </c>
      <c r="D1" s="67" t="s">
        <v>20</v>
      </c>
      <c r="E1" s="67" t="s">
        <v>46</v>
      </c>
      <c r="F1" s="66" t="s">
        <v>5</v>
      </c>
      <c r="G1" s="66" t="s">
        <v>7</v>
      </c>
    </row>
    <row r="2" spans="1:7" x14ac:dyDescent="0.2">
      <c r="A2" t="s">
        <v>15</v>
      </c>
      <c r="B2" t="s">
        <v>35</v>
      </c>
      <c r="C2" s="3">
        <v>3471000000</v>
      </c>
      <c r="D2" s="1">
        <v>134481.07999999999</v>
      </c>
      <c r="E2" s="18">
        <v>0.17751877999999999</v>
      </c>
      <c r="F2" s="3">
        <v>25810.32</v>
      </c>
      <c r="G2" s="2" t="s">
        <v>73</v>
      </c>
    </row>
    <row r="3" spans="1:7" x14ac:dyDescent="0.2">
      <c r="A3" t="s">
        <v>15</v>
      </c>
      <c r="B3" t="s">
        <v>34</v>
      </c>
      <c r="C3" s="3">
        <v>3793000000</v>
      </c>
      <c r="D3" s="1">
        <v>144570</v>
      </c>
      <c r="E3" s="18">
        <v>7.5021080000000004E-2</v>
      </c>
      <c r="F3" s="3">
        <v>26236.43</v>
      </c>
      <c r="G3" s="2">
        <v>1.6509039999999999E-2</v>
      </c>
    </row>
    <row r="4" spans="1:7" x14ac:dyDescent="0.2">
      <c r="A4" t="s">
        <v>15</v>
      </c>
      <c r="B4" t="s">
        <v>33</v>
      </c>
      <c r="C4" s="3">
        <v>4612000000</v>
      </c>
      <c r="D4" s="1">
        <v>174025.5</v>
      </c>
      <c r="E4" s="18">
        <v>0.20374559</v>
      </c>
      <c r="F4" s="3">
        <v>26501.86</v>
      </c>
      <c r="G4" s="2">
        <v>1.011715E-2</v>
      </c>
    </row>
    <row r="5" spans="1:7" x14ac:dyDescent="0.2">
      <c r="A5" t="s">
        <v>15</v>
      </c>
      <c r="B5" t="s">
        <v>32</v>
      </c>
      <c r="C5" s="3">
        <v>5812000000</v>
      </c>
      <c r="D5" s="1">
        <v>203367.92</v>
      </c>
      <c r="E5" s="18">
        <v>0.16860987</v>
      </c>
      <c r="F5" s="3">
        <v>28578.75</v>
      </c>
      <c r="G5" s="2">
        <v>7.8367419999999993E-2</v>
      </c>
    </row>
    <row r="6" spans="1:7" x14ac:dyDescent="0.2">
      <c r="A6" t="s">
        <v>15</v>
      </c>
      <c r="B6" t="s">
        <v>31</v>
      </c>
      <c r="C6" s="3">
        <v>6285000000</v>
      </c>
      <c r="D6" s="1">
        <v>233322.17</v>
      </c>
      <c r="E6" s="18">
        <v>0.14729092999999999</v>
      </c>
      <c r="F6" s="3">
        <v>26937</v>
      </c>
      <c r="G6" s="2">
        <v>-5.7446270000000001E-2</v>
      </c>
    </row>
    <row r="7" spans="1:7" x14ac:dyDescent="0.2">
      <c r="A7" t="s">
        <v>15</v>
      </c>
      <c r="B7" t="s">
        <v>30</v>
      </c>
      <c r="C7" s="3">
        <v>7765000000</v>
      </c>
      <c r="D7" s="1">
        <v>265927.58</v>
      </c>
      <c r="E7" s="18">
        <v>0.13974418999999999</v>
      </c>
      <c r="F7" s="3">
        <v>29199.68</v>
      </c>
      <c r="G7" s="2">
        <v>8.3998779999999995E-2</v>
      </c>
    </row>
    <row r="8" spans="1:7" x14ac:dyDescent="0.2">
      <c r="A8" t="s">
        <v>15</v>
      </c>
      <c r="B8" t="s">
        <v>29</v>
      </c>
      <c r="C8" s="3">
        <v>7215000000</v>
      </c>
      <c r="D8" s="1">
        <v>271057.83</v>
      </c>
      <c r="E8" s="18">
        <v>1.9291909999999999E-2</v>
      </c>
      <c r="F8" s="3">
        <v>26617.94</v>
      </c>
      <c r="G8" s="2">
        <v>-8.8416830000000002E-2</v>
      </c>
    </row>
    <row r="9" spans="1:7" x14ac:dyDescent="0.2">
      <c r="A9" t="s">
        <v>15</v>
      </c>
      <c r="B9" t="s">
        <v>28</v>
      </c>
      <c r="C9" s="3">
        <v>7697000000</v>
      </c>
      <c r="D9" s="1">
        <v>278112.42</v>
      </c>
      <c r="E9" s="18">
        <v>2.602612E-2</v>
      </c>
      <c r="F9" s="3">
        <v>27675.86</v>
      </c>
      <c r="G9" s="2">
        <v>3.9744750000000002E-2</v>
      </c>
    </row>
    <row r="10" spans="1:7" x14ac:dyDescent="0.2">
      <c r="A10" t="s">
        <v>15</v>
      </c>
      <c r="B10" t="s">
        <v>27</v>
      </c>
      <c r="C10" s="3">
        <v>7614000000</v>
      </c>
      <c r="D10" s="1">
        <v>293737.5</v>
      </c>
      <c r="E10" s="18">
        <v>5.6182620000000003E-2</v>
      </c>
      <c r="F10" s="3">
        <v>25921.1</v>
      </c>
      <c r="G10" s="2">
        <v>-6.3403840000000003E-2</v>
      </c>
    </row>
    <row r="11" spans="1:7" x14ac:dyDescent="0.2">
      <c r="A11" t="s">
        <v>15</v>
      </c>
      <c r="B11" t="s">
        <v>26</v>
      </c>
      <c r="C11" s="3">
        <v>8865000000</v>
      </c>
      <c r="D11" s="1">
        <v>323615.58</v>
      </c>
      <c r="E11" s="18">
        <v>0.10171695</v>
      </c>
      <c r="F11" s="3">
        <v>27393.61</v>
      </c>
      <c r="G11" s="2">
        <v>5.6807370000000003E-2</v>
      </c>
    </row>
    <row r="12" spans="1:7" s="29" customFormat="1" x14ac:dyDescent="0.2">
      <c r="A12" s="29" t="s">
        <v>16</v>
      </c>
      <c r="B12" s="29" t="s">
        <v>40</v>
      </c>
      <c r="C12" s="30">
        <f>D12*F12</f>
        <v>9527134805.1896362</v>
      </c>
      <c r="D12" s="31">
        <f>(1+Graph!$P$20)*D11</f>
        <v>345815.60878800001</v>
      </c>
      <c r="E12" s="30"/>
      <c r="F12" s="30">
        <f>(1+Graph!$R$20)*F11</f>
        <v>27549.753577000003</v>
      </c>
    </row>
    <row r="13" spans="1:7" s="29" customFormat="1" x14ac:dyDescent="0.2">
      <c r="A13" s="29" t="s">
        <v>16</v>
      </c>
      <c r="B13" s="29" t="s">
        <v>41</v>
      </c>
      <c r="C13" s="30">
        <f>D13*F13</f>
        <v>10238726221.466753</v>
      </c>
      <c r="D13" s="31">
        <f>(1+Graph!$P$20)*D12</f>
        <v>369538.55955085682</v>
      </c>
      <c r="E13" s="30"/>
      <c r="F13" s="30">
        <f>(1+Graph!$R$20)*F12</f>
        <v>27706.787172388904</v>
      </c>
    </row>
    <row r="14" spans="1:7" s="29" customFormat="1" x14ac:dyDescent="0.2">
      <c r="A14" s="29" t="s">
        <v>16</v>
      </c>
      <c r="B14" s="29" t="s">
        <v>42</v>
      </c>
      <c r="C14" s="30">
        <f>D14*F14</f>
        <v>11003467126.448851</v>
      </c>
      <c r="D14" s="31">
        <f>(1+Graph!$P$20)*D13</f>
        <v>394888.90473604557</v>
      </c>
      <c r="E14" s="30"/>
      <c r="F14" s="30">
        <f>(1+Graph!$R$20)*F13</f>
        <v>27864.71585927152</v>
      </c>
    </row>
    <row r="15" spans="1:7" s="29" customFormat="1" x14ac:dyDescent="0.2">
      <c r="A15" s="29" t="s">
        <v>16</v>
      </c>
      <c r="B15" s="29" t="s">
        <v>43</v>
      </c>
      <c r="C15" s="30">
        <f>D15*F15</f>
        <v>11825327309.659784</v>
      </c>
      <c r="D15" s="31">
        <f>(1+Graph!$P$20)*D14</f>
        <v>421978.28360093827</v>
      </c>
      <c r="E15" s="30"/>
      <c r="F15" s="30">
        <f>(1+Graph!$R$20)*F14</f>
        <v>28023.544739669371</v>
      </c>
    </row>
    <row r="16" spans="1:7" s="29" customFormat="1" x14ac:dyDescent="0.2">
      <c r="A16" s="29" t="s">
        <v>16</v>
      </c>
      <c r="B16" s="29" t="s">
        <v>44</v>
      </c>
      <c r="C16" s="30">
        <f>D16*F16</f>
        <v>12708573068.252131</v>
      </c>
      <c r="D16" s="31">
        <f>(1+Graph!$P$20)*D15</f>
        <v>450925.99385596265</v>
      </c>
      <c r="E16" s="30"/>
      <c r="F16" s="30">
        <f>(1+Graph!$R$20)*F15</f>
        <v>28183.278944685488</v>
      </c>
    </row>
  </sheetData>
  <sheetProtection sheet="1" objects="1" scenarios="1"/>
  <sortState xmlns:xlrd2="http://schemas.microsoft.com/office/spreadsheetml/2017/richdata2" ref="B2:G12">
    <sortCondition ref="B2:B12"/>
  </sortState>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2025-03-07T14:47:53Z</dcterms:modified>
</cp:coreProperties>
</file>