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isaac/Documents/RProjects/s2p_data_analyses/"/>
    </mc:Choice>
  </mc:AlternateContent>
  <xr:revisionPtr revIDLastSave="0" documentId="13_ncr:1_{F558D929-3845-6344-8333-38F5816C1C75}" xr6:coauthVersionLast="47" xr6:coauthVersionMax="47" xr10:uidLastSave="{00000000-0000-0000-0000-000000000000}"/>
  <bookViews>
    <workbookView xWindow="0" yWindow="500" windowWidth="28800" windowHeight="17500" xr2:uid="{00000000-000D-0000-FFFF-FFFF00000000}"/>
  </bookViews>
  <sheets>
    <sheet name="Table" sheetId="4" r:id="rId1"/>
    <sheet name="Graph" sheetId="3" r:id="rId2"/>
    <sheet name="projection_data" sheetId="6"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4" l="1"/>
  <c r="K16" i="6"/>
  <c r="N17" i="6"/>
  <c r="P6" i="4"/>
  <c r="P5" i="4"/>
  <c r="P4" i="4"/>
  <c r="D8" i="4"/>
  <c r="D7" i="4" s="1"/>
  <c r="D6" i="4" s="1"/>
  <c r="D5" i="4" s="1"/>
  <c r="D4" i="4" s="1"/>
  <c r="C8" i="4"/>
  <c r="C7" i="4" s="1"/>
  <c r="C6" i="4" s="1"/>
  <c r="C5" i="4" s="1"/>
  <c r="C4" i="4" s="1"/>
  <c r="E8" i="4"/>
  <c r="E7" i="4" s="1"/>
  <c r="E6" i="4" s="1"/>
  <c r="E5" i="4" s="1"/>
  <c r="E4" i="4" s="1"/>
  <c r="G8" i="4"/>
  <c r="G7" i="4" s="1"/>
  <c r="G6" i="4" s="1"/>
  <c r="P7" i="4"/>
  <c r="P8" i="4"/>
  <c r="F8" i="4" l="1"/>
  <c r="G5" i="4"/>
  <c r="F6" i="4"/>
  <c r="F7" i="4"/>
  <c r="I7" i="4" s="1"/>
  <c r="J7" i="4" s="1"/>
  <c r="I6" i="4" l="1"/>
  <c r="J6" i="4" s="1"/>
  <c r="G4" i="4"/>
  <c r="F4" i="4" s="1"/>
  <c r="F5" i="4"/>
  <c r="I5" i="4" s="1"/>
  <c r="J5" i="4" s="1"/>
  <c r="I4" i="4" l="1"/>
  <c r="J4" i="4" s="1"/>
  <c r="P15" i="6" l="1"/>
  <c r="P16" i="6" s="1"/>
  <c r="P17" i="6" s="1"/>
  <c r="P18" i="6" s="1"/>
  <c r="P19" i="6" s="1"/>
  <c r="Q11" i="3"/>
  <c r="Q12" i="3"/>
  <c r="Q13" i="3"/>
  <c r="P24" i="3" a="1"/>
  <c r="P24" i="3" s="1"/>
  <c r="Q8" i="3"/>
  <c r="Q7" i="3"/>
  <c r="Q6" i="3"/>
  <c r="O4" i="6"/>
  <c r="O5" i="6"/>
  <c r="O6" i="6"/>
  <c r="O7" i="6"/>
  <c r="O8" i="6"/>
  <c r="O9" i="6"/>
  <c r="O10" i="6"/>
  <c r="O11" i="6"/>
  <c r="O12" i="6"/>
  <c r="O13" i="6"/>
  <c r="O14" i="6"/>
  <c r="O3" i="6"/>
  <c r="I8" i="4" l="1"/>
  <c r="R24" i="3" a="1"/>
  <c r="R24" i="3" s="1"/>
  <c r="N15" i="6"/>
  <c r="K15" i="6" s="1"/>
  <c r="G15" i="6"/>
  <c r="G16" i="6" s="1"/>
  <c r="G17" i="6" s="1"/>
  <c r="G18" i="6" s="1"/>
  <c r="G19" i="6" s="1"/>
  <c r="N16" i="6" l="1"/>
  <c r="A27" i="4"/>
  <c r="A26" i="4"/>
  <c r="N8" i="4"/>
  <c r="N7" i="4" s="1"/>
  <c r="K7" i="4" l="1"/>
  <c r="O7" i="4"/>
  <c r="N6" i="4"/>
  <c r="N18" i="6"/>
  <c r="K8" i="4"/>
  <c r="L8" i="4" s="1"/>
  <c r="M8" i="4" s="1"/>
  <c r="J8" i="4"/>
  <c r="O8" i="4"/>
  <c r="N5" i="4" l="1"/>
  <c r="O6" i="4"/>
  <c r="K6" i="4"/>
  <c r="L6" i="4" s="1"/>
  <c r="M6" i="4" s="1"/>
  <c r="L7" i="4"/>
  <c r="M7" i="4" s="1"/>
  <c r="K17" i="6"/>
  <c r="N19" i="6"/>
  <c r="K18" i="6"/>
  <c r="O5" i="4" l="1"/>
  <c r="N4" i="4"/>
  <c r="L5" i="4"/>
  <c r="M5" i="4" s="1"/>
  <c r="K19" i="6"/>
  <c r="S24" i="3" s="1" a="1"/>
  <c r="S24" i="3" s="1"/>
  <c r="Q24" i="3" a="1"/>
  <c r="Q24" i="3" s="1"/>
  <c r="K4" i="4" l="1"/>
  <c r="L4" i="4" s="1"/>
  <c r="M4" i="4" s="1"/>
  <c r="O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<sst xmlns="http://schemas.openxmlformats.org/spreadsheetml/2006/main" count="152" uniqueCount="88">
  <si>
    <t>Fiscal Year</t>
  </si>
  <si>
    <t>Months Reported</t>
  </si>
  <si>
    <t>Enrollee Months</t>
  </si>
  <si>
    <t>Average Monthly Change %</t>
  </si>
  <si>
    <t>Enrollee Months Annual Change</t>
  </si>
  <si>
    <t>Enrollee Months Annual Change %</t>
  </si>
  <si>
    <t>State Spending</t>
  </si>
  <si>
    <t>State Spending Annual Change</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</si>
  <si>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</si>
  <si>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</si>
  <si>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</si>
  <si>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</si>
  <si>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</si>
  <si>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</si>
  <si>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</si>
  <si>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</si>
  <si>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</si>
  <si>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</si>
  <si>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Data  Type</t>
  </si>
  <si>
    <t>Actual</t>
  </si>
  <si>
    <t>Projected</t>
  </si>
  <si>
    <t>Growth Trends</t>
  </si>
  <si>
    <t>Per Capita Spending</t>
  </si>
  <si>
    <t>State Fiscal Year</t>
  </si>
  <si>
    <t>Average Annual Enrollment</t>
  </si>
  <si>
    <t>Enrollee Months % Growth</t>
  </si>
  <si>
    <t>Average Annual Per Capita Spending % Growth</t>
  </si>
  <si>
    <t>FY26 (Forecast)</t>
  </si>
  <si>
    <t>FY25 (Estimate)(1)(2)</t>
  </si>
  <si>
    <t>FY25 (YTD)</t>
  </si>
  <si>
    <t>FY24</t>
  </si>
  <si>
    <t>FY23</t>
  </si>
  <si>
    <t>FY22</t>
  </si>
  <si>
    <t>FY21</t>
  </si>
  <si>
    <t>FY20</t>
  </si>
  <si>
    <t>FY19</t>
  </si>
  <si>
    <t>FY18</t>
  </si>
  <si>
    <t>FY17</t>
  </si>
  <si>
    <t>FY16</t>
  </si>
  <si>
    <t>FY15</t>
  </si>
  <si>
    <t>FY14</t>
  </si>
  <si>
    <t>FY13</t>
  </si>
  <si>
    <t>FY12</t>
  </si>
  <si>
    <t>Average Annual Enrollment:</t>
  </si>
  <si>
    <t>Average Annual Per Capita Spending:</t>
  </si>
  <si>
    <t>State Spending (Millions)</t>
  </si>
  <si>
    <t>State Spending Annual Change (Millions)</t>
  </si>
  <si>
    <t>FY25</t>
  </si>
  <si>
    <t>FY26</t>
  </si>
  <si>
    <t>FY27</t>
  </si>
  <si>
    <t>FY28</t>
  </si>
  <si>
    <t>FY29</t>
  </si>
  <si>
    <t>Average Annual Growth Rates (as of FY24)</t>
  </si>
  <si>
    <t>Average Annual Enrollment Change %</t>
  </si>
  <si>
    <t>Notes</t>
  </si>
  <si>
    <t>(1) Data sources: Full-year Enrollment 2025 Estimate Represents YTD annualized</t>
  </si>
  <si>
    <t>FY26 Growth Assumptions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</si>
  <si>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</si>
  <si>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</si>
  <si>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</si>
  <si>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</si>
  <si>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</si>
  <si>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</si>
  <si>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</si>
  <si>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</si>
  <si>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t>Medicaid Managed Long Term Care Enrollment and Spending</t>
  </si>
  <si>
    <t>PARTIAL MLTC</t>
  </si>
  <si>
    <t>PACE</t>
  </si>
  <si>
    <t>MAP</t>
  </si>
  <si>
    <t>Total Medicaid Managed Long Term Care Enrollment</t>
  </si>
  <si>
    <r>
      <rPr>
        <b/>
        <sz val="11"/>
        <color theme="1"/>
        <rFont val="Calibri"/>
        <family val="2"/>
        <scheme val="minor"/>
      </rPr>
      <t>Enrollee Months:</t>
    </r>
    <r>
      <rPr>
        <sz val="11"/>
        <color theme="1"/>
        <rFont val="Calibri"/>
        <family val="2"/>
        <scheme val="minor"/>
      </rPr>
      <t xml:space="preserve"> The total number of Medicaid managed long term care enrollee months reported within the fiscal year.</t>
    </r>
  </si>
  <si>
    <r>
      <rPr>
        <b/>
        <sz val="11"/>
        <color theme="1"/>
        <rFont val="Calibri"/>
        <family val="2"/>
        <scheme val="minor"/>
      </rPr>
      <t>End of Period Enrollment:</t>
    </r>
    <r>
      <rPr>
        <sz val="11"/>
        <color theme="1"/>
        <rFont val="Calibri"/>
        <family val="2"/>
        <scheme val="minor"/>
      </rPr>
      <t xml:space="preserve"> The total number of Medicaid managed long term care enrollees at the end of the reporting period. For completed fiscal years, this represents the enrollment total on the final day of the year. For partial fiscal years, it reflects the year-to-date (YTD) enrollment total as of the most recent reporting date.</t>
    </r>
  </si>
  <si>
    <r>
      <rPr>
        <b/>
        <sz val="11"/>
        <color theme="1"/>
        <rFont val="Calibri"/>
        <family val="2"/>
        <scheme val="minor"/>
      </rPr>
      <t>State Spending (Millions):</t>
    </r>
    <r>
      <rPr>
        <sz val="11"/>
        <color theme="1"/>
        <rFont val="Calibri"/>
        <family val="2"/>
        <scheme val="minor"/>
      </rPr>
      <t xml:space="preserve"> The total Medicaid managed long term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</si>
  <si>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long term care, expressed in millions of dollars.</t>
    </r>
  </si>
  <si>
    <r>
      <rPr>
        <b/>
        <sz val="11"/>
        <color theme="1"/>
        <rFont val="Calibri"/>
        <family val="2"/>
        <scheme val="minor"/>
      </rPr>
      <t>Average Annual Spending per Enrollee:</t>
    </r>
    <r>
      <rPr>
        <sz val="11"/>
        <color theme="1"/>
        <rFont val="Calibri"/>
        <family val="2"/>
        <scheme val="minor"/>
      </rPr>
      <t xml:space="preserve"> The average amount of Medicaid managed long term care State spending per enrollee for the fiscal year.</t>
    </r>
  </si>
  <si>
    <t>PACE
Enrollee Months</t>
  </si>
  <si>
    <t>MAP
Enrollee Months</t>
  </si>
  <si>
    <t>PARTIAL MLTC
Enrollee Months</t>
  </si>
  <si>
    <t>Total
Enrollee Months</t>
  </si>
  <si>
    <t>Per Capita Spending State Spending</t>
  </si>
  <si>
    <t>Per Capita State Spending</t>
  </si>
  <si>
    <t>Calculations</t>
  </si>
  <si>
    <r>
      <rPr>
        <b/>
        <sz val="11"/>
        <color theme="1"/>
        <rFont val="Calibri"/>
        <family val="2"/>
        <scheme val="minor"/>
      </rPr>
      <t>State Spending Annual Change %:</t>
    </r>
    <r>
      <rPr>
        <sz val="11"/>
        <color theme="1"/>
        <rFont val="Calibri"/>
        <family val="2"/>
        <scheme val="minor"/>
      </rPr>
      <t xml:space="preserve"> The percentage change in the State’s share of Medicaid managed long term care spending compared to the prior fiscal year.</t>
    </r>
  </si>
  <si>
    <t>NA</t>
  </si>
  <si>
    <t>FY27 (Forecast)</t>
  </si>
  <si>
    <t>FY28 (Forecast)</t>
  </si>
  <si>
    <t>FY29 (Forecast)</t>
  </si>
  <si>
    <t>You can forecast projected enrollment and State spending by changing the two inputs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</si>
</sst>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
      <sz val="11"/>
      <color theme="5" tint="0.3999755851924192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68">
    <xf numFmtId="0" fontId="0" fillId="0" borderId="0" xfId="0"/>
    <xf numFmtId="0" fontId="2" fillId="0" borderId="0" xfId="0" applyFont="1" applyAlignment="1">
      <alignment horizontal="center"/>
    </xf>
    <xf numFmtId="3" fontId="0" fillId="0" borderId="0" xfId="0" applyNumberFormat="1"/>
    <xf numFmtId="10" fontId="0" fillId="0" borderId="0" xfId="0" applyNumberFormat="1"/>
    <xf numFmtId="6" fontId="0" fillId="0" borderId="0" xfId="0" applyNumberForma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0" fontId="8" fillId="3" borderId="17" xfId="7" applyBorder="1"/>
    <xf numFmtId="165" fontId="8" fillId="3" borderId="18" xfId="7" applyNumberFormat="1" applyBorder="1"/>
    <xf numFmtId="0" fontId="0" fillId="0" borderId="0" xfId="0" applyAlignment="1">
      <alignment vertical="center"/>
    </xf>
    <xf numFmtId="0" fontId="2" fillId="0" borderId="0" xfId="0" applyFont="1" applyAlignment="1">
      <alignment horizontal="center" wrapText="1"/>
    </xf>
    <xf numFmtId="164" fontId="14" fillId="2" borderId="3" xfId="6" applyNumberFormat="1" applyFont="1" applyAlignment="1">
      <alignment horizontal="right" wrapText="1"/>
    </xf>
    <xf numFmtId="10" fontId="14" fillId="2" borderId="14" xfId="6" applyNumberFormat="1" applyFont="1" applyBorder="1" applyProtection="1">
      <protection locked="0"/>
    </xf>
    <xf numFmtId="0" fontId="3" fillId="0" borderId="8" xfId="0" applyFont="1" applyBorder="1"/>
    <xf numFmtId="0" fontId="3" fillId="0" borderId="9" xfId="0" applyFont="1" applyBorder="1"/>
    <xf numFmtId="0" fontId="2" fillId="0" borderId="10" xfId="4" applyFont="1" applyBorder="1"/>
    <xf numFmtId="10" fontId="3" fillId="0" borderId="0" xfId="1" applyNumberFormat="1" applyFont="1" applyBorder="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3"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0" fontId="6" fillId="0" borderId="2" xfId="4"/>
    <xf numFmtId="0" fontId="16" fillId="0" borderId="0" xfId="0" applyFont="1"/>
    <xf numFmtId="8" fontId="16" fillId="0" borderId="0" xfId="0" applyNumberFormat="1" applyFont="1"/>
    <xf numFmtId="3" fontId="16" fillId="0" borderId="0" xfId="0" applyNumberFormat="1" applyFont="1"/>
    <xf numFmtId="167" fontId="0" fillId="0" borderId="20" xfId="0" applyNumberFormat="1" applyBorder="1"/>
    <xf numFmtId="166" fontId="8" fillId="3" borderId="4" xfId="10" applyNumberFormat="1" applyFont="1" applyFill="1" applyBorder="1"/>
    <xf numFmtId="166" fontId="8" fillId="3" borderId="22" xfId="10" applyNumberFormat="1" applyFont="1" applyFill="1" applyBorder="1"/>
    <xf numFmtId="166" fontId="1" fillId="9" borderId="16" xfId="11" applyNumberFormat="1" applyBorder="1"/>
    <xf numFmtId="166" fontId="1" fillId="9" borderId="19" xfId="11" applyNumberFormat="1" applyBorder="1"/>
    <xf numFmtId="0" fontId="6" fillId="0" borderId="8" xfId="5" applyBorder="1"/>
    <xf numFmtId="0" fontId="2" fillId="0" borderId="10" xfId="4" applyFont="1" applyBorder="1" applyAlignment="1">
      <alignment wrapText="1"/>
    </xf>
    <xf numFmtId="0" fontId="2" fillId="0" borderId="11" xfId="4" applyFont="1" applyBorder="1" applyAlignment="1">
      <alignment horizontal="right" wrapText="1"/>
    </xf>
    <xf numFmtId="0" fontId="2" fillId="0" borderId="2" xfId="4" applyFont="1"/>
    <xf numFmtId="0" fontId="3" fillId="0" borderId="0" xfId="0" applyFont="1"/>
    <xf numFmtId="10" fontId="3" fillId="0" borderId="0" xfId="0" applyNumberFormat="1" applyFont="1"/>
    <xf numFmtId="0" fontId="2" fillId="0" borderId="2" xfId="4" applyFont="1" applyAlignment="1">
      <alignment horizontal="right" wrapText="1"/>
    </xf>
    <xf numFmtId="165" fontId="8" fillId="3" borderId="4" xfId="7" applyNumberFormat="1"/>
    <xf numFmtId="10" fontId="14" fillId="2" borderId="3" xfId="6" applyNumberFormat="1" applyFont="1" applyProtection="1">
      <protection locked="0"/>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10" fillId="5" borderId="21" xfId="9" applyFont="1" applyFill="1" applyBorder="1" applyAlignment="1">
      <alignment horizontal="center" vertical="center"/>
    </xf>
    <xf numFmtId="0" fontId="9" fillId="0" borderId="8" xfId="8" applyBorder="1" applyAlignment="1">
      <alignment wrapText="1"/>
    </xf>
    <xf numFmtId="0" fontId="9" fillId="0" borderId="0" xfId="8" applyBorder="1" applyAlignment="1">
      <alignment wrapText="1"/>
    </xf>
    <xf numFmtId="0" fontId="9" fillId="0" borderId="9" xfId="8" applyBorder="1" applyAlignment="1">
      <alignment wrapText="1"/>
    </xf>
    <xf numFmtId="0" fontId="15" fillId="0" borderId="12" xfId="3" applyFont="1" applyBorder="1"/>
    <xf numFmtId="0" fontId="15" fillId="0" borderId="1" xfId="3" applyFont="1"/>
    <xf numFmtId="0" fontId="15" fillId="0" borderId="13" xfId="3" applyFont="1" applyBorder="1"/>
    <xf numFmtId="0" fontId="2" fillId="0" borderId="10" xfId="4" applyFont="1" applyBorder="1"/>
    <xf numFmtId="0" fontId="2" fillId="0" borderId="2" xfId="4" applyFont="1"/>
    <xf numFmtId="0" fontId="2" fillId="0" borderId="11" xfId="4" applyFont="1" applyBorder="1"/>
    <xf numFmtId="0" fontId="15" fillId="0" borderId="5" xfId="3" applyFont="1" applyBorder="1"/>
    <xf numFmtId="0" fontId="15" fillId="0" borderId="6" xfId="3" applyFont="1" applyBorder="1"/>
    <xf numFmtId="0" fontId="15" fillId="0" borderId="7" xfId="3" applyFont="1" applyBorder="1"/>
    <xf numFmtId="0" fontId="2" fillId="0" borderId="8" xfId="5" applyFont="1" applyBorder="1"/>
    <xf numFmtId="0" fontId="2" fillId="0" borderId="0" xfId="5" applyFont="1" applyBorder="1"/>
    <xf numFmtId="0" fontId="2" fillId="0" borderId="9" xfId="5" applyFont="1" applyBorder="1"/>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0"/>
  <tableStyles count="0" defaultTableStyle="TableStyleMedium9" defaultPivotStyle="PivotStyleLight16"/>
  <colors>
    <mruColors>
      <color rgb="FFF2DCDB"/>
      <color rgb="FFE4DFEC"/>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Long Term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chemeClr val="accent1">
                <a:lumMod val="40000"/>
                <a:lumOff val="60000"/>
                <a:alpha val="80000"/>
              </a:schemeClr>
            </a:solidFill>
            <a:ln>
              <a:noFill/>
            </a:ln>
            <a:effectLst/>
          </c:spPr>
          <c:invertIfNegative val="0"/>
          <c:dPt>
            <c:idx val="13"/>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chemeClr val="accent1">
                  <a:lumMod val="40000"/>
                  <a:lumOff val="60000"/>
                  <a:alpha val="80000"/>
                </a:schemeClr>
              </a:solidFill>
              <a:ln>
                <a:noFill/>
              </a:ln>
              <a:effectLst/>
            </c:spPr>
            <c:extLst>
              <c:ext xmlns:c16="http://schemas.microsoft.com/office/drawing/2014/chart" uri="{C3380CC4-5D6E-409C-BE32-E72D297353CC}">
                <c16:uniqueId val="{00000003-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projection_data!$N$2:$N$19</c:f>
              <c:numCache>
                <c:formatCode>#,##0</c:formatCode>
                <c:ptCount val="18"/>
                <c:pt idx="0">
                  <c:v>41432</c:v>
                </c:pt>
                <c:pt idx="1">
                  <c:v>66626</c:v>
                </c:pt>
                <c:pt idx="2">
                  <c:v>114207</c:v>
                </c:pt>
                <c:pt idx="3">
                  <c:v>134481</c:v>
                </c:pt>
                <c:pt idx="4">
                  <c:v>144570</c:v>
                </c:pt>
                <c:pt idx="5">
                  <c:v>174026</c:v>
                </c:pt>
                <c:pt idx="6">
                  <c:v>203368</c:v>
                </c:pt>
                <c:pt idx="7">
                  <c:v>233322</c:v>
                </c:pt>
                <c:pt idx="8">
                  <c:v>265928</c:v>
                </c:pt>
                <c:pt idx="9">
                  <c:v>271059</c:v>
                </c:pt>
                <c:pt idx="10">
                  <c:v>278111</c:v>
                </c:pt>
                <c:pt idx="11">
                  <c:v>293732</c:v>
                </c:pt>
                <c:pt idx="12">
                  <c:v>323624</c:v>
                </c:pt>
                <c:pt idx="13">
                  <c:v>345824.60639999999</c:v>
                </c:pt>
                <c:pt idx="14">
                  <c:v>369548.17439904</c:v>
                </c:pt>
                <c:pt idx="15">
                  <c:v>394899.17916281417</c:v>
                </c:pt>
                <c:pt idx="16">
                  <c:v>421989.2628533832</c:v>
                </c:pt>
                <c:pt idx="17">
                  <c:v>450937.7262851253</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projection_data!$K$1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projection_data!$K$2:$K$19</c:f>
              <c:numCache>
                <c:formatCode>"$"#,##0_);[Red]\("$"#,##0\)</c:formatCode>
                <c:ptCount val="18"/>
                <c:pt idx="0">
                  <c:v>4716379000</c:v>
                </c:pt>
                <c:pt idx="1">
                  <c:v>5199000000</c:v>
                </c:pt>
                <c:pt idx="2">
                  <c:v>4401000000</c:v>
                </c:pt>
                <c:pt idx="3">
                  <c:v>7477000000</c:v>
                </c:pt>
                <c:pt idx="4">
                  <c:v>7848000000</c:v>
                </c:pt>
                <c:pt idx="5">
                  <c:v>8284000000</c:v>
                </c:pt>
                <c:pt idx="6">
                  <c:v>9205000000</c:v>
                </c:pt>
                <c:pt idx="7">
                  <c:v>9670000000</c:v>
                </c:pt>
                <c:pt idx="8">
                  <c:v>11187000000</c:v>
                </c:pt>
                <c:pt idx="9">
                  <c:v>10648000000</c:v>
                </c:pt>
                <c:pt idx="10">
                  <c:v>11627000000</c:v>
                </c:pt>
                <c:pt idx="11">
                  <c:v>11742000000</c:v>
                </c:pt>
                <c:pt idx="12">
                  <c:v>13428000000</c:v>
                </c:pt>
                <c:pt idx="13" formatCode="&quot;$&quot;#,##0.00_);[Red]\(&quot;$&quot;#,##0.00\)">
                  <c:v>14369389413.905899</c:v>
                </c:pt>
                <c:pt idx="14" formatCode="&quot;$&quot;#,##0.00_);[Red]\(&quot;$&quot;#,##0.00\)">
                  <c:v>15376626709.038626</c:v>
                </c:pt>
                <c:pt idx="15" formatCode="&quot;$&quot;#,##0.00_);[Red]\(&quot;$&quot;#,##0.00\)">
                  <c:v>16454467349.900469</c:v>
                </c:pt>
                <c:pt idx="16" formatCode="&quot;$&quot;#,##0.00_);[Red]\(&quot;$&quot;#,##0.00\)">
                  <c:v>17607860351.437786</c:v>
                </c:pt>
                <c:pt idx="17" formatCode="&quot;$&quot;#,##0.00_);[Red]\(&quot;$&quot;#,##0.00\)">
                  <c:v>18842101634.946587</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baseline="0"/>
                  <a:t>Average Annual Enrollment</a:t>
                </a:r>
                <a:endParaRPr lang="en-US" sz="1400" b="1"/>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114300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1123950</xdr:colOff>
      <xdr:row>6</xdr:row>
      <xdr:rowOff>22143</xdr:rowOff>
    </xdr:from>
    <xdr:to>
      <xdr:col>5</xdr:col>
      <xdr:colOff>12700</xdr:colOff>
      <xdr:row>6</xdr:row>
      <xdr:rowOff>108692</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4565650" y="1241343"/>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1302135</xdr:colOff>
      <xdr:row>5</xdr:row>
      <xdr:rowOff>114583</xdr:rowOff>
    </xdr:from>
    <xdr:to>
      <xdr:col>6</xdr:col>
      <xdr:colOff>762000</xdr:colOff>
      <xdr:row>7</xdr:row>
      <xdr:rowOff>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4743835" y="1143283"/>
          <a:ext cx="1644265" cy="26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186511</xdr:colOff>
      <xdr:row>5</xdr:row>
      <xdr:rowOff>102338</xdr:rowOff>
    </xdr:from>
    <xdr:to>
      <xdr:col>9</xdr:col>
      <xdr:colOff>368300</xdr:colOff>
      <xdr:row>6</xdr:row>
      <xdr:rowOff>165100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6638111" y="1131038"/>
          <a:ext cx="1832789" cy="253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State Spending</a:t>
          </a:r>
        </a:p>
      </xdr:txBody>
    </xdr:sp>
    <xdr:clientData/>
  </xdr:twoCellAnchor>
  <xdr:twoCellAnchor>
    <xdr:from>
      <xdr:col>6</xdr:col>
      <xdr:colOff>769752</xdr:colOff>
      <xdr:row>6</xdr:row>
      <xdr:rowOff>30140</xdr:rowOff>
    </xdr:from>
    <xdr:to>
      <xdr:col>7</xdr:col>
      <xdr:colOff>241135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3958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P43"/>
  <sheetViews>
    <sheetView showGridLines="0" tabSelected="1" workbookViewId="0">
      <selection activeCell="H27" sqref="H27"/>
    </sheetView>
  </sheetViews>
  <sheetFormatPr baseColWidth="10" defaultColWidth="8.83203125" defaultRowHeight="15" x14ac:dyDescent="0.2"/>
  <cols>
    <col min="1" max="1" width="17" customWidth="1"/>
    <col min="2" max="2" width="14.83203125" hidden="1" customWidth="1"/>
    <col min="3" max="10" width="14.6640625" customWidth="1"/>
    <col min="11" max="16" width="18" customWidth="1"/>
  </cols>
  <sheetData>
    <row r="1" spans="1:16" ht="23" x14ac:dyDescent="0.25">
      <c r="A1" s="51" t="s">
        <v>65</v>
      </c>
      <c r="B1" s="51"/>
      <c r="C1" s="51"/>
      <c r="D1" s="51"/>
      <c r="E1" s="51"/>
      <c r="F1" s="51"/>
      <c r="G1" s="51"/>
      <c r="H1" s="51"/>
      <c r="I1" s="51"/>
      <c r="J1" s="51"/>
      <c r="K1" s="51"/>
      <c r="L1" s="51"/>
      <c r="M1" s="51"/>
      <c r="N1" s="51"/>
      <c r="O1" s="51"/>
      <c r="P1" s="51"/>
    </row>
    <row r="2" spans="1:16" s="12" customFormat="1" ht="42" customHeight="1" x14ac:dyDescent="0.2">
      <c r="C2" s="52" t="s">
        <v>69</v>
      </c>
      <c r="D2" s="52"/>
      <c r="E2" s="52"/>
      <c r="F2" s="52"/>
      <c r="G2" s="52"/>
      <c r="H2" s="52"/>
      <c r="I2" s="48" t="s">
        <v>21</v>
      </c>
      <c r="J2" s="48"/>
      <c r="K2" s="49" t="s">
        <v>6</v>
      </c>
      <c r="L2" s="49"/>
      <c r="M2" s="49"/>
      <c r="N2" s="50" t="s">
        <v>22</v>
      </c>
      <c r="O2" s="50"/>
      <c r="P2" s="50"/>
    </row>
    <row r="3" spans="1:16" s="21" customFormat="1" ht="45" customHeight="1" x14ac:dyDescent="0.2">
      <c r="A3" s="22" t="s">
        <v>23</v>
      </c>
      <c r="B3" s="22" t="s">
        <v>1</v>
      </c>
      <c r="C3" s="22" t="s">
        <v>76</v>
      </c>
      <c r="D3" s="22" t="s">
        <v>75</v>
      </c>
      <c r="E3" s="22" t="s">
        <v>77</v>
      </c>
      <c r="F3" s="22" t="s">
        <v>78</v>
      </c>
      <c r="G3" s="22" t="s">
        <v>24</v>
      </c>
      <c r="H3" s="22" t="s">
        <v>64</v>
      </c>
      <c r="I3" s="22" t="s">
        <v>4</v>
      </c>
      <c r="J3" s="22" t="s">
        <v>25</v>
      </c>
      <c r="K3" s="22" t="s">
        <v>45</v>
      </c>
      <c r="L3" s="22" t="s">
        <v>46</v>
      </c>
      <c r="M3" s="22" t="s">
        <v>8</v>
      </c>
      <c r="N3" s="22" t="s">
        <v>9</v>
      </c>
      <c r="O3" s="22" t="s">
        <v>10</v>
      </c>
      <c r="P3" s="22" t="s">
        <v>26</v>
      </c>
    </row>
    <row r="4" spans="1:16" s="21" customFormat="1" ht="15" customHeight="1" x14ac:dyDescent="0.2">
      <c r="A4" s="23" t="s">
        <v>86</v>
      </c>
      <c r="B4" s="22"/>
      <c r="C4" s="25">
        <f t="shared" ref="C4:C7" si="0">C5*(1+$H$27)</f>
        <v>687956.48317221063</v>
      </c>
      <c r="D4" s="25">
        <f t="shared" ref="D4:D7" si="1">D5*(1+$H$27)</f>
        <v>155309.77279023294</v>
      </c>
      <c r="E4" s="25">
        <f t="shared" ref="E4:E6" si="2">E5*(1+$H$27)</f>
        <v>4567992.0330596119</v>
      </c>
      <c r="F4" s="25">
        <f>G4*12</f>
        <v>5411252.7154215034</v>
      </c>
      <c r="G4" s="25">
        <f t="shared" ref="G4:G6" si="3">G5*(1+$H$27)</f>
        <v>450937.7262851253</v>
      </c>
      <c r="H4" s="29" t="s">
        <v>83</v>
      </c>
      <c r="I4" s="25">
        <f>F4-F5</f>
        <v>347381.56118090451</v>
      </c>
      <c r="J4" s="27">
        <f t="shared" ref="J4:J6" si="4">I4/F5</f>
        <v>6.8599999999999883E-2</v>
      </c>
      <c r="K4" s="34">
        <f t="shared" ref="K4:K6" si="5">N4*G4</f>
        <v>18842101634.946587</v>
      </c>
      <c r="L4" s="34">
        <f t="shared" ref="L4:L6" si="6">K4-K5</f>
        <v>1234241283.5088005</v>
      </c>
      <c r="M4" s="28">
        <f t="shared" ref="M4:M6" si="7">L4/K5</f>
        <v>7.0096040000000193E-2</v>
      </c>
      <c r="N4" s="26">
        <f t="shared" ref="N4:N6" si="8">(1+P4)*N5</f>
        <v>41784.265402165162</v>
      </c>
      <c r="O4" s="26">
        <f t="shared" ref="O4:O6" si="9">N4-N5</f>
        <v>58.416188898576365</v>
      </c>
      <c r="P4" s="27">
        <f t="shared" ref="P4:P6" si="10">$H$29</f>
        <v>1.4E-3</v>
      </c>
    </row>
    <row r="5" spans="1:16" s="21" customFormat="1" ht="15" customHeight="1" x14ac:dyDescent="0.2">
      <c r="A5" s="23" t="s">
        <v>85</v>
      </c>
      <c r="B5" s="22"/>
      <c r="C5" s="25">
        <f t="shared" si="0"/>
        <v>643792.32937695179</v>
      </c>
      <c r="D5" s="25">
        <f t="shared" si="1"/>
        <v>145339.48417577479</v>
      </c>
      <c r="E5" s="25">
        <f t="shared" si="2"/>
        <v>4274744.5564847579</v>
      </c>
      <c r="F5" s="25">
        <f t="shared" ref="F5:F8" si="11">G5*12</f>
        <v>5063871.1542405989</v>
      </c>
      <c r="G5" s="25">
        <f t="shared" si="3"/>
        <v>421989.2628533832</v>
      </c>
      <c r="H5" s="29" t="s">
        <v>83</v>
      </c>
      <c r="I5" s="25">
        <f>F5-F6</f>
        <v>325081.00428682938</v>
      </c>
      <c r="J5" s="27">
        <f t="shared" si="4"/>
        <v>6.8600000000000161E-2</v>
      </c>
      <c r="K5" s="34">
        <f>N5*G5</f>
        <v>17607860351.437786</v>
      </c>
      <c r="L5" s="34">
        <f t="shared" si="6"/>
        <v>1153393001.5373173</v>
      </c>
      <c r="M5" s="28">
        <f t="shared" si="7"/>
        <v>7.0096039999999998E-2</v>
      </c>
      <c r="N5" s="26">
        <f t="shared" si="8"/>
        <v>41725.849213266585</v>
      </c>
      <c r="O5" s="26">
        <f t="shared" si="9"/>
        <v>58.334520569776942</v>
      </c>
      <c r="P5" s="27">
        <f t="shared" si="10"/>
        <v>1.4E-3</v>
      </c>
    </row>
    <row r="6" spans="1:16" s="21" customFormat="1" ht="15" customHeight="1" x14ac:dyDescent="0.2">
      <c r="A6" s="23" t="s">
        <v>84</v>
      </c>
      <c r="B6" s="22"/>
      <c r="C6" s="25">
        <f t="shared" si="0"/>
        <v>602463.34397992864</v>
      </c>
      <c r="D6" s="25">
        <f t="shared" si="1"/>
        <v>136009.24964979861</v>
      </c>
      <c r="E6" s="25">
        <f t="shared" si="2"/>
        <v>4000322.437286878</v>
      </c>
      <c r="F6" s="25">
        <f t="shared" si="11"/>
        <v>4738790.1499537695</v>
      </c>
      <c r="G6" s="25">
        <f t="shared" si="3"/>
        <v>394899.17916281417</v>
      </c>
      <c r="H6" s="29" t="s">
        <v>83</v>
      </c>
      <c r="I6" s="25">
        <f t="shared" ref="I6" si="12">F6-F7</f>
        <v>304212.0571652893</v>
      </c>
      <c r="J6" s="27">
        <f t="shared" si="4"/>
        <v>6.8599999999999897E-2</v>
      </c>
      <c r="K6" s="34">
        <f t="shared" si="5"/>
        <v>16454467349.900469</v>
      </c>
      <c r="L6" s="34">
        <f t="shared" si="6"/>
        <v>1077840640.8618431</v>
      </c>
      <c r="M6" s="28">
        <f t="shared" si="7"/>
        <v>7.0096040000000207E-2</v>
      </c>
      <c r="N6" s="26">
        <f t="shared" si="8"/>
        <v>41667.514692696808</v>
      </c>
      <c r="O6" s="26">
        <f t="shared" si="9"/>
        <v>58.252966416795971</v>
      </c>
      <c r="P6" s="27">
        <f t="shared" si="10"/>
        <v>1.4E-3</v>
      </c>
    </row>
    <row r="7" spans="1:16" x14ac:dyDescent="0.2">
      <c r="A7" s="23" t="s">
        <v>27</v>
      </c>
      <c r="B7" s="24"/>
      <c r="C7" s="25">
        <f t="shared" si="0"/>
        <v>563787.52010100009</v>
      </c>
      <c r="D7" s="25">
        <f t="shared" si="1"/>
        <v>127277.98020756</v>
      </c>
      <c r="E7" s="25">
        <f>E8*(1+$H$27)</f>
        <v>3743517.1601037602</v>
      </c>
      <c r="F7" s="25">
        <f t="shared" si="11"/>
        <v>4434578.0927884802</v>
      </c>
      <c r="G7" s="25">
        <f>G8*(1+$H$27)</f>
        <v>369548.17439904</v>
      </c>
      <c r="H7" s="29" t="s">
        <v>83</v>
      </c>
      <c r="I7" s="25">
        <f>F7-F8</f>
        <v>284682.81598848011</v>
      </c>
      <c r="J7" s="27">
        <f>I7/F8</f>
        <v>6.8600000000000022E-2</v>
      </c>
      <c r="K7" s="34">
        <f>N7*G7</f>
        <v>15376626709.038626</v>
      </c>
      <c r="L7" s="34">
        <f>K7-K8</f>
        <v>1007237295.1327267</v>
      </c>
      <c r="M7" s="28">
        <f>L7/K8</f>
        <v>7.0096040000000151E-2</v>
      </c>
      <c r="N7" s="26">
        <f>(1+P7)*N8</f>
        <v>41609.261726280012</v>
      </c>
      <c r="O7" s="26">
        <f>N7-N8</f>
        <v>58.171526280006219</v>
      </c>
      <c r="P7" s="27">
        <f>$H$29</f>
        <v>1.4E-3</v>
      </c>
    </row>
    <row r="8" spans="1:16" x14ac:dyDescent="0.2">
      <c r="A8" s="23" t="s">
        <v>28</v>
      </c>
      <c r="B8" s="24"/>
      <c r="C8" s="25">
        <f t="shared" ref="C8:D8" si="13">C10*(1+$H$27)</f>
        <v>527594.53500000003</v>
      </c>
      <c r="D8" s="25">
        <f t="shared" si="13"/>
        <v>119107.2246</v>
      </c>
      <c r="E8" s="25">
        <f>E10*(1+$H$27)</f>
        <v>3503197.7916000001</v>
      </c>
      <c r="F8" s="25">
        <f t="shared" si="11"/>
        <v>4149895.2768000001</v>
      </c>
      <c r="G8" s="25">
        <f>G10*(1+$H$27)</f>
        <v>345824.60639999999</v>
      </c>
      <c r="H8" s="29" t="s">
        <v>83</v>
      </c>
      <c r="I8" s="25">
        <f>F8-F10</f>
        <v>266403.27680000011</v>
      </c>
      <c r="J8" s="28">
        <f>I8/F10</f>
        <v>6.8598899341108494E-2</v>
      </c>
      <c r="K8" s="34">
        <f>N8*G8</f>
        <v>14369389413.905899</v>
      </c>
      <c r="L8" s="34">
        <f>K8-K10</f>
        <v>941389413.90589905</v>
      </c>
      <c r="M8" s="28">
        <f>L8/K10</f>
        <v>7.0106450246194454E-2</v>
      </c>
      <c r="N8" s="26">
        <f>(1+P8)*N10</f>
        <v>41551.090200000006</v>
      </c>
      <c r="O8" s="26">
        <f>N8-N10</f>
        <v>58.090200000006007</v>
      </c>
      <c r="P8" s="27">
        <f>$H$29</f>
        <v>1.4E-3</v>
      </c>
    </row>
    <row r="9" spans="1:16" x14ac:dyDescent="0.2">
      <c r="A9" s="23" t="s">
        <v>29</v>
      </c>
      <c r="B9" s="24">
        <v>3</v>
      </c>
      <c r="C9" s="25">
        <v>142671</v>
      </c>
      <c r="D9" s="25">
        <v>28363</v>
      </c>
      <c r="E9" s="25">
        <v>871911</v>
      </c>
      <c r="F9" s="25">
        <v>1042945</v>
      </c>
      <c r="G9" s="25">
        <v>347648</v>
      </c>
      <c r="H9" s="25">
        <v>350874</v>
      </c>
      <c r="I9" s="29" t="s">
        <v>83</v>
      </c>
      <c r="J9" s="29" t="s">
        <v>83</v>
      </c>
      <c r="K9" s="29" t="s">
        <v>83</v>
      </c>
      <c r="L9" s="29" t="s">
        <v>83</v>
      </c>
      <c r="M9" s="29" t="s">
        <v>83</v>
      </c>
      <c r="N9" s="29" t="s">
        <v>83</v>
      </c>
      <c r="O9" s="29" t="s">
        <v>83</v>
      </c>
      <c r="P9" s="29" t="s">
        <v>83</v>
      </c>
    </row>
    <row r="10" spans="1:16" x14ac:dyDescent="0.2">
      <c r="A10" s="24" t="s">
        <v>30</v>
      </c>
      <c r="B10" s="24">
        <v>12</v>
      </c>
      <c r="C10" s="25">
        <v>493725</v>
      </c>
      <c r="D10" s="25">
        <v>111461</v>
      </c>
      <c r="E10" s="25">
        <v>3278306</v>
      </c>
      <c r="F10" s="25">
        <v>3883492</v>
      </c>
      <c r="G10" s="25">
        <v>323624</v>
      </c>
      <c r="H10" s="25">
        <v>331699</v>
      </c>
      <c r="I10" s="25">
        <v>358704</v>
      </c>
      <c r="J10" s="28">
        <v>0.10199999999999999</v>
      </c>
      <c r="K10" s="34">
        <v>13428000000</v>
      </c>
      <c r="L10" s="34">
        <v>1686000000</v>
      </c>
      <c r="M10" s="28">
        <v>0.14399999999999999</v>
      </c>
      <c r="N10" s="26">
        <v>41493</v>
      </c>
      <c r="O10" s="26">
        <v>1517</v>
      </c>
      <c r="P10" s="28">
        <v>3.7999999999999999E-2</v>
      </c>
    </row>
    <row r="11" spans="1:16" x14ac:dyDescent="0.2">
      <c r="A11" s="24" t="s">
        <v>31</v>
      </c>
      <c r="B11" s="24">
        <v>12</v>
      </c>
      <c r="C11" s="25">
        <v>416349</v>
      </c>
      <c r="D11" s="25">
        <v>91952</v>
      </c>
      <c r="E11" s="25">
        <v>3016487</v>
      </c>
      <c r="F11" s="25">
        <v>3524788</v>
      </c>
      <c r="G11" s="25">
        <v>293732</v>
      </c>
      <c r="H11" s="25">
        <v>299174</v>
      </c>
      <c r="I11" s="25">
        <v>187451</v>
      </c>
      <c r="J11" s="28">
        <v>5.6000000000000001E-2</v>
      </c>
      <c r="K11" s="34">
        <v>11742000000</v>
      </c>
      <c r="L11" s="34">
        <v>115000000</v>
      </c>
      <c r="M11" s="28">
        <v>0.01</v>
      </c>
      <c r="N11" s="26">
        <v>39975</v>
      </c>
      <c r="O11" s="26">
        <v>-1832</v>
      </c>
      <c r="P11" s="28">
        <v>-4.3999999999999997E-2</v>
      </c>
    </row>
    <row r="12" spans="1:16" x14ac:dyDescent="0.2">
      <c r="A12" s="24" t="s">
        <v>32</v>
      </c>
      <c r="B12" s="24">
        <v>12</v>
      </c>
      <c r="C12" s="25">
        <v>356677</v>
      </c>
      <c r="D12" s="25">
        <v>67089</v>
      </c>
      <c r="E12" s="25">
        <v>2913571</v>
      </c>
      <c r="F12" s="25">
        <v>3337337</v>
      </c>
      <c r="G12" s="25">
        <v>278111</v>
      </c>
      <c r="H12" s="25">
        <v>280507</v>
      </c>
      <c r="I12" s="25">
        <v>84633</v>
      </c>
      <c r="J12" s="28">
        <v>2.5999999999999999E-2</v>
      </c>
      <c r="K12" s="34">
        <v>11627000000</v>
      </c>
      <c r="L12" s="34">
        <v>979000000</v>
      </c>
      <c r="M12" s="28">
        <v>9.1999999999999998E-2</v>
      </c>
      <c r="N12" s="26">
        <v>41807</v>
      </c>
      <c r="O12" s="26">
        <v>2524</v>
      </c>
      <c r="P12" s="28">
        <v>6.4000000000000001E-2</v>
      </c>
    </row>
    <row r="13" spans="1:16" x14ac:dyDescent="0.2">
      <c r="A13" s="24" t="s">
        <v>33</v>
      </c>
      <c r="B13" s="24">
        <v>12</v>
      </c>
      <c r="C13" s="25">
        <v>271573</v>
      </c>
      <c r="D13" s="25">
        <v>65494</v>
      </c>
      <c r="E13" s="25">
        <v>2915637</v>
      </c>
      <c r="F13" s="25">
        <v>3252704</v>
      </c>
      <c r="G13" s="25">
        <v>271059</v>
      </c>
      <c r="H13" s="25">
        <v>270785</v>
      </c>
      <c r="I13" s="25">
        <v>61573</v>
      </c>
      <c r="J13" s="28">
        <v>1.9E-2</v>
      </c>
      <c r="K13" s="34">
        <v>10648000000</v>
      </c>
      <c r="L13" s="34">
        <v>-539000000</v>
      </c>
      <c r="M13" s="28">
        <v>-4.8000000000000001E-2</v>
      </c>
      <c r="N13" s="26">
        <v>39283</v>
      </c>
      <c r="O13" s="26">
        <v>-2785</v>
      </c>
      <c r="P13" s="28">
        <v>-6.6000000000000003E-2</v>
      </c>
    </row>
    <row r="14" spans="1:16" x14ac:dyDescent="0.2">
      <c r="A14" s="24" t="s">
        <v>34</v>
      </c>
      <c r="B14" s="24">
        <v>12</v>
      </c>
      <c r="C14" s="25">
        <v>211114</v>
      </c>
      <c r="D14" s="25">
        <v>68522</v>
      </c>
      <c r="E14" s="25">
        <v>2911495</v>
      </c>
      <c r="F14" s="25">
        <v>3191131</v>
      </c>
      <c r="G14" s="25">
        <v>265928</v>
      </c>
      <c r="H14" s="25">
        <v>272758</v>
      </c>
      <c r="I14" s="25">
        <v>391265</v>
      </c>
      <c r="J14" s="28">
        <v>0.14000000000000001</v>
      </c>
      <c r="K14" s="34">
        <v>11187000000</v>
      </c>
      <c r="L14" s="34">
        <v>1517000000</v>
      </c>
      <c r="M14" s="28">
        <v>0.157</v>
      </c>
      <c r="N14" s="26">
        <v>42068</v>
      </c>
      <c r="O14" s="26">
        <v>623</v>
      </c>
      <c r="P14" s="28">
        <v>1.4999999999999999E-2</v>
      </c>
    </row>
    <row r="15" spans="1:16" x14ac:dyDescent="0.2">
      <c r="A15" s="24" t="s">
        <v>35</v>
      </c>
      <c r="B15" s="24">
        <v>12</v>
      </c>
      <c r="C15" s="25">
        <v>146837</v>
      </c>
      <c r="D15" s="25">
        <v>68314</v>
      </c>
      <c r="E15" s="25">
        <v>2584715</v>
      </c>
      <c r="F15" s="25">
        <v>2799866</v>
      </c>
      <c r="G15" s="25">
        <v>233322</v>
      </c>
      <c r="H15" s="25">
        <v>240219</v>
      </c>
      <c r="I15" s="25">
        <v>359451</v>
      </c>
      <c r="J15" s="28">
        <v>0.14699999999999999</v>
      </c>
      <c r="K15" s="34">
        <v>9670000000</v>
      </c>
      <c r="L15" s="34">
        <v>465000000</v>
      </c>
      <c r="M15" s="28">
        <v>5.0999999999999997E-2</v>
      </c>
      <c r="N15" s="26">
        <v>41445</v>
      </c>
      <c r="O15" s="26">
        <v>-3818</v>
      </c>
      <c r="P15" s="28">
        <v>-8.4000000000000005E-2</v>
      </c>
    </row>
    <row r="16" spans="1:16" x14ac:dyDescent="0.2">
      <c r="A16" s="24" t="s">
        <v>36</v>
      </c>
      <c r="B16" s="24">
        <v>12</v>
      </c>
      <c r="C16" s="25">
        <v>102280</v>
      </c>
      <c r="D16" s="25">
        <v>67591</v>
      </c>
      <c r="E16" s="25">
        <v>2270544</v>
      </c>
      <c r="F16" s="25">
        <v>2440415</v>
      </c>
      <c r="G16" s="25">
        <v>203368</v>
      </c>
      <c r="H16" s="25">
        <v>210264</v>
      </c>
      <c r="I16" s="25">
        <v>352109</v>
      </c>
      <c r="J16" s="28">
        <v>0.16900000000000001</v>
      </c>
      <c r="K16" s="34">
        <v>9205000000</v>
      </c>
      <c r="L16" s="34">
        <v>921000000</v>
      </c>
      <c r="M16" s="28">
        <v>0.111</v>
      </c>
      <c r="N16" s="26">
        <v>45263</v>
      </c>
      <c r="O16" s="26">
        <v>-2339</v>
      </c>
      <c r="P16" s="28">
        <v>-4.9000000000000002E-2</v>
      </c>
    </row>
    <row r="17" spans="1:16" x14ac:dyDescent="0.2">
      <c r="A17" s="24" t="s">
        <v>37</v>
      </c>
      <c r="B17" s="24">
        <v>12</v>
      </c>
      <c r="C17" s="25">
        <v>74966</v>
      </c>
      <c r="D17" s="25">
        <v>66883</v>
      </c>
      <c r="E17" s="25">
        <v>1946457</v>
      </c>
      <c r="F17" s="25">
        <v>2088306</v>
      </c>
      <c r="G17" s="25">
        <v>174026</v>
      </c>
      <c r="H17" s="25">
        <v>181219</v>
      </c>
      <c r="I17" s="25">
        <v>353466</v>
      </c>
      <c r="J17" s="28">
        <v>0.20399999999999999</v>
      </c>
      <c r="K17" s="34">
        <v>8284000000</v>
      </c>
      <c r="L17" s="34">
        <v>436000000</v>
      </c>
      <c r="M17" s="28">
        <v>5.6000000000000001E-2</v>
      </c>
      <c r="N17" s="26">
        <v>47602</v>
      </c>
      <c r="O17" s="26">
        <v>-6683</v>
      </c>
      <c r="P17" s="28">
        <v>-0.123</v>
      </c>
    </row>
    <row r="18" spans="1:16" x14ac:dyDescent="0.2">
      <c r="A18" s="24" t="s">
        <v>38</v>
      </c>
      <c r="B18" s="24">
        <v>12</v>
      </c>
      <c r="C18" s="25">
        <v>71979</v>
      </c>
      <c r="D18" s="25">
        <v>65736</v>
      </c>
      <c r="E18" s="25">
        <v>1597125</v>
      </c>
      <c r="F18" s="25">
        <v>1734840</v>
      </c>
      <c r="G18" s="25">
        <v>144570</v>
      </c>
      <c r="H18" s="25">
        <v>148887</v>
      </c>
      <c r="I18" s="25">
        <v>121067</v>
      </c>
      <c r="J18" s="28">
        <v>7.4999999999999997E-2</v>
      </c>
      <c r="K18" s="34">
        <v>7848000000</v>
      </c>
      <c r="L18" s="34">
        <v>371000000</v>
      </c>
      <c r="M18" s="28">
        <v>0.05</v>
      </c>
      <c r="N18" s="26">
        <v>54285</v>
      </c>
      <c r="O18" s="26">
        <v>-1314</v>
      </c>
      <c r="P18" s="28">
        <v>-2.4E-2</v>
      </c>
    </row>
    <row r="19" spans="1:16" x14ac:dyDescent="0.2">
      <c r="A19" s="24" t="s">
        <v>39</v>
      </c>
      <c r="B19" s="24">
        <v>12</v>
      </c>
      <c r="C19" s="25">
        <v>68552</v>
      </c>
      <c r="D19" s="25">
        <v>67476</v>
      </c>
      <c r="E19" s="25">
        <v>1477745</v>
      </c>
      <c r="F19" s="25">
        <v>1613773</v>
      </c>
      <c r="G19" s="25">
        <v>134481</v>
      </c>
      <c r="H19" s="25">
        <v>138251</v>
      </c>
      <c r="I19" s="25">
        <v>243287</v>
      </c>
      <c r="J19" s="28">
        <v>0.17799999999999999</v>
      </c>
      <c r="K19" s="34">
        <v>7477000000</v>
      </c>
      <c r="L19" s="34">
        <v>3076000000</v>
      </c>
      <c r="M19" s="28">
        <v>0.69899999999999995</v>
      </c>
      <c r="N19" s="26">
        <v>55599</v>
      </c>
      <c r="O19" s="26">
        <v>17064</v>
      </c>
      <c r="P19" s="28">
        <v>0.443</v>
      </c>
    </row>
    <row r="20" spans="1:16" x14ac:dyDescent="0.2">
      <c r="A20" s="24" t="s">
        <v>40</v>
      </c>
      <c r="B20" s="24">
        <v>12</v>
      </c>
      <c r="C20" s="25">
        <v>53408</v>
      </c>
      <c r="D20" s="25">
        <v>62026</v>
      </c>
      <c r="E20" s="25">
        <v>1255052</v>
      </c>
      <c r="F20" s="25">
        <v>1370486</v>
      </c>
      <c r="G20" s="25">
        <v>114207</v>
      </c>
      <c r="H20" s="25">
        <v>122486</v>
      </c>
      <c r="I20" s="25">
        <v>570978</v>
      </c>
      <c r="J20" s="28">
        <v>0.71399999999999997</v>
      </c>
      <c r="K20" s="34">
        <v>4401000000</v>
      </c>
      <c r="L20" s="34">
        <v>-798000000</v>
      </c>
      <c r="M20" s="28">
        <v>-0.153</v>
      </c>
      <c r="N20" s="26">
        <v>38535</v>
      </c>
      <c r="O20" s="26">
        <v>-39498</v>
      </c>
      <c r="P20" s="28">
        <v>-0.50600000000000001</v>
      </c>
    </row>
    <row r="21" spans="1:16" x14ac:dyDescent="0.2">
      <c r="A21" s="24" t="s">
        <v>41</v>
      </c>
      <c r="B21" s="24">
        <v>12</v>
      </c>
      <c r="C21" s="25">
        <v>30299</v>
      </c>
      <c r="D21" s="25">
        <v>54215</v>
      </c>
      <c r="E21" s="25">
        <v>714994</v>
      </c>
      <c r="F21" s="25">
        <v>799508</v>
      </c>
      <c r="G21" s="25">
        <v>66626</v>
      </c>
      <c r="H21" s="25">
        <v>74300</v>
      </c>
      <c r="I21" s="25">
        <v>302327</v>
      </c>
      <c r="J21" s="28">
        <v>0.60799999999999998</v>
      </c>
      <c r="K21" s="34">
        <v>5199000000</v>
      </c>
      <c r="L21" s="34">
        <v>482621000</v>
      </c>
      <c r="M21" s="28">
        <v>0.10199999999999999</v>
      </c>
      <c r="N21" s="26">
        <v>78033</v>
      </c>
      <c r="O21" s="26">
        <v>-35802</v>
      </c>
      <c r="P21" s="28">
        <v>-0.315</v>
      </c>
    </row>
    <row r="22" spans="1:16" x14ac:dyDescent="0.2">
      <c r="A22" s="24" t="s">
        <v>42</v>
      </c>
      <c r="B22" s="24">
        <v>12</v>
      </c>
      <c r="C22" s="25">
        <v>19050</v>
      </c>
      <c r="D22" s="25">
        <v>46774</v>
      </c>
      <c r="E22" s="25">
        <v>431357</v>
      </c>
      <c r="F22" s="25">
        <v>497181</v>
      </c>
      <c r="G22" s="25">
        <v>41432</v>
      </c>
      <c r="H22" s="25">
        <v>45071</v>
      </c>
      <c r="I22" s="29" t="s">
        <v>83</v>
      </c>
      <c r="J22" s="29" t="s">
        <v>83</v>
      </c>
      <c r="K22" s="34">
        <v>4716379000</v>
      </c>
      <c r="L22" s="29" t="s">
        <v>83</v>
      </c>
      <c r="M22" s="29" t="s">
        <v>83</v>
      </c>
      <c r="N22" s="26">
        <v>113835</v>
      </c>
      <c r="O22" s="29" t="s">
        <v>83</v>
      </c>
      <c r="P22" s="29" t="s">
        <v>83</v>
      </c>
    </row>
    <row r="24" spans="1:16" ht="16" thickBot="1" x14ac:dyDescent="0.25">
      <c r="A24" s="30" t="s">
        <v>54</v>
      </c>
      <c r="H24" s="30" t="s">
        <v>56</v>
      </c>
    </row>
    <row r="25" spans="1:16" ht="16" x14ac:dyDescent="0.2">
      <c r="A25" t="s">
        <v>55</v>
      </c>
      <c r="H25" s="5" t="s">
        <v>87</v>
      </c>
    </row>
    <row r="26" spans="1:16" x14ac:dyDescent="0.2">
      <c r="A26" t="str">
        <f>_xlfn.CONCAT("(2) Full-year Enrollment 2025 Estimate Represents YTD annualized. Months in YTD = ",B9,".")</f>
        <v>(2) Full-year Enrollment 2025 Estimate Represents YTD annualized. Months in YTD = 3.</v>
      </c>
      <c r="H26" t="s">
        <v>43</v>
      </c>
    </row>
    <row r="27" spans="1:16" ht="16" x14ac:dyDescent="0.2">
      <c r="A27" t="str">
        <f>_xlfn.CONCAT("(3) FY25 full-year spending estimate is based an assumption of per capita spending growth = ",ROUND(H29*100,2),"%")</f>
        <v>(3) FY25 full-year spending estimate is based an assumption of per capita spending growth = 0.14%</v>
      </c>
      <c r="H27" s="14">
        <v>6.8599999999999994E-2</v>
      </c>
    </row>
    <row r="28" spans="1:16" x14ac:dyDescent="0.2">
      <c r="H28" t="s">
        <v>44</v>
      </c>
    </row>
    <row r="29" spans="1:16" ht="16" x14ac:dyDescent="0.2">
      <c r="H29" s="14">
        <v>1.4E-3</v>
      </c>
    </row>
    <row r="31" spans="1:16" ht="16" thickBot="1" x14ac:dyDescent="0.25">
      <c r="A31" s="30" t="s">
        <v>57</v>
      </c>
    </row>
    <row r="32" spans="1:16" x14ac:dyDescent="0.2">
      <c r="A32" t="s">
        <v>58</v>
      </c>
    </row>
    <row r="33" spans="1:1" x14ac:dyDescent="0.2">
      <c r="A33" t="s">
        <v>70</v>
      </c>
    </row>
    <row r="34" spans="1:1" x14ac:dyDescent="0.2">
      <c r="A34" t="s">
        <v>59</v>
      </c>
    </row>
    <row r="35" spans="1:1" x14ac:dyDescent="0.2">
      <c r="A35" t="s">
        <v>71</v>
      </c>
    </row>
    <row r="36" spans="1:1" x14ac:dyDescent="0.2">
      <c r="A36" t="s">
        <v>60</v>
      </c>
    </row>
    <row r="37" spans="1:1" x14ac:dyDescent="0.2">
      <c r="A37" t="s">
        <v>61</v>
      </c>
    </row>
    <row r="38" spans="1:1" x14ac:dyDescent="0.2">
      <c r="A38" t="s">
        <v>72</v>
      </c>
    </row>
    <row r="39" spans="1:1" x14ac:dyDescent="0.2">
      <c r="A39" t="s">
        <v>73</v>
      </c>
    </row>
    <row r="40" spans="1:1" x14ac:dyDescent="0.2">
      <c r="A40" t="s">
        <v>82</v>
      </c>
    </row>
    <row r="41" spans="1:1" x14ac:dyDescent="0.2">
      <c r="A41" t="s">
        <v>74</v>
      </c>
    </row>
    <row r="42" spans="1:1" x14ac:dyDescent="0.2">
      <c r="A42" t="s">
        <v>62</v>
      </c>
    </row>
    <row r="43" spans="1:1" x14ac:dyDescent="0.2">
      <c r="A43" t="s">
        <v>63</v>
      </c>
    </row>
  </sheetData>
  <sortState xmlns:xlrd2="http://schemas.microsoft.com/office/spreadsheetml/2017/richdata2" ref="A7:P22">
    <sortCondition descending="1" ref="A9:A22"/>
  </sortState>
  <mergeCells count="5">
    <mergeCell ref="I2:J2"/>
    <mergeCell ref="K2:M2"/>
    <mergeCell ref="N2:P2"/>
    <mergeCell ref="A1:P1"/>
    <mergeCell ref="C2:H2"/>
  </mergeCells>
  <pageMargins left="0.7" right="0.7" top="0.75" bottom="0.75" header="0.3" footer="0.3"/>
  <ignoredErrors>
    <ignoredError sqref="F4:F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P20" sqref="P20"/>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1.1640625" customWidth="1"/>
    <col min="17" max="17" width="13.33203125" customWidth="1"/>
    <col min="18" max="18" width="11.5" customWidth="1"/>
    <col min="19" max="19" width="16.83203125" customWidth="1"/>
    <col min="20" max="20" width="10.83203125" customWidth="1"/>
    <col min="21" max="21" width="0" hidden="1" customWidth="1"/>
    <col min="22" max="16384" width="10.83203125" hidden="1"/>
  </cols>
  <sheetData>
    <row r="1" spans="16:19" ht="16" thickBot="1" x14ac:dyDescent="0.25"/>
    <row r="2" spans="16:19" ht="18" thickBot="1" x14ac:dyDescent="0.25">
      <c r="P2" s="62" t="s">
        <v>13</v>
      </c>
      <c r="Q2" s="63"/>
      <c r="R2" s="63"/>
      <c r="S2" s="64"/>
    </row>
    <row r="3" spans="16:19" ht="16" thickTop="1" x14ac:dyDescent="0.2">
      <c r="P3" s="65" t="s">
        <v>52</v>
      </c>
      <c r="Q3" s="66"/>
      <c r="R3" s="66"/>
      <c r="S3" s="67"/>
    </row>
    <row r="4" spans="16:19" x14ac:dyDescent="0.2">
      <c r="P4" s="16"/>
      <c r="Q4" s="43"/>
      <c r="R4" s="43"/>
      <c r="S4" s="17"/>
    </row>
    <row r="5" spans="16:19" ht="16" thickBot="1" x14ac:dyDescent="0.25">
      <c r="P5" s="59" t="s">
        <v>24</v>
      </c>
      <c r="Q5" s="60"/>
      <c r="R5" s="60"/>
      <c r="S5" s="61"/>
    </row>
    <row r="6" spans="16:19" x14ac:dyDescent="0.2">
      <c r="P6" s="8" t="s">
        <v>14</v>
      </c>
      <c r="Q6" s="19">
        <f>AVERAGE(projection_data!O14)</f>
        <v>0.10176623588849699</v>
      </c>
      <c r="R6" s="19"/>
      <c r="S6" s="17"/>
    </row>
    <row r="7" spans="16:19" x14ac:dyDescent="0.2">
      <c r="P7" s="8" t="s">
        <v>15</v>
      </c>
      <c r="Q7" s="19">
        <f>AVERAGE(projection_data!O12:O14)</f>
        <v>6.1316977536269246E-2</v>
      </c>
      <c r="R7" s="19"/>
      <c r="S7" s="17"/>
    </row>
    <row r="8" spans="16:19" x14ac:dyDescent="0.2">
      <c r="P8" s="8" t="s">
        <v>16</v>
      </c>
      <c r="Q8" s="19">
        <f>AVERAGE(projection_data!O10:O14)</f>
        <v>6.8598483323739995E-2</v>
      </c>
      <c r="R8" s="19"/>
      <c r="S8" s="17"/>
    </row>
    <row r="9" spans="16:19" x14ac:dyDescent="0.2">
      <c r="P9" s="16"/>
      <c r="Q9" s="43"/>
      <c r="R9" s="43"/>
      <c r="S9" s="17"/>
    </row>
    <row r="10" spans="16:19" ht="16" thickBot="1" x14ac:dyDescent="0.25">
      <c r="P10" s="59" t="s">
        <v>79</v>
      </c>
      <c r="Q10" s="60"/>
      <c r="R10" s="60"/>
      <c r="S10" s="61"/>
    </row>
    <row r="11" spans="16:19" x14ac:dyDescent="0.2">
      <c r="P11" s="8" t="s">
        <v>14</v>
      </c>
      <c r="Q11" s="44">
        <f>AVERAGE(projection_data!R14)</f>
        <v>3.7999999999999999E-2</v>
      </c>
      <c r="R11" s="44"/>
      <c r="S11" s="17"/>
    </row>
    <row r="12" spans="16:19" x14ac:dyDescent="0.2">
      <c r="P12" s="8" t="s">
        <v>15</v>
      </c>
      <c r="Q12" s="44">
        <f>AVERAGE(projection_data!R12:R14)</f>
        <v>1.9333333333333334E-2</v>
      </c>
      <c r="R12" s="44"/>
      <c r="S12" s="17"/>
    </row>
    <row r="13" spans="16:19" x14ac:dyDescent="0.2">
      <c r="P13" s="8" t="s">
        <v>16</v>
      </c>
      <c r="Q13" s="44">
        <f>AVERAGE(projection_data!R10:R14)</f>
        <v>1.3999999999999998E-3</v>
      </c>
      <c r="R13" s="44"/>
      <c r="S13" s="17"/>
    </row>
    <row r="14" spans="16:19" x14ac:dyDescent="0.2">
      <c r="P14" s="16"/>
      <c r="Q14" s="43"/>
      <c r="R14" s="43"/>
      <c r="S14" s="17"/>
    </row>
    <row r="15" spans="16:19" ht="18" thickBot="1" x14ac:dyDescent="0.25">
      <c r="P15" s="56" t="s">
        <v>12</v>
      </c>
      <c r="Q15" s="57"/>
      <c r="R15" s="57"/>
      <c r="S15" s="58"/>
    </row>
    <row r="16" spans="16:19" ht="16" thickTop="1" x14ac:dyDescent="0.2">
      <c r="P16" s="39" t="s">
        <v>17</v>
      </c>
      <c r="Q16" s="43"/>
      <c r="R16" s="43"/>
      <c r="S16" s="17"/>
    </row>
    <row r="17" spans="16:19" ht="16" customHeight="1" x14ac:dyDescent="0.2">
      <c r="P17" s="53" t="s">
        <v>87</v>
      </c>
      <c r="Q17" s="54"/>
      <c r="R17" s="54"/>
      <c r="S17" s="55"/>
    </row>
    <row r="18" spans="16:19" x14ac:dyDescent="0.2">
      <c r="P18" s="53"/>
      <c r="Q18" s="54"/>
      <c r="R18" s="54"/>
      <c r="S18" s="55"/>
    </row>
    <row r="19" spans="16:19" ht="16" thickBot="1" x14ac:dyDescent="0.25">
      <c r="P19" s="18" t="s">
        <v>24</v>
      </c>
      <c r="Q19" s="43"/>
      <c r="R19" s="42" t="s">
        <v>80</v>
      </c>
      <c r="S19" s="17"/>
    </row>
    <row r="20" spans="16:19" ht="16" x14ac:dyDescent="0.2">
      <c r="P20" s="15">
        <v>6.8599999999999994E-2</v>
      </c>
      <c r="Q20" s="5"/>
      <c r="R20" s="47">
        <v>1.4E-3</v>
      </c>
      <c r="S20" s="7"/>
    </row>
    <row r="21" spans="16:19" x14ac:dyDescent="0.2">
      <c r="P21" s="6"/>
      <c r="S21" s="7"/>
    </row>
    <row r="22" spans="16:19" x14ac:dyDescent="0.2">
      <c r="P22" s="39" t="s">
        <v>81</v>
      </c>
      <c r="S22" s="7"/>
    </row>
    <row r="23" spans="16:19" ht="33" thickBot="1" x14ac:dyDescent="0.25">
      <c r="P23" s="40" t="s">
        <v>23</v>
      </c>
      <c r="Q23" s="45" t="s">
        <v>24</v>
      </c>
      <c r="R23" s="45" t="s">
        <v>22</v>
      </c>
      <c r="S23" s="41" t="s">
        <v>6</v>
      </c>
    </row>
    <row r="24" spans="16:19" ht="16" x14ac:dyDescent="0.2">
      <c r="P24" s="9" t="str" cm="1">
        <f t="array" ref="P24:P28">projection_data!B15:B19</f>
        <v>FY25</v>
      </c>
      <c r="Q24" s="46" cm="1">
        <f t="array" ref="Q24:Q28">projection_data!N15:N19</f>
        <v>345824.60639999999</v>
      </c>
      <c r="R24" s="35" cm="1">
        <f t="array" ref="R24:R28">projection_data!P15:P19</f>
        <v>41551.090200000006</v>
      </c>
      <c r="S24" s="37" cm="1">
        <f t="array" ref="S24:S28">projection_data!K15:K19</f>
        <v>14369389413.905899</v>
      </c>
    </row>
    <row r="25" spans="16:19" ht="16" customHeight="1" x14ac:dyDescent="0.2">
      <c r="P25" s="9" t="str">
        <v>FY26</v>
      </c>
      <c r="Q25" s="46">
        <v>369548.17439904</v>
      </c>
      <c r="R25" s="35">
        <v>41609.261726280012</v>
      </c>
      <c r="S25" s="37">
        <v>15376626709.038626</v>
      </c>
    </row>
    <row r="26" spans="16:19" ht="16" x14ac:dyDescent="0.2">
      <c r="P26" s="9" t="str">
        <v>FY27</v>
      </c>
      <c r="Q26" s="46">
        <v>394899.17916281417</v>
      </c>
      <c r="R26" s="35">
        <v>41667.514692696808</v>
      </c>
      <c r="S26" s="37">
        <v>16454467349.900469</v>
      </c>
    </row>
    <row r="27" spans="16:19" ht="16" x14ac:dyDescent="0.2">
      <c r="P27" s="9" t="str">
        <v>FY28</v>
      </c>
      <c r="Q27" s="46">
        <v>421989.2628533832</v>
      </c>
      <c r="R27" s="35">
        <v>41725.849213266585</v>
      </c>
      <c r="S27" s="37">
        <v>17607860351.437786</v>
      </c>
    </row>
    <row r="28" spans="16:19" ht="17" thickBot="1" x14ac:dyDescent="0.25">
      <c r="P28" s="10" t="str">
        <v>FY29</v>
      </c>
      <c r="Q28" s="11">
        <v>450937.7262851253</v>
      </c>
      <c r="R28" s="36">
        <v>41784.265402165162</v>
      </c>
      <c r="S28" s="38">
        <v>18842101634.946587</v>
      </c>
    </row>
    <row r="29" spans="16:19" x14ac:dyDescent="0.2"/>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6">
    <mergeCell ref="P17:S18"/>
    <mergeCell ref="P15:S15"/>
    <mergeCell ref="P10:S10"/>
    <mergeCell ref="P2:S2"/>
    <mergeCell ref="P3:S3"/>
    <mergeCell ref="P5:S5"/>
  </mergeCells>
  <phoneticPr fontId="12" type="noConversion"/>
  <pageMargins left="0.7" right="0.7" top="0.75" bottom="0.75" header="0.3" footer="0.3"/>
  <ignoredErrors>
    <ignoredError sqref="Q12:Q13"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6393-3785-8B4D-BC33-531ADF13ED6E}">
  <dimension ref="A1:R19"/>
  <sheetViews>
    <sheetView topLeftCell="H1" workbookViewId="0">
      <selection activeCell="K17" sqref="K17"/>
    </sheetView>
  </sheetViews>
  <sheetFormatPr baseColWidth="10" defaultColWidth="8.83203125" defaultRowHeight="15" x14ac:dyDescent="0.2"/>
  <cols>
    <col min="2" max="2" width="9.1640625" bestFit="1" customWidth="1"/>
    <col min="3" max="3" width="14.83203125" bestFit="1" customWidth="1"/>
    <col min="4" max="5" width="7.6640625" bestFit="1" customWidth="1"/>
    <col min="6" max="6" width="12.33203125" bestFit="1" customWidth="1"/>
    <col min="7" max="7" width="14" bestFit="1" customWidth="1"/>
    <col min="8" max="8" width="22.5" bestFit="1" customWidth="1"/>
    <col min="9" max="9" width="26.1640625" bestFit="1" customWidth="1"/>
    <col min="10" max="10" width="28" bestFit="1" customWidth="1"/>
    <col min="11" max="11" width="20" customWidth="1"/>
    <col min="12" max="12" width="24.83203125" bestFit="1" customWidth="1"/>
    <col min="13" max="13" width="26.6640625" bestFit="1" customWidth="1"/>
    <col min="14" max="14" width="31" bestFit="1" customWidth="1"/>
    <col min="15" max="15" width="31" customWidth="1"/>
    <col min="16" max="16" width="31.1640625" bestFit="1" customWidth="1"/>
    <col min="17" max="17" width="43.5" bestFit="1" customWidth="1"/>
    <col min="18" max="18" width="45.1640625" bestFit="1" customWidth="1"/>
  </cols>
  <sheetData>
    <row r="1" spans="1:18" s="1" customFormat="1" ht="16" x14ac:dyDescent="0.2">
      <c r="A1" s="1" t="s">
        <v>18</v>
      </c>
      <c r="B1" s="1" t="s">
        <v>0</v>
      </c>
      <c r="C1" s="1" t="s">
        <v>1</v>
      </c>
      <c r="D1" s="1" t="s">
        <v>68</v>
      </c>
      <c r="E1" s="1" t="s">
        <v>67</v>
      </c>
      <c r="F1" s="1" t="s">
        <v>66</v>
      </c>
      <c r="G1" s="1" t="s">
        <v>2</v>
      </c>
      <c r="H1" s="1" t="s">
        <v>3</v>
      </c>
      <c r="I1" s="1" t="s">
        <v>4</v>
      </c>
      <c r="J1" s="1" t="s">
        <v>5</v>
      </c>
      <c r="K1" s="1" t="s">
        <v>6</v>
      </c>
      <c r="L1" s="1" t="s">
        <v>7</v>
      </c>
      <c r="M1" s="1" t="s">
        <v>8</v>
      </c>
      <c r="N1" s="13" t="s">
        <v>24</v>
      </c>
      <c r="O1" s="13" t="s">
        <v>53</v>
      </c>
      <c r="P1" s="1" t="s">
        <v>9</v>
      </c>
      <c r="Q1" s="1" t="s">
        <v>10</v>
      </c>
      <c r="R1" s="1" t="s">
        <v>11</v>
      </c>
    </row>
    <row r="2" spans="1:18" x14ac:dyDescent="0.2">
      <c r="A2" t="s">
        <v>19</v>
      </c>
      <c r="B2" t="s">
        <v>42</v>
      </c>
      <c r="C2">
        <v>12</v>
      </c>
      <c r="D2" s="2">
        <v>19050</v>
      </c>
      <c r="E2" s="2">
        <v>46774</v>
      </c>
      <c r="F2" s="2">
        <v>431357</v>
      </c>
      <c r="G2" s="2">
        <v>497181</v>
      </c>
      <c r="H2" s="3">
        <v>3.4000000000000002E-2</v>
      </c>
      <c r="K2" s="4">
        <v>4716379000</v>
      </c>
      <c r="N2" s="2">
        <v>41432</v>
      </c>
      <c r="O2" s="2"/>
      <c r="P2" s="4">
        <v>113835</v>
      </c>
    </row>
    <row r="3" spans="1:18" x14ac:dyDescent="0.2">
      <c r="A3" t="s">
        <v>19</v>
      </c>
      <c r="B3" t="s">
        <v>41</v>
      </c>
      <c r="C3">
        <v>12</v>
      </c>
      <c r="D3" s="2">
        <v>30299</v>
      </c>
      <c r="E3" s="2">
        <v>54215</v>
      </c>
      <c r="F3" s="2">
        <v>714994</v>
      </c>
      <c r="G3" s="2">
        <v>799508</v>
      </c>
      <c r="H3" s="3">
        <v>7.0999999999999994E-2</v>
      </c>
      <c r="I3" s="2">
        <v>302327</v>
      </c>
      <c r="J3" s="3">
        <v>0.60799999999999998</v>
      </c>
      <c r="K3" s="4">
        <v>5199000000</v>
      </c>
      <c r="L3" s="4">
        <v>482621000</v>
      </c>
      <c r="M3" s="3">
        <v>0.10199999999999999</v>
      </c>
      <c r="N3" s="2">
        <v>66626</v>
      </c>
      <c r="O3" s="20">
        <f>(N3-N2)/N2</f>
        <v>0.60808071056188451</v>
      </c>
      <c r="P3" s="4">
        <v>78033</v>
      </c>
      <c r="Q3" s="4">
        <v>-35802</v>
      </c>
      <c r="R3" s="3">
        <v>-0.315</v>
      </c>
    </row>
    <row r="4" spans="1:18" x14ac:dyDescent="0.2">
      <c r="A4" t="s">
        <v>19</v>
      </c>
      <c r="B4" t="s">
        <v>40</v>
      </c>
      <c r="C4">
        <v>12</v>
      </c>
      <c r="D4" s="2">
        <v>53408</v>
      </c>
      <c r="E4" s="2">
        <v>62026</v>
      </c>
      <c r="F4" s="2">
        <v>1255052</v>
      </c>
      <c r="G4" s="2">
        <v>1370486</v>
      </c>
      <c r="H4" s="3">
        <v>5.8000000000000003E-2</v>
      </c>
      <c r="I4" s="2">
        <v>570978</v>
      </c>
      <c r="J4" s="3">
        <v>0.71399999999999997</v>
      </c>
      <c r="K4" s="4">
        <v>4401000000</v>
      </c>
      <c r="L4" s="4">
        <v>-798000000</v>
      </c>
      <c r="M4" s="3">
        <v>-0.153</v>
      </c>
      <c r="N4" s="2">
        <v>114207</v>
      </c>
      <c r="O4" s="20">
        <f t="shared" ref="O4:O14" si="0">(N4-N3)/N3</f>
        <v>0.71415063188545014</v>
      </c>
      <c r="P4" s="4">
        <v>38535</v>
      </c>
      <c r="Q4" s="4">
        <v>-39498</v>
      </c>
      <c r="R4" s="3">
        <v>-0.50600000000000001</v>
      </c>
    </row>
    <row r="5" spans="1:18" x14ac:dyDescent="0.2">
      <c r="A5" t="s">
        <v>19</v>
      </c>
      <c r="B5" t="s">
        <v>39</v>
      </c>
      <c r="C5">
        <v>12</v>
      </c>
      <c r="D5" s="2">
        <v>68552</v>
      </c>
      <c r="E5" s="2">
        <v>67476</v>
      </c>
      <c r="F5" s="2">
        <v>1477745</v>
      </c>
      <c r="G5" s="2">
        <v>1613773</v>
      </c>
      <c r="H5" s="3">
        <v>1.0999999999999999E-2</v>
      </c>
      <c r="I5" s="2">
        <v>243287</v>
      </c>
      <c r="J5" s="3">
        <v>0.17799999999999999</v>
      </c>
      <c r="K5" s="4">
        <v>7477000000</v>
      </c>
      <c r="L5" s="4">
        <v>3076000000</v>
      </c>
      <c r="M5" s="3">
        <v>0.69899999999999995</v>
      </c>
      <c r="N5" s="2">
        <v>134481</v>
      </c>
      <c r="O5" s="20">
        <f t="shared" si="0"/>
        <v>0.17751976673934172</v>
      </c>
      <c r="P5" s="4">
        <v>55599</v>
      </c>
      <c r="Q5" s="4">
        <v>17064</v>
      </c>
      <c r="R5" s="3">
        <v>0.443</v>
      </c>
    </row>
    <row r="6" spans="1:18" x14ac:dyDescent="0.2">
      <c r="A6" t="s">
        <v>19</v>
      </c>
      <c r="B6" t="s">
        <v>38</v>
      </c>
      <c r="C6">
        <v>12</v>
      </c>
      <c r="D6" s="2">
        <v>71979</v>
      </c>
      <c r="E6" s="2">
        <v>65736</v>
      </c>
      <c r="F6" s="2">
        <v>1597125</v>
      </c>
      <c r="G6" s="2">
        <v>1734840</v>
      </c>
      <c r="H6" s="3">
        <v>7.0000000000000001E-3</v>
      </c>
      <c r="I6" s="2">
        <v>121067</v>
      </c>
      <c r="J6" s="3">
        <v>7.4999999999999997E-2</v>
      </c>
      <c r="K6" s="4">
        <v>7848000000</v>
      </c>
      <c r="L6" s="4">
        <v>371000000</v>
      </c>
      <c r="M6" s="3">
        <v>0.05</v>
      </c>
      <c r="N6" s="2">
        <v>144570</v>
      </c>
      <c r="O6" s="20">
        <f t="shared" si="0"/>
        <v>7.50217502844268E-2</v>
      </c>
      <c r="P6" s="4">
        <v>54285</v>
      </c>
      <c r="Q6" s="4">
        <v>-1314</v>
      </c>
      <c r="R6" s="3">
        <v>-2.4E-2</v>
      </c>
    </row>
    <row r="7" spans="1:18" x14ac:dyDescent="0.2">
      <c r="A7" t="s">
        <v>19</v>
      </c>
      <c r="B7" t="s">
        <v>37</v>
      </c>
      <c r="C7">
        <v>12</v>
      </c>
      <c r="D7" s="2">
        <v>74966</v>
      </c>
      <c r="E7" s="2">
        <v>66883</v>
      </c>
      <c r="F7" s="2">
        <v>1946457</v>
      </c>
      <c r="G7" s="2">
        <v>2088306</v>
      </c>
      <c r="H7" s="3">
        <v>1.9E-2</v>
      </c>
      <c r="I7" s="2">
        <v>353466</v>
      </c>
      <c r="J7" s="3">
        <v>0.20399999999999999</v>
      </c>
      <c r="K7" s="4">
        <v>8284000000</v>
      </c>
      <c r="L7" s="4">
        <v>436000000</v>
      </c>
      <c r="M7" s="3">
        <v>5.6000000000000001E-2</v>
      </c>
      <c r="N7" s="2">
        <v>174026</v>
      </c>
      <c r="O7" s="20">
        <f t="shared" si="0"/>
        <v>0.20374904890364529</v>
      </c>
      <c r="P7" s="4">
        <v>47602</v>
      </c>
      <c r="Q7" s="4">
        <v>-6683</v>
      </c>
      <c r="R7" s="3">
        <v>-0.123</v>
      </c>
    </row>
    <row r="8" spans="1:18" x14ac:dyDescent="0.2">
      <c r="A8" t="s">
        <v>19</v>
      </c>
      <c r="B8" t="s">
        <v>36</v>
      </c>
      <c r="C8">
        <v>12</v>
      </c>
      <c r="D8" s="2">
        <v>102280</v>
      </c>
      <c r="E8" s="2">
        <v>67591</v>
      </c>
      <c r="F8" s="2">
        <v>2270544</v>
      </c>
      <c r="G8" s="2">
        <v>2440415</v>
      </c>
      <c r="H8" s="3">
        <v>1.4E-2</v>
      </c>
      <c r="I8" s="2">
        <v>352109</v>
      </c>
      <c r="J8" s="3">
        <v>0.16900000000000001</v>
      </c>
      <c r="K8" s="4">
        <v>9205000000</v>
      </c>
      <c r="L8" s="4">
        <v>921000000</v>
      </c>
      <c r="M8" s="3">
        <v>0.111</v>
      </c>
      <c r="N8" s="2">
        <v>203368</v>
      </c>
      <c r="O8" s="20">
        <f t="shared" si="0"/>
        <v>0.16860698976015079</v>
      </c>
      <c r="P8" s="4">
        <v>45263</v>
      </c>
      <c r="Q8" s="4">
        <v>-2339</v>
      </c>
      <c r="R8" s="3">
        <v>-4.9000000000000002E-2</v>
      </c>
    </row>
    <row r="9" spans="1:18" x14ac:dyDescent="0.2">
      <c r="A9" t="s">
        <v>19</v>
      </c>
      <c r="B9" t="s">
        <v>35</v>
      </c>
      <c r="C9">
        <v>12</v>
      </c>
      <c r="D9" s="2">
        <v>146837</v>
      </c>
      <c r="E9" s="2">
        <v>68314</v>
      </c>
      <c r="F9" s="2">
        <v>2584715</v>
      </c>
      <c r="G9" s="2">
        <v>2799866</v>
      </c>
      <c r="H9" s="3">
        <v>1.2999999999999999E-2</v>
      </c>
      <c r="I9" s="2">
        <v>359451</v>
      </c>
      <c r="J9" s="3">
        <v>0.14699999999999999</v>
      </c>
      <c r="K9" s="4">
        <v>9670000000</v>
      </c>
      <c r="L9" s="4">
        <v>465000000</v>
      </c>
      <c r="M9" s="3">
        <v>5.0999999999999997E-2</v>
      </c>
      <c r="N9" s="2">
        <v>233322</v>
      </c>
      <c r="O9" s="20">
        <f t="shared" si="0"/>
        <v>0.14728964242161993</v>
      </c>
      <c r="P9" s="4">
        <v>41445</v>
      </c>
      <c r="Q9" s="4">
        <v>-3818</v>
      </c>
      <c r="R9" s="3">
        <v>-8.4000000000000005E-2</v>
      </c>
    </row>
    <row r="10" spans="1:18" x14ac:dyDescent="0.2">
      <c r="A10" t="s">
        <v>19</v>
      </c>
      <c r="B10" t="s">
        <v>34</v>
      </c>
      <c r="C10">
        <v>12</v>
      </c>
      <c r="D10" s="2">
        <v>211114</v>
      </c>
      <c r="E10" s="2">
        <v>68522</v>
      </c>
      <c r="F10" s="2">
        <v>2911495</v>
      </c>
      <c r="G10" s="2">
        <v>3191131</v>
      </c>
      <c r="H10" s="3">
        <v>1.2E-2</v>
      </c>
      <c r="I10" s="2">
        <v>391265</v>
      </c>
      <c r="J10" s="3">
        <v>0.14000000000000001</v>
      </c>
      <c r="K10" s="4">
        <v>11187000000</v>
      </c>
      <c r="L10" s="4">
        <v>1517000000</v>
      </c>
      <c r="M10" s="3">
        <v>0.157</v>
      </c>
      <c r="N10" s="2">
        <v>265928</v>
      </c>
      <c r="O10" s="20">
        <f t="shared" si="0"/>
        <v>0.1397467877011169</v>
      </c>
      <c r="P10" s="4">
        <v>42068</v>
      </c>
      <c r="Q10" s="4">
        <v>623</v>
      </c>
      <c r="R10" s="3">
        <v>1.4999999999999999E-2</v>
      </c>
    </row>
    <row r="11" spans="1:18" x14ac:dyDescent="0.2">
      <c r="A11" t="s">
        <v>19</v>
      </c>
      <c r="B11" t="s">
        <v>33</v>
      </c>
      <c r="C11">
        <v>12</v>
      </c>
      <c r="D11" s="2">
        <v>271573</v>
      </c>
      <c r="E11" s="2">
        <v>65494</v>
      </c>
      <c r="F11" s="2">
        <v>2915637</v>
      </c>
      <c r="G11" s="2">
        <v>3252704</v>
      </c>
      <c r="H11" s="3">
        <v>0</v>
      </c>
      <c r="I11" s="2">
        <v>61573</v>
      </c>
      <c r="J11" s="3">
        <v>1.9E-2</v>
      </c>
      <c r="K11" s="4">
        <v>10648000000</v>
      </c>
      <c r="L11" s="4">
        <v>-539000000</v>
      </c>
      <c r="M11" s="3">
        <v>-4.8000000000000001E-2</v>
      </c>
      <c r="N11" s="2">
        <v>271059</v>
      </c>
      <c r="O11" s="20">
        <f t="shared" si="0"/>
        <v>1.9294696308775307E-2</v>
      </c>
      <c r="P11" s="4">
        <v>39283</v>
      </c>
      <c r="Q11" s="4">
        <v>-2785</v>
      </c>
      <c r="R11" s="3">
        <v>-6.6000000000000003E-2</v>
      </c>
    </row>
    <row r="12" spans="1:18" x14ac:dyDescent="0.2">
      <c r="A12" t="s">
        <v>19</v>
      </c>
      <c r="B12" t="s">
        <v>32</v>
      </c>
      <c r="C12">
        <v>12</v>
      </c>
      <c r="D12" s="2">
        <v>356677</v>
      </c>
      <c r="E12" s="2">
        <v>67089</v>
      </c>
      <c r="F12" s="2">
        <v>2913571</v>
      </c>
      <c r="G12" s="2">
        <v>3337337</v>
      </c>
      <c r="H12" s="3">
        <v>3.0000000000000001E-3</v>
      </c>
      <c r="I12" s="2">
        <v>84633</v>
      </c>
      <c r="J12" s="3">
        <v>2.5999999999999999E-2</v>
      </c>
      <c r="K12" s="4">
        <v>11627000000</v>
      </c>
      <c r="L12" s="4">
        <v>979000000</v>
      </c>
      <c r="M12" s="3">
        <v>9.1999999999999998E-2</v>
      </c>
      <c r="N12" s="2">
        <v>278111</v>
      </c>
      <c r="O12" s="20">
        <f t="shared" si="0"/>
        <v>2.6016476117745584E-2</v>
      </c>
      <c r="P12" s="4">
        <v>41807</v>
      </c>
      <c r="Q12" s="4">
        <v>2524</v>
      </c>
      <c r="R12" s="3">
        <v>6.4000000000000001E-2</v>
      </c>
    </row>
    <row r="13" spans="1:18" x14ac:dyDescent="0.2">
      <c r="A13" t="s">
        <v>19</v>
      </c>
      <c r="B13" t="s">
        <v>31</v>
      </c>
      <c r="C13">
        <v>12</v>
      </c>
      <c r="D13" s="2">
        <v>416349</v>
      </c>
      <c r="E13" s="2">
        <v>91952</v>
      </c>
      <c r="F13" s="2">
        <v>3016487</v>
      </c>
      <c r="G13" s="2">
        <v>3524788</v>
      </c>
      <c r="H13" s="3">
        <v>6.0000000000000001E-3</v>
      </c>
      <c r="I13" s="2">
        <v>187451</v>
      </c>
      <c r="J13" s="3">
        <v>5.6000000000000001E-2</v>
      </c>
      <c r="K13" s="4">
        <v>11742000000</v>
      </c>
      <c r="L13" s="4">
        <v>115000000</v>
      </c>
      <c r="M13" s="3">
        <v>0.01</v>
      </c>
      <c r="N13" s="2">
        <v>293732</v>
      </c>
      <c r="O13" s="20">
        <f t="shared" si="0"/>
        <v>5.6168220602565162E-2</v>
      </c>
      <c r="P13" s="4">
        <v>39975</v>
      </c>
      <c r="Q13" s="4">
        <v>-1832</v>
      </c>
      <c r="R13" s="3">
        <v>-4.3999999999999997E-2</v>
      </c>
    </row>
    <row r="14" spans="1:18" x14ac:dyDescent="0.2">
      <c r="A14" t="s">
        <v>19</v>
      </c>
      <c r="B14" t="s">
        <v>30</v>
      </c>
      <c r="C14">
        <v>12</v>
      </c>
      <c r="D14" s="2">
        <v>493725</v>
      </c>
      <c r="E14" s="2">
        <v>111461</v>
      </c>
      <c r="F14" s="2">
        <v>3278306</v>
      </c>
      <c r="G14" s="2">
        <v>3883492</v>
      </c>
      <c r="H14" s="3">
        <v>0.01</v>
      </c>
      <c r="I14" s="2">
        <v>358704</v>
      </c>
      <c r="J14" s="3">
        <v>0.10199999999999999</v>
      </c>
      <c r="K14" s="4">
        <v>13428000000</v>
      </c>
      <c r="L14" s="4">
        <v>1686000000</v>
      </c>
      <c r="M14" s="3">
        <v>0.14399999999999999</v>
      </c>
      <c r="N14" s="2">
        <v>323624</v>
      </c>
      <c r="O14" s="20">
        <f t="shared" si="0"/>
        <v>0.10176623588849699</v>
      </c>
      <c r="P14" s="4">
        <v>41493</v>
      </c>
      <c r="Q14" s="4">
        <v>1517</v>
      </c>
      <c r="R14" s="3">
        <v>3.7999999999999999E-2</v>
      </c>
    </row>
    <row r="15" spans="1:18" s="31" customFormat="1" x14ac:dyDescent="0.2">
      <c r="A15" s="31" t="s">
        <v>20</v>
      </c>
      <c r="B15" s="31" t="s">
        <v>47</v>
      </c>
      <c r="G15" s="31">
        <f>(1+Graph!$P$20)*G14</f>
        <v>4149899.5512000001</v>
      </c>
      <c r="K15" s="32">
        <f>N15*P15</f>
        <v>14369389413.905899</v>
      </c>
      <c r="N15" s="33">
        <f>(1+Graph!$P$20)*N14</f>
        <v>345824.60639999999</v>
      </c>
      <c r="O15" s="32"/>
      <c r="P15" s="32">
        <f>(1+Graph!$R$20)*P14</f>
        <v>41551.090200000006</v>
      </c>
    </row>
    <row r="16" spans="1:18" s="31" customFormat="1" x14ac:dyDescent="0.2">
      <c r="A16" s="31" t="s">
        <v>20</v>
      </c>
      <c r="B16" s="31" t="s">
        <v>48</v>
      </c>
      <c r="G16" s="31">
        <f>(1+Graph!$P$20)*G15</f>
        <v>4434582.6604123199</v>
      </c>
      <c r="K16" s="32">
        <f>N16*P16</f>
        <v>15376626709.038626</v>
      </c>
      <c r="N16" s="33">
        <f>(1+Graph!$P$20)*N15</f>
        <v>369548.17439904</v>
      </c>
      <c r="O16" s="32"/>
      <c r="P16" s="32">
        <f>(1+Graph!$R$20)*P15</f>
        <v>41609.261726280012</v>
      </c>
    </row>
    <row r="17" spans="1:16" s="31" customFormat="1" x14ac:dyDescent="0.2">
      <c r="A17" s="31" t="s">
        <v>20</v>
      </c>
      <c r="B17" s="31" t="s">
        <v>49</v>
      </c>
      <c r="G17" s="31">
        <f>(1+Graph!$P$20)*G16</f>
        <v>4738795.0309166051</v>
      </c>
      <c r="K17" s="32">
        <f t="shared" ref="K17:K19" si="1">N17*P17</f>
        <v>16454467349.900469</v>
      </c>
      <c r="N17" s="33">
        <f>(1+Graph!$P$20)*N16</f>
        <v>394899.17916281417</v>
      </c>
      <c r="O17" s="32"/>
      <c r="P17" s="32">
        <f>(1+Graph!$R$20)*P16</f>
        <v>41667.514692696808</v>
      </c>
    </row>
    <row r="18" spans="1:16" s="31" customFormat="1" x14ac:dyDescent="0.2">
      <c r="A18" s="31" t="s">
        <v>20</v>
      </c>
      <c r="B18" s="31" t="s">
        <v>50</v>
      </c>
      <c r="G18" s="31">
        <f>(1+Graph!$P$20)*G17</f>
        <v>5063876.370037484</v>
      </c>
      <c r="K18" s="32">
        <f t="shared" si="1"/>
        <v>17607860351.437786</v>
      </c>
      <c r="N18" s="33">
        <f>(1+Graph!$P$20)*N17</f>
        <v>421989.2628533832</v>
      </c>
      <c r="O18" s="32"/>
      <c r="P18" s="32">
        <f>(1+Graph!$R$20)*P17</f>
        <v>41725.849213266585</v>
      </c>
    </row>
    <row r="19" spans="1:16" s="31" customFormat="1" x14ac:dyDescent="0.2">
      <c r="A19" s="31" t="s">
        <v>20</v>
      </c>
      <c r="B19" s="31" t="s">
        <v>51</v>
      </c>
      <c r="G19" s="31">
        <f>(1+Graph!$P$20)*G18</f>
        <v>5411258.2890220555</v>
      </c>
      <c r="K19" s="32">
        <f t="shared" si="1"/>
        <v>18842101634.946587</v>
      </c>
      <c r="N19" s="33">
        <f>(1+Graph!$P$20)*N18</f>
        <v>450937.7262851253</v>
      </c>
      <c r="O19" s="32"/>
      <c r="P19" s="32">
        <f>(1+Graph!$R$20)*P18</f>
        <v>41784.265402165162</v>
      </c>
    </row>
  </sheetData>
  <sheetProtection sheet="1" objects="1" scenarios="1"/>
  <sortState xmlns:xlrd2="http://schemas.microsoft.com/office/spreadsheetml/2017/richdata2" ref="B2:R15">
    <sortCondition ref="B2:B15"/>
  </sortState>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2025-03-01T04:42:20Z</dcterms:modified>
</cp:coreProperties>
</file>