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AC6B98AF-5AB8-6C45-A337-B996CF3F0DAF}" xr6:coauthVersionLast="47" xr6:coauthVersionMax="47" xr10:uidLastSave="{00000000-0000-0000-0000-000000000000}"/>
  <bookViews>
    <workbookView xWindow="0" yWindow="500" windowWidth="28800" windowHeight="17500" xr2:uid="{00000000-000D-0000-FFFF-FFFF00000000}"/>
  </bookViews>
  <sheets>
    <sheet name="Table" sheetId="4" r:id="rId1"/>
    <sheet name="Graph" sheetId="3" r:id="rId2"/>
    <sheet name="projection_data" sheetId="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1" l="1" a="1"/>
  <c r="D15" i="1" s="1"/>
  <c r="D16" i="1" s="1"/>
  <c r="F15" i="1" a="1"/>
  <c r="F15" i="1" s="1"/>
  <c r="F16" i="1" s="1"/>
  <c r="B15" i="1" a="1"/>
  <c r="B15" i="1" s="1"/>
  <c r="B16" i="1" s="1"/>
  <c r="B17" i="1" s="1"/>
  <c r="C16" i="1" l="1"/>
  <c r="C15" i="1"/>
  <c r="B18" i="1"/>
  <c r="B19" i="1" s="1"/>
  <c r="D17" i="1"/>
  <c r="D8" i="4" l="1"/>
  <c r="D7" i="4" s="1"/>
  <c r="M4" i="4"/>
  <c r="M5" i="4"/>
  <c r="M6" i="4"/>
  <c r="M8" i="4"/>
  <c r="K8" i="4" s="1"/>
  <c r="M7" i="4"/>
  <c r="F17" i="1"/>
  <c r="F18" i="1" s="1"/>
  <c r="F19" i="1" s="1"/>
  <c r="Q13" i="3"/>
  <c r="Q12" i="3"/>
  <c r="Q11" i="3"/>
  <c r="C8" i="4" l="1"/>
  <c r="C7" i="4"/>
  <c r="D6" i="4"/>
  <c r="C6" i="4" s="1"/>
  <c r="K7" i="4"/>
  <c r="K6" i="4" s="1"/>
  <c r="L6" i="4" s="1"/>
  <c r="R24" i="3" a="1"/>
  <c r="R24" i="3" s="1"/>
  <c r="F7" i="4" l="1"/>
  <c r="G7" i="4" s="1"/>
  <c r="D5" i="4"/>
  <c r="C5" i="4" s="1"/>
  <c r="F5" i="4" s="1"/>
  <c r="G5" i="4" s="1"/>
  <c r="F6" i="4"/>
  <c r="G6" i="4" s="1"/>
  <c r="H6" i="4"/>
  <c r="K5" i="4"/>
  <c r="H7" i="4"/>
  <c r="A27" i="4"/>
  <c r="A26" i="4"/>
  <c r="Q6" i="3"/>
  <c r="D4" i="4" l="1"/>
  <c r="C4" i="4" s="1"/>
  <c r="F4" i="4" s="1"/>
  <c r="G4" i="4" s="1"/>
  <c r="H5" i="4"/>
  <c r="I5" i="4" s="1"/>
  <c r="J5" i="4" s="1"/>
  <c r="I6" i="4"/>
  <c r="J6" i="4" s="1"/>
  <c r="L5" i="4"/>
  <c r="K4" i="4"/>
  <c r="L4" i="4" s="1"/>
  <c r="Q8" i="3"/>
  <c r="Q7" i="3"/>
  <c r="H8" i="4"/>
  <c r="F8" i="4"/>
  <c r="G8" i="4" s="1"/>
  <c r="L7" i="4"/>
  <c r="L8" i="4"/>
  <c r="H4" i="4" l="1"/>
  <c r="I4" i="4" s="1"/>
  <c r="J4" i="4" s="1"/>
  <c r="I8" i="4"/>
  <c r="J8" i="4" s="1"/>
  <c r="I7" i="4"/>
  <c r="J7" i="4" s="1"/>
  <c r="C17" i="1"/>
  <c r="P24" i="3" a="1"/>
  <c r="P24" i="3" s="1"/>
  <c r="D18" i="1" l="1"/>
  <c r="D19" i="1" l="1"/>
  <c r="C18" i="1"/>
  <c r="C19" i="1" l="1"/>
  <c r="S24" i="3" s="1" a="1"/>
  <c r="S24" i="3" s="1"/>
  <c r="Q24" i="3" a="1"/>
  <c r="Q2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<sst xmlns="http://schemas.openxmlformats.org/spreadsheetml/2006/main" count="135" uniqueCount="73">
  <si>
    <t>Fiscal Year</t>
  </si>
  <si>
    <t>Months Reported</t>
  </si>
  <si>
    <t>Enrollee Months</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</si>
  <si>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</si>
  <si>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</si>
  <si>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</si>
  <si>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</si>
  <si>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</si>
  <si>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</si>
  <si>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</si>
  <si>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</si>
  <si>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</si>
  <si>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</si>
  <si>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</si>
  <si>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</si>
  <si>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</si>
  <si>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</si>
  <si>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</si>
  <si>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</si>
  <si>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</si>
  <si>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</si>
  <si>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</si>
  <si>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</si>
  <si>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</si>
  <si>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</si>
  <si>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</si>
  <si>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</si>
  <si>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</si>
  <si>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</si>
  <si>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</si>
  <si>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</si>
  <si>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</si>
  <si>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</si>
  <si>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</si>
  <si>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</si>
  <si>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</si>
  <si>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</si>
  <si>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</si>
  <si>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</si>
  <si>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</si>
  <si>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</si>
  <si>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</si>
  <si>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Total Medicaid Managed Care Enrollment</t>
  </si>
  <si>
    <t>State Spending (Millions)</t>
  </si>
  <si>
    <t>State Spending Annual Change (Millions)</t>
  </si>
  <si>
    <t>Average Annual Growth Rates (as of FY24)</t>
  </si>
  <si>
    <t>Medicaid Managed Care Enrollment and Spending</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</si>
  <si>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</si>
  <si>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</si>
  <si>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</si>
  <si>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</si>
  <si>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</si>
  <si>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</si>
  <si>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Enrollee Months:</t>
    </r>
    <r>
      <rPr>
        <sz val="11"/>
        <color theme="1"/>
        <rFont val="Calibri"/>
        <family val="2"/>
        <scheme val="minor"/>
      </rPr>
      <t xml:space="preserve"> The total number of Medicaid enrollee months reported within the fiscal year.</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</si>
  <si>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</si>
  <si>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</si>
  <si>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</si>
  <si>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State Medicaid spending per enrollee for the fiscal year.</t>
    </r>
  </si>
  <si>
    <r>
      <rPr>
        <b/>
        <sz val="11"/>
        <color theme="1"/>
        <rFont val="Calibri"/>
        <family val="2"/>
        <scheme val="minor"/>
      </rPr>
      <t>State Spending (Millions):</t>
    </r>
    <r>
      <rPr>
        <sz val="11"/>
        <color theme="1"/>
        <rFont val="Calibri"/>
        <family val="2"/>
        <scheme val="minor"/>
      </rPr>
      <t xml:space="preserve"> The total Medicaid managed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</si>
  <si>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care, expressed in millions of dollars.</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</si>
  <si>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</si>
  <si>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</si>
  <si>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</si>
  <si>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r>
      <rPr>
        <b/>
        <sz val="11"/>
        <color theme="1"/>
        <rFont val="Calibri"/>
        <family val="2"/>
        <scheme val="minor"/>
      </rPr>
      <t>End of Period Enrollment:</t>
    </r>
    <r>
      <rPr>
        <sz val="11"/>
        <color theme="1"/>
        <rFont val="Calibri"/>
        <family val="2"/>
        <scheme val="minor"/>
      </rPr>
      <t xml:space="preserve"> The total number of Medicaid enrollees at the end of the reporting period. For completed fiscal years, this represents the enrollment total on the final day of the year. For partial fiscal years, it reflects the year-to-date (YTD) enrollment total as of the most recent reporting date.</t>
    </r>
  </si>
  <si>
    <t>Calculations</t>
  </si>
  <si>
    <t>Per Capita Spending State Spending</t>
  </si>
  <si>
    <r>
      <rPr>
        <b/>
        <sz val="11"/>
        <color theme="1"/>
        <rFont val="Calibri"/>
        <family val="2"/>
        <scheme val="minor"/>
      </rPr>
      <t>State Spending Annual Change %:</t>
    </r>
    <r>
      <rPr>
        <sz val="11"/>
        <color theme="1"/>
        <rFont val="Calibri"/>
        <family val="2"/>
        <scheme val="minor"/>
      </rPr>
      <t xml:space="preserve"> The percentage change in the State’s share of Medicaid spending compared to the prior fiscal year.</t>
    </r>
  </si>
  <si>
    <t>NA</t>
  </si>
  <si>
    <t>You can forecast projected enrollment and State spending by changing the two inputs below:</t>
  </si>
  <si>
    <t>FY27 (Forecast)</t>
  </si>
  <si>
    <t>FY28 (Forecast)</t>
  </si>
  <si>
    <t>FY29 (Forecast)</t>
  </si>
  <si>
    <t>Per Capita State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</si>
</sst>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5" tint="0.59999389629810485"/>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67">
    <xf numFmtId="0" fontId="0" fillId="0" borderId="0" xfId="0"/>
    <xf numFmtId="3" fontId="0" fillId="0" borderId="0" xfId="0" applyNumberFormat="1"/>
    <xf numFmtId="10" fontId="0" fillId="0" borderId="0" xfId="0" applyNumberFormat="1"/>
    <xf numFmtId="6" fontId="0" fillId="0" borderId="0" xfId="0" applyNumberFormat="1"/>
    <xf numFmtId="0" fontId="13" fillId="0" borderId="0" xfId="0" applyFont="1"/>
    <xf numFmtId="8" fontId="13" fillId="0" borderId="0" xfId="0" applyNumberFormat="1" applyFon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165" fontId="8" fillId="3" borderId="4" xfId="7" applyNumberFormat="1"/>
    <xf numFmtId="0" fontId="8" fillId="3" borderId="17" xfId="7" applyBorder="1"/>
    <xf numFmtId="165" fontId="8" fillId="3" borderId="18" xfId="7" applyNumberFormat="1" applyBorder="1"/>
    <xf numFmtId="0" fontId="0" fillId="0" borderId="0" xfId="0" applyAlignment="1">
      <alignment vertical="center"/>
    </xf>
    <xf numFmtId="164" fontId="15" fillId="2" borderId="3" xfId="6" applyNumberFormat="1" applyFont="1" applyAlignment="1">
      <alignment horizontal="right" wrapText="1"/>
    </xf>
    <xf numFmtId="10" fontId="15" fillId="2" borderId="14" xfId="6" applyNumberFormat="1" applyFont="1" applyBorder="1" applyProtection="1">
      <protection locked="0"/>
    </xf>
    <xf numFmtId="0" fontId="3" fillId="0" borderId="8" xfId="0" applyFont="1" applyBorder="1"/>
    <xf numFmtId="0" fontId="3" fillId="0" borderId="0" xfId="0" applyFont="1"/>
    <xf numFmtId="0" fontId="3" fillId="0" borderId="9" xfId="0" applyFont="1" applyBorder="1"/>
    <xf numFmtId="0" fontId="2" fillId="0" borderId="10" xfId="4" applyFont="1" applyBorder="1"/>
    <xf numFmtId="10" fontId="3" fillId="0" borderId="0" xfId="1" applyNumberFormat="1" applyFont="1" applyBorder="1"/>
    <xf numFmtId="10" fontId="3" fillId="0" borderId="0" xfId="0" applyNumberFormat="1" applyFont="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4"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167" fontId="0" fillId="0" borderId="20" xfId="0" applyNumberFormat="1" applyBorder="1"/>
    <xf numFmtId="0" fontId="6" fillId="0" borderId="8" xfId="5" applyBorder="1"/>
    <xf numFmtId="0" fontId="2" fillId="0" borderId="10" xfId="4" applyFont="1" applyBorder="1" applyAlignment="1">
      <alignment wrapText="1"/>
    </xf>
    <xf numFmtId="0" fontId="2" fillId="0" borderId="2" xfId="4" applyFont="1" applyAlignment="1">
      <alignment horizontal="right" wrapText="1"/>
    </xf>
    <xf numFmtId="0" fontId="2" fillId="0" borderId="11" xfId="4" applyFont="1" applyBorder="1" applyAlignment="1">
      <alignment horizontal="right" wrapText="1"/>
    </xf>
    <xf numFmtId="166" fontId="1" fillId="9" borderId="16" xfId="11" applyNumberFormat="1" applyBorder="1"/>
    <xf numFmtId="166" fontId="1" fillId="9" borderId="19" xfId="11" applyNumberFormat="1" applyBorder="1"/>
    <xf numFmtId="166" fontId="8" fillId="3" borderId="4" xfId="10" applyNumberFormat="1" applyFont="1" applyFill="1" applyBorder="1"/>
    <xf numFmtId="166" fontId="8" fillId="3" borderId="21" xfId="10" applyNumberFormat="1" applyFont="1" applyFill="1" applyBorder="1"/>
    <xf numFmtId="10" fontId="2" fillId="0" borderId="2" xfId="4" applyNumberFormat="1" applyFont="1"/>
    <xf numFmtId="10" fontId="15"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0" fontId="10" fillId="5" borderId="0" xfId="9" applyFont="1" applyFill="1" applyAlignment="1">
      <alignment horizontal="center"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6" fillId="0" borderId="12" xfId="3" applyFont="1" applyBorder="1"/>
    <xf numFmtId="0" fontId="16" fillId="0" borderId="1" xfId="3" applyFont="1"/>
    <xf numFmtId="0" fontId="16" fillId="0" borderId="13" xfId="3" applyFont="1" applyBorder="1"/>
    <xf numFmtId="0" fontId="2" fillId="0" borderId="10" xfId="4" applyFont="1" applyBorder="1"/>
    <xf numFmtId="0" fontId="2" fillId="0" borderId="2" xfId="4" applyFont="1"/>
    <xf numFmtId="0" fontId="2" fillId="0" borderId="11" xfId="4" applyFont="1" applyBorder="1"/>
    <xf numFmtId="0" fontId="16" fillId="0" borderId="5" xfId="3" applyFont="1" applyBorder="1"/>
    <xf numFmtId="0" fontId="16" fillId="0" borderId="6" xfId="3" applyFont="1" applyBorder="1"/>
    <xf numFmtId="0" fontId="16"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4" formatCode="0.00%"/>
    </dxf>
    <dxf>
      <numFmt numFmtId="10" formatCode="&quot;$&quot;#,##0_);[Red]\(&quot;$&quot;#,##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9" defaultPivotStyle="PivotStyleLight16"/>
  <colors>
    <mruColors>
      <color rgb="FFB9CDE5"/>
      <color rgb="FFE4DFEC"/>
      <color rgb="FFF2DCDB"/>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rgbClr val="B9CDE5">
                <a:alpha val="80000"/>
              </a:srgbClr>
            </a:solidFill>
            <a:ln>
              <a:noFill/>
            </a:ln>
            <a:effectLst/>
          </c:spPr>
          <c:invertIfNegative val="0"/>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rgbClr val="B9CDE5">
                  <a:alpha val="80000"/>
                </a:srgb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projection_data!$D$2:$D$19</c:f>
              <c:numCache>
                <c:formatCode>#,##0</c:formatCode>
                <c:ptCount val="18"/>
                <c:pt idx="0">
                  <c:v>3015325.91666666</c:v>
                </c:pt>
                <c:pt idx="1">
                  <c:v>3318293.66666666</c:v>
                </c:pt>
                <c:pt idx="2">
                  <c:v>3590581</c:v>
                </c:pt>
                <c:pt idx="3">
                  <c:v>4304502.9166666605</c:v>
                </c:pt>
                <c:pt idx="4">
                  <c:v>4710904.1666666605</c:v>
                </c:pt>
                <c:pt idx="5">
                  <c:v>4604302.25</c:v>
                </c:pt>
                <c:pt idx="6">
                  <c:v>4648351.75</c:v>
                </c:pt>
                <c:pt idx="7">
                  <c:v>4684269</c:v>
                </c:pt>
                <c:pt idx="8">
                  <c:v>4609283.3333333302</c:v>
                </c:pt>
                <c:pt idx="9">
                  <c:v>5118244.9166666605</c:v>
                </c:pt>
                <c:pt idx="10">
                  <c:v>5611767</c:v>
                </c:pt>
                <c:pt idx="11">
                  <c:v>5870984.5</c:v>
                </c:pt>
                <c:pt idx="12">
                  <c:v>5750162.4166666605</c:v>
                </c:pt>
                <c:pt idx="13" formatCode="General">
                  <c:v>5999144.4493083265</c:v>
                </c:pt>
                <c:pt idx="14" formatCode="General">
                  <c:v>6258907.4039633768</c:v>
                </c:pt>
                <c:pt idx="15" formatCode="General">
                  <c:v>6529918.0945549905</c:v>
                </c:pt>
                <c:pt idx="16" formatCode="General">
                  <c:v>6812663.5480492208</c:v>
                </c:pt>
                <c:pt idx="17" formatCode="General">
                  <c:v>7107651.8796797516</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projection_data!$C$2:$C$19</c:f>
              <c:numCache>
                <c:formatCode>"$"#,##0_);[Red]\("$"#,##0\)</c:formatCode>
                <c:ptCount val="18"/>
                <c:pt idx="0">
                  <c:v>4051469000</c:v>
                </c:pt>
                <c:pt idx="1">
                  <c:v>9797000000</c:v>
                </c:pt>
                <c:pt idx="2">
                  <c:v>11217000000</c:v>
                </c:pt>
                <c:pt idx="3">
                  <c:v>12667000000</c:v>
                </c:pt>
                <c:pt idx="4">
                  <c:v>12466000000</c:v>
                </c:pt>
                <c:pt idx="5">
                  <c:v>13762000000</c:v>
                </c:pt>
                <c:pt idx="6">
                  <c:v>15962000000</c:v>
                </c:pt>
                <c:pt idx="7">
                  <c:v>16130000000</c:v>
                </c:pt>
                <c:pt idx="8">
                  <c:v>17838000000</c:v>
                </c:pt>
                <c:pt idx="9">
                  <c:v>17686000000</c:v>
                </c:pt>
                <c:pt idx="10">
                  <c:v>19634000000</c:v>
                </c:pt>
                <c:pt idx="11">
                  <c:v>21104000000</c:v>
                </c:pt>
                <c:pt idx="12">
                  <c:v>22013000000</c:v>
                </c:pt>
                <c:pt idx="13" formatCode="&quot;$&quot;#,##0.00_);[Red]\(&quot;$&quot;#,##0.00\)">
                  <c:v>23524240658.469936</c:v>
                </c:pt>
                <c:pt idx="14" formatCode="&quot;$&quot;#,##0.00_);[Red]\(&quot;$&quot;#,##0.00\)">
                  <c:v>25139231297.760937</c:v>
                </c:pt>
                <c:pt idx="15" formatCode="&quot;$&quot;#,##0.00_);[Red]\(&quot;$&quot;#,##0.00\)">
                  <c:v>26865094581.268764</c:v>
                </c:pt>
                <c:pt idx="16" formatCode="&quot;$&quot;#,##0.00_);[Red]\(&quot;$&quot;#,##0.00\)">
                  <c:v>28709442158.829994</c:v>
                </c:pt>
                <c:pt idx="17" formatCode="&quot;$&quot;#,##0.00_);[Red]\(&quot;$&quot;#,##0.00\)">
                  <c:v>30680408236.711994</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rPr>
                  <a:t>Average Annual Enrollment</a:t>
                </a:r>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165100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298450</xdr:colOff>
      <xdr:row>6</xdr:row>
      <xdr:rowOff>22141</xdr:rowOff>
    </xdr:from>
    <xdr:to>
      <xdr:col>5</xdr:col>
      <xdr:colOff>546100</xdr:colOff>
      <xdr:row>6</xdr:row>
      <xdr:rowOff>108690</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5099050" y="12413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476635</xdr:colOff>
      <xdr:row>5</xdr:row>
      <xdr:rowOff>114583</xdr:rowOff>
    </xdr:from>
    <xdr:to>
      <xdr:col>7</xdr:col>
      <xdr:colOff>558800</xdr:colOff>
      <xdr:row>6</xdr:row>
      <xdr:rowOff>152400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277235" y="1143283"/>
          <a:ext cx="1733165" cy="228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745311</xdr:colOff>
      <xdr:row>5</xdr:row>
      <xdr:rowOff>102338</xdr:rowOff>
    </xdr:from>
    <xdr:to>
      <xdr:col>9</xdr:col>
      <xdr:colOff>711200</xdr:colOff>
      <xdr:row>7</xdr:row>
      <xdr:rowOff>12700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31038"/>
          <a:ext cx="1616889" cy="29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Spending</a:t>
          </a:r>
        </a:p>
      </xdr:txBody>
    </xdr:sp>
    <xdr:clientData/>
  </xdr:twoCellAnchor>
  <xdr:twoCellAnchor>
    <xdr:from>
      <xdr:col>7</xdr:col>
      <xdr:colOff>503052</xdr:colOff>
      <xdr:row>6</xdr:row>
      <xdr:rowOff>30140</xdr:rowOff>
    </xdr:from>
    <xdr:to>
      <xdr:col>7</xdr:col>
      <xdr:colOff>799935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E7D33D-54A7-E54F-9360-7E4950789BDC}" name="Table1" displayName="Table1" ref="A1:G14" totalsRowShown="0" headerRowDxfId="5">
  <autoFilter ref="A1:G14" xr:uid="{66E7D33D-54A7-E54F-9360-7E4950789BDC}"/>
  <tableColumns count="7">
    <tableColumn id="1" xr3:uid="{CF27716F-5074-3346-8523-72F1900144BD}" name="Data  Type"/>
    <tableColumn id="2" xr3:uid="{C96BD2F9-89B3-A14C-81FC-E3A8DFCC8429}" name="Fiscal Year"/>
    <tableColumn id="3" xr3:uid="{01CACE81-45D7-7446-B728-9B2B83E78B79}" name="State Spending" dataDxfId="4"/>
    <tableColumn id="4" xr3:uid="{06BEE8CE-98D5-CA4D-9416-5950D90F162E}" name="Average Annual Enrollment" dataDxfId="3"/>
    <tableColumn id="5" xr3:uid="{3EADD39B-572C-DC49-936D-3495F631C368}" name="Average Annual Enrollment Change %" dataDxfId="2" dataCellStyle="Percent"/>
    <tableColumn id="6" xr3:uid="{2153D761-E319-9740-9788-8F81F69BBF9E}" name="Average Annual Spending per Enrollee" dataDxfId="1"/>
    <tableColumn id="7" xr3:uid="{009E49B7-E7EF-3B4A-845E-8634520B2845}" name="Average Annual Spending per Enrollee Annual Change %"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M43"/>
  <sheetViews>
    <sheetView showGridLines="0" tabSelected="1" zoomScaleNormal="100" workbookViewId="0">
      <selection activeCell="G27" sqref="G27"/>
    </sheetView>
  </sheetViews>
  <sheetFormatPr baseColWidth="10" defaultColWidth="8.83203125" defaultRowHeight="15" x14ac:dyDescent="0.2"/>
  <cols>
    <col min="1" max="1" width="17" customWidth="1"/>
    <col min="2" max="2" width="14.83203125" hidden="1" customWidth="1"/>
    <col min="3" max="13" width="19.1640625" customWidth="1"/>
  </cols>
  <sheetData>
    <row r="1" spans="1:13" ht="23" x14ac:dyDescent="0.25">
      <c r="A1" s="51" t="s">
        <v>46</v>
      </c>
      <c r="B1" s="51"/>
      <c r="C1" s="51"/>
      <c r="D1" s="51"/>
      <c r="E1" s="51"/>
      <c r="F1" s="51"/>
      <c r="G1" s="51"/>
      <c r="H1" s="51"/>
      <c r="I1" s="51"/>
      <c r="J1" s="51"/>
      <c r="K1" s="51"/>
      <c r="L1" s="51"/>
      <c r="M1" s="51"/>
    </row>
    <row r="2" spans="1:13" s="14" customFormat="1" ht="42" customHeight="1" x14ac:dyDescent="0.2">
      <c r="C2" s="47" t="s">
        <v>42</v>
      </c>
      <c r="D2" s="47"/>
      <c r="E2" s="47"/>
      <c r="F2" s="48" t="s">
        <v>18</v>
      </c>
      <c r="G2" s="48"/>
      <c r="H2" s="49" t="s">
        <v>4</v>
      </c>
      <c r="I2" s="49"/>
      <c r="J2" s="49"/>
      <c r="K2" s="50" t="s">
        <v>19</v>
      </c>
      <c r="L2" s="50"/>
      <c r="M2" s="50"/>
    </row>
    <row r="3" spans="1:13" s="24" customFormat="1" ht="45" customHeight="1" x14ac:dyDescent="0.2">
      <c r="A3" s="25" t="s">
        <v>20</v>
      </c>
      <c r="B3" s="25" t="s">
        <v>1</v>
      </c>
      <c r="C3" s="25" t="s">
        <v>2</v>
      </c>
      <c r="D3" s="25" t="s">
        <v>21</v>
      </c>
      <c r="E3" s="25" t="s">
        <v>62</v>
      </c>
      <c r="F3" s="25" t="s">
        <v>3</v>
      </c>
      <c r="G3" s="25" t="s">
        <v>22</v>
      </c>
      <c r="H3" s="25" t="s">
        <v>43</v>
      </c>
      <c r="I3" s="25" t="s">
        <v>44</v>
      </c>
      <c r="J3" s="25" t="s">
        <v>5</v>
      </c>
      <c r="K3" s="25" t="s">
        <v>6</v>
      </c>
      <c r="L3" s="25" t="s">
        <v>7</v>
      </c>
      <c r="M3" s="25" t="s">
        <v>23</v>
      </c>
    </row>
    <row r="4" spans="1:13" s="24" customFormat="1" ht="15" customHeight="1" x14ac:dyDescent="0.2">
      <c r="A4" s="26" t="s">
        <v>71</v>
      </c>
      <c r="B4" s="25"/>
      <c r="C4" s="28">
        <f t="shared" ref="C4:C7" si="0">D4*12</f>
        <v>85291822.556157023</v>
      </c>
      <c r="D4" s="28">
        <f>(1+$G$27)*D5</f>
        <v>7107651.8796797516</v>
      </c>
      <c r="E4" s="32" t="s">
        <v>67</v>
      </c>
      <c r="F4" s="28">
        <f>C4-C5</f>
        <v>3539859.9795663655</v>
      </c>
      <c r="G4" s="30">
        <f>F4/C5</f>
        <v>4.329999999999988E-2</v>
      </c>
      <c r="H4" s="34">
        <f>K4*D4</f>
        <v>30680408236.711994</v>
      </c>
      <c r="I4" s="34">
        <f>H4-H5</f>
        <v>1970966077.882</v>
      </c>
      <c r="J4" s="31">
        <f>I4/H5</f>
        <v>6.8652189999999752E-2</v>
      </c>
      <c r="K4" s="29">
        <f>(1+M4)*K5</f>
        <v>4316.532204457706</v>
      </c>
      <c r="L4" s="29">
        <f>K4-K5</f>
        <v>102.40333161019407</v>
      </c>
      <c r="M4" s="30">
        <f>$G$29</f>
        <v>2.4299999999999999E-2</v>
      </c>
    </row>
    <row r="5" spans="1:13" s="24" customFormat="1" ht="15" customHeight="1" x14ac:dyDescent="0.2">
      <c r="A5" s="26" t="s">
        <v>70</v>
      </c>
      <c r="B5" s="25"/>
      <c r="C5" s="28">
        <f t="shared" si="0"/>
        <v>81751962.576590657</v>
      </c>
      <c r="D5" s="28">
        <f>(1+$G$27)*D6</f>
        <v>6812663.5480492208</v>
      </c>
      <c r="E5" s="32" t="s">
        <v>67</v>
      </c>
      <c r="F5" s="28">
        <f>C5-C6</f>
        <v>3392945.4419307709</v>
      </c>
      <c r="G5" s="30">
        <f>F5/C6</f>
        <v>4.329999999999997E-2</v>
      </c>
      <c r="H5" s="34">
        <f>K5*D5</f>
        <v>28709442158.829994</v>
      </c>
      <c r="I5" s="34">
        <f>H5-H6</f>
        <v>1844347577.5612297</v>
      </c>
      <c r="J5" s="31">
        <f>I5/H6</f>
        <v>6.8652189999999849E-2</v>
      </c>
      <c r="K5" s="29">
        <f>(1+M5)*K6</f>
        <v>4214.128872847512</v>
      </c>
      <c r="L5" s="29">
        <f>K5-K6</f>
        <v>99.973964278233325</v>
      </c>
      <c r="M5" s="30">
        <f>$G$29</f>
        <v>2.4299999999999999E-2</v>
      </c>
    </row>
    <row r="6" spans="1:13" s="24" customFormat="1" ht="15" customHeight="1" x14ac:dyDescent="0.2">
      <c r="A6" s="26" t="s">
        <v>69</v>
      </c>
      <c r="B6" s="25"/>
      <c r="C6" s="28">
        <f t="shared" si="0"/>
        <v>78359017.134659886</v>
      </c>
      <c r="D6" s="28">
        <f>(1+$G$27)*D7</f>
        <v>6529918.0945549905</v>
      </c>
      <c r="E6" s="32" t="s">
        <v>67</v>
      </c>
      <c r="F6" s="28">
        <f>C6-C7</f>
        <v>3252128.2870993614</v>
      </c>
      <c r="G6" s="30">
        <f>F6/C7</f>
        <v>4.3299999999999873E-2</v>
      </c>
      <c r="H6" s="34">
        <f>K6*D6</f>
        <v>26865094581.268764</v>
      </c>
      <c r="I6" s="34">
        <f>H6-H7</f>
        <v>1725863283.5078278</v>
      </c>
      <c r="J6" s="31">
        <f>I6/H7</f>
        <v>6.8652189999999891E-2</v>
      </c>
      <c r="K6" s="29">
        <f>(1+M6)*K7</f>
        <v>4114.1549085692786</v>
      </c>
      <c r="L6" s="29">
        <f>K6-K7</f>
        <v>97.602230087116368</v>
      </c>
      <c r="M6" s="30">
        <f>$G$29</f>
        <v>2.4299999999999999E-2</v>
      </c>
    </row>
    <row r="7" spans="1:13" x14ac:dyDescent="0.2">
      <c r="A7" s="26" t="s">
        <v>24</v>
      </c>
      <c r="B7" s="27"/>
      <c r="C7" s="28">
        <f t="shared" si="0"/>
        <v>75106888.847560525</v>
      </c>
      <c r="D7" s="28">
        <f>(1+$G$27)*D8</f>
        <v>6258907.4039633768</v>
      </c>
      <c r="E7" s="32" t="s">
        <v>67</v>
      </c>
      <c r="F7" s="28">
        <f>C7-C8</f>
        <v>3117155.4558606148</v>
      </c>
      <c r="G7" s="30">
        <f>F7/C8</f>
        <v>4.3300000000000123E-2</v>
      </c>
      <c r="H7" s="34">
        <f>K7*D7</f>
        <v>25139231297.760937</v>
      </c>
      <c r="I7" s="34">
        <f>H7-H8</f>
        <v>1614990639.2910004</v>
      </c>
      <c r="J7" s="31">
        <f>I7/H8</f>
        <v>6.8652189999999877E-2</v>
      </c>
      <c r="K7" s="29">
        <f>(1+M7)*K8</f>
        <v>4016.5526784821623</v>
      </c>
      <c r="L7" s="29">
        <f>K7-K8</f>
        <v>95.286761775960713</v>
      </c>
      <c r="M7" s="30">
        <f>$G$29</f>
        <v>2.4299999999999999E-2</v>
      </c>
    </row>
    <row r="8" spans="1:13" x14ac:dyDescent="0.2">
      <c r="A8" s="26" t="s">
        <v>25</v>
      </c>
      <c r="B8" s="27"/>
      <c r="C8" s="28">
        <f>D8*12</f>
        <v>71989733.39169991</v>
      </c>
      <c r="D8" s="28">
        <f>(1+$G$27)*D10</f>
        <v>5999144.4493083265</v>
      </c>
      <c r="E8" s="32" t="s">
        <v>67</v>
      </c>
      <c r="F8" s="28">
        <f>C8-C10</f>
        <v>2987784.3916999102</v>
      </c>
      <c r="G8" s="31">
        <f>F8/C10</f>
        <v>4.3299999999998701E-2</v>
      </c>
      <c r="H8" s="34">
        <f>K8*D8</f>
        <v>23524240658.469936</v>
      </c>
      <c r="I8" s="34">
        <f>H8-H10</f>
        <v>1511240658.4699364</v>
      </c>
      <c r="J8" s="31">
        <f>I8/H10</f>
        <v>6.8652189999997115E-2</v>
      </c>
      <c r="K8" s="29">
        <f>(1+M8)*K10</f>
        <v>3921.2659167062016</v>
      </c>
      <c r="L8" s="29">
        <f>K8-K10</f>
        <v>93.026224520121559</v>
      </c>
      <c r="M8" s="30">
        <f>$G$29</f>
        <v>2.4299999999999999E-2</v>
      </c>
    </row>
    <row r="9" spans="1:13" x14ac:dyDescent="0.2">
      <c r="A9" s="26" t="s">
        <v>26</v>
      </c>
      <c r="B9" s="27">
        <v>5</v>
      </c>
      <c r="C9" s="28">
        <v>25556588</v>
      </c>
      <c r="D9" s="28">
        <v>5111317.5999999996</v>
      </c>
      <c r="E9" s="28">
        <v>5035153</v>
      </c>
      <c r="F9" s="32" t="s">
        <v>67</v>
      </c>
      <c r="G9" s="32" t="s">
        <v>67</v>
      </c>
      <c r="H9" s="32" t="s">
        <v>67</v>
      </c>
      <c r="I9" s="32" t="s">
        <v>67</v>
      </c>
      <c r="J9" s="32" t="s">
        <v>67</v>
      </c>
      <c r="K9" s="32" t="s">
        <v>67</v>
      </c>
      <c r="L9" s="32" t="s">
        <v>67</v>
      </c>
      <c r="M9" s="32" t="s">
        <v>67</v>
      </c>
    </row>
    <row r="10" spans="1:13" x14ac:dyDescent="0.2">
      <c r="A10" s="27" t="s">
        <v>27</v>
      </c>
      <c r="B10" s="27">
        <v>12</v>
      </c>
      <c r="C10" s="28">
        <v>69001949</v>
      </c>
      <c r="D10" s="28">
        <v>5750162.4166666605</v>
      </c>
      <c r="E10" s="28">
        <v>5529750</v>
      </c>
      <c r="F10" s="28">
        <v>-1449865</v>
      </c>
      <c r="G10" s="31">
        <v>-2.05795268805995E-2</v>
      </c>
      <c r="H10" s="34">
        <v>22013000000</v>
      </c>
      <c r="I10" s="34">
        <v>909000000</v>
      </c>
      <c r="J10" s="31">
        <v>4.3072403335860501E-2</v>
      </c>
      <c r="K10" s="29">
        <v>3828.23969218608</v>
      </c>
      <c r="L10" s="29">
        <v>233.61259003652299</v>
      </c>
      <c r="M10" s="31">
        <v>6.4989380928225995E-2</v>
      </c>
    </row>
    <row r="11" spans="1:13" x14ac:dyDescent="0.2">
      <c r="A11" s="27" t="s">
        <v>28</v>
      </c>
      <c r="B11" s="27">
        <v>12</v>
      </c>
      <c r="C11" s="28">
        <v>70451814</v>
      </c>
      <c r="D11" s="28">
        <v>5870984.5</v>
      </c>
      <c r="E11" s="28">
        <v>5930022</v>
      </c>
      <c r="F11" s="28">
        <v>3110610</v>
      </c>
      <c r="G11" s="31">
        <v>4.61917788104887E-2</v>
      </c>
      <c r="H11" s="34">
        <v>21104000000</v>
      </c>
      <c r="I11" s="34">
        <v>1470000000</v>
      </c>
      <c r="J11" s="31">
        <v>7.4870123255577001E-2</v>
      </c>
      <c r="K11" s="29">
        <v>3594.62710214956</v>
      </c>
      <c r="L11" s="29">
        <v>95.907358439604593</v>
      </c>
      <c r="M11" s="31">
        <v>2.74121294259216E-2</v>
      </c>
    </row>
    <row r="12" spans="1:13" x14ac:dyDescent="0.2">
      <c r="A12" s="27" t="s">
        <v>29</v>
      </c>
      <c r="B12" s="27">
        <v>12</v>
      </c>
      <c r="C12" s="28">
        <v>67341204</v>
      </c>
      <c r="D12" s="28">
        <v>5611767</v>
      </c>
      <c r="E12" s="28">
        <v>5668142</v>
      </c>
      <c r="F12" s="28">
        <v>5922265</v>
      </c>
      <c r="G12" s="31">
        <v>9.6424085085546604E-2</v>
      </c>
      <c r="H12" s="34">
        <v>19634000000</v>
      </c>
      <c r="I12" s="34">
        <v>1948000000</v>
      </c>
      <c r="J12" s="31">
        <v>0.110143616419767</v>
      </c>
      <c r="K12" s="29">
        <v>3498.7197437099499</v>
      </c>
      <c r="L12" s="29">
        <v>43.238365238083098</v>
      </c>
      <c r="M12" s="31">
        <v>1.25129788015829E-2</v>
      </c>
    </row>
    <row r="13" spans="1:13" x14ac:dyDescent="0.2">
      <c r="A13" s="27" t="s">
        <v>30</v>
      </c>
      <c r="B13" s="27">
        <v>12</v>
      </c>
      <c r="C13" s="28">
        <v>61418939</v>
      </c>
      <c r="D13" s="28">
        <v>5118244.9166666605</v>
      </c>
      <c r="E13" s="28">
        <v>5325115</v>
      </c>
      <c r="F13" s="28">
        <v>6107539</v>
      </c>
      <c r="G13" s="31">
        <v>0.11042098012344601</v>
      </c>
      <c r="H13" s="34">
        <v>17686000000</v>
      </c>
      <c r="I13" s="34">
        <v>-152000000</v>
      </c>
      <c r="J13" s="31">
        <v>-8.5211346563515995E-3</v>
      </c>
      <c r="K13" s="29">
        <v>3455.4813784718699</v>
      </c>
      <c r="L13" s="29">
        <v>-414.53456760795598</v>
      </c>
      <c r="M13" s="31">
        <v>-0.10711443399293</v>
      </c>
    </row>
    <row r="14" spans="1:13" x14ac:dyDescent="0.2">
      <c r="A14" s="27" t="s">
        <v>31</v>
      </c>
      <c r="B14" s="27">
        <v>12</v>
      </c>
      <c r="C14" s="28">
        <v>55311400</v>
      </c>
      <c r="D14" s="28">
        <v>4609283.3333333302</v>
      </c>
      <c r="E14" s="28">
        <v>4574317</v>
      </c>
      <c r="F14" s="28">
        <v>-899828</v>
      </c>
      <c r="G14" s="31">
        <v>-1.6007976200057301E-2</v>
      </c>
      <c r="H14" s="34">
        <v>17838000000</v>
      </c>
      <c r="I14" s="34">
        <v>1708000000</v>
      </c>
      <c r="J14" s="31">
        <v>0.105889646621202</v>
      </c>
      <c r="K14" s="29">
        <v>3870.01594607983</v>
      </c>
      <c r="L14" s="29">
        <v>426.57578497892098</v>
      </c>
      <c r="M14" s="31">
        <v>0.12388070215297101</v>
      </c>
    </row>
    <row r="15" spans="1:13" x14ac:dyDescent="0.2">
      <c r="A15" s="27" t="s">
        <v>32</v>
      </c>
      <c r="B15" s="27">
        <v>12</v>
      </c>
      <c r="C15" s="28">
        <v>56211228</v>
      </c>
      <c r="D15" s="28">
        <v>4684269</v>
      </c>
      <c r="E15" s="28">
        <v>4675291</v>
      </c>
      <c r="F15" s="28">
        <v>431007</v>
      </c>
      <c r="G15" s="31">
        <v>7.7268786726391696E-3</v>
      </c>
      <c r="H15" s="34">
        <v>16130000000</v>
      </c>
      <c r="I15" s="34">
        <v>168000000</v>
      </c>
      <c r="J15" s="31">
        <v>1.05249968675604E-2</v>
      </c>
      <c r="K15" s="29">
        <v>3443.4401611009098</v>
      </c>
      <c r="L15" s="29">
        <v>9.5347988399753305</v>
      </c>
      <c r="M15" s="31">
        <v>2.77666325483631E-3</v>
      </c>
    </row>
    <row r="16" spans="1:13" x14ac:dyDescent="0.2">
      <c r="A16" s="27" t="s">
        <v>33</v>
      </c>
      <c r="B16" s="27">
        <v>12</v>
      </c>
      <c r="C16" s="28">
        <v>55780221</v>
      </c>
      <c r="D16" s="28">
        <v>4648351.75</v>
      </c>
      <c r="E16" s="28">
        <v>4661632</v>
      </c>
      <c r="F16" s="28">
        <v>528594</v>
      </c>
      <c r="G16" s="31">
        <v>9.56703048762708E-3</v>
      </c>
      <c r="H16" s="34">
        <v>15962000000</v>
      </c>
      <c r="I16" s="34">
        <v>2200000000</v>
      </c>
      <c r="J16" s="31">
        <v>0.15986048539456399</v>
      </c>
      <c r="K16" s="29">
        <v>3433.9053622609299</v>
      </c>
      <c r="L16" s="29">
        <v>444.96170635737099</v>
      </c>
      <c r="M16" s="31">
        <v>0.148869218554358</v>
      </c>
    </row>
    <row r="17" spans="1:13" x14ac:dyDescent="0.2">
      <c r="A17" s="27" t="s">
        <v>34</v>
      </c>
      <c r="B17" s="27">
        <v>12</v>
      </c>
      <c r="C17" s="28">
        <v>55251627</v>
      </c>
      <c r="D17" s="28">
        <v>4604302.25</v>
      </c>
      <c r="E17" s="28">
        <v>4590438</v>
      </c>
      <c r="F17" s="28">
        <v>-1279223</v>
      </c>
      <c r="G17" s="31">
        <v>-2.2628759341138501E-2</v>
      </c>
      <c r="H17" s="34">
        <v>13762000000</v>
      </c>
      <c r="I17" s="34">
        <v>1296000000</v>
      </c>
      <c r="J17" s="31">
        <v>0.103962778758222</v>
      </c>
      <c r="K17" s="29">
        <v>2988.9436559035598</v>
      </c>
      <c r="L17" s="29">
        <v>342.742510865057</v>
      </c>
      <c r="M17" s="31">
        <v>0.12952247092315</v>
      </c>
    </row>
    <row r="18" spans="1:13" x14ac:dyDescent="0.2">
      <c r="A18" s="27" t="s">
        <v>35</v>
      </c>
      <c r="B18" s="27">
        <v>12</v>
      </c>
      <c r="C18" s="28">
        <v>56530850</v>
      </c>
      <c r="D18" s="28">
        <v>4710904.1666666605</v>
      </c>
      <c r="E18" s="28">
        <v>4795408</v>
      </c>
      <c r="F18" s="28">
        <v>4876815</v>
      </c>
      <c r="G18" s="31">
        <v>9.4413050209920593E-2</v>
      </c>
      <c r="H18" s="34">
        <v>12466000000</v>
      </c>
      <c r="I18" s="34">
        <v>-201000000</v>
      </c>
      <c r="J18" s="31">
        <v>-1.5868003473592799E-2</v>
      </c>
      <c r="K18" s="29">
        <v>2646.2011450384998</v>
      </c>
      <c r="L18" s="29">
        <v>-296.531208784385</v>
      </c>
      <c r="M18" s="31">
        <v>-0.10076730505211</v>
      </c>
    </row>
    <row r="19" spans="1:13" x14ac:dyDescent="0.2">
      <c r="A19" s="27" t="s">
        <v>36</v>
      </c>
      <c r="B19" s="27">
        <v>12</v>
      </c>
      <c r="C19" s="28">
        <v>51654035</v>
      </c>
      <c r="D19" s="28">
        <v>4304502.9166666605</v>
      </c>
      <c r="E19" s="28">
        <v>4495497</v>
      </c>
      <c r="F19" s="28">
        <v>8567063</v>
      </c>
      <c r="G19" s="31">
        <v>0.198831865000863</v>
      </c>
      <c r="H19" s="34">
        <v>12667000000</v>
      </c>
      <c r="I19" s="34">
        <v>1450000000</v>
      </c>
      <c r="J19" s="31">
        <v>0.12926807524293399</v>
      </c>
      <c r="K19" s="29">
        <v>2942.7323538228902</v>
      </c>
      <c r="L19" s="29">
        <v>-181.27459658429899</v>
      </c>
      <c r="M19" s="31">
        <v>-5.80263102681867E-2</v>
      </c>
    </row>
    <row r="20" spans="1:13" x14ac:dyDescent="0.2">
      <c r="A20" s="27" t="s">
        <v>37</v>
      </c>
      <c r="B20" s="27">
        <v>12</v>
      </c>
      <c r="C20" s="28">
        <v>43086972</v>
      </c>
      <c r="D20" s="28">
        <v>3590581</v>
      </c>
      <c r="E20" s="28">
        <v>3585440</v>
      </c>
      <c r="F20" s="28">
        <v>3267448</v>
      </c>
      <c r="G20" s="31">
        <v>8.2056430408359401E-2</v>
      </c>
      <c r="H20" s="34">
        <v>11217000000</v>
      </c>
      <c r="I20" s="34">
        <v>1420000000</v>
      </c>
      <c r="J20" s="31">
        <v>0.14494232928447401</v>
      </c>
      <c r="K20" s="29">
        <v>3124.0069504071898</v>
      </c>
      <c r="L20" s="29">
        <v>171.58592196897899</v>
      </c>
      <c r="M20" s="31">
        <v>5.8117023390714E-2</v>
      </c>
    </row>
    <row r="21" spans="1:13" x14ac:dyDescent="0.2">
      <c r="A21" s="27" t="s">
        <v>38</v>
      </c>
      <c r="B21" s="27">
        <v>12</v>
      </c>
      <c r="C21" s="28">
        <v>39819524</v>
      </c>
      <c r="D21" s="28">
        <v>3318293.66666666</v>
      </c>
      <c r="E21" s="28">
        <v>3400031</v>
      </c>
      <c r="F21" s="28">
        <v>3635613</v>
      </c>
      <c r="G21" s="31">
        <v>0.10047595463077499</v>
      </c>
      <c r="H21" s="34">
        <v>9797000000</v>
      </c>
      <c r="I21" s="34">
        <v>5745531000</v>
      </c>
      <c r="J21" s="31">
        <v>1.41813524921454</v>
      </c>
      <c r="K21" s="29">
        <v>2952.4210284382102</v>
      </c>
      <c r="L21" s="29">
        <v>1608.79545960459</v>
      </c>
      <c r="M21" s="31">
        <v>1.19735400763559</v>
      </c>
    </row>
    <row r="22" spans="1:13" x14ac:dyDescent="0.2">
      <c r="A22" s="27" t="s">
        <v>39</v>
      </c>
      <c r="B22" s="27">
        <v>12</v>
      </c>
      <c r="C22" s="28">
        <v>36183911</v>
      </c>
      <c r="D22" s="28">
        <v>3015325.91666666</v>
      </c>
      <c r="E22" s="28">
        <v>3045538</v>
      </c>
      <c r="F22" s="32" t="s">
        <v>67</v>
      </c>
      <c r="G22" s="32" t="s">
        <v>67</v>
      </c>
      <c r="H22" s="34">
        <v>4051469000</v>
      </c>
      <c r="I22" s="32" t="s">
        <v>67</v>
      </c>
      <c r="J22" s="32" t="s">
        <v>67</v>
      </c>
      <c r="K22" s="29">
        <v>1343.62556883361</v>
      </c>
      <c r="L22" s="32" t="s">
        <v>67</v>
      </c>
      <c r="M22" s="32" t="s">
        <v>67</v>
      </c>
    </row>
    <row r="24" spans="1:13" ht="16" thickBot="1" x14ac:dyDescent="0.25">
      <c r="A24" s="33" t="s">
        <v>48</v>
      </c>
      <c r="G24" s="33" t="s">
        <v>50</v>
      </c>
    </row>
    <row r="25" spans="1:13" ht="16" x14ac:dyDescent="0.2">
      <c r="A25" t="s">
        <v>49</v>
      </c>
      <c r="G25" s="6" t="s">
        <v>68</v>
      </c>
    </row>
    <row r="26" spans="1:13" x14ac:dyDescent="0.2">
      <c r="A26" t="str">
        <f>_xlfn.CONCAT("(2) Full-year Enrollment 2025 Estimate Represents YTD annualized. Months in YTD = ",B9,".")</f>
        <v>(2) Full-year Enrollment 2025 Estimate Represents YTD annualized. Months in YTD = 5.</v>
      </c>
      <c r="G26" t="s">
        <v>40</v>
      </c>
    </row>
    <row r="27" spans="1:13" ht="16" x14ac:dyDescent="0.2">
      <c r="A27" t="str">
        <f>_xlfn.CONCAT("(3) FY25 full-year spending estimate is based an assumption of per capita spending growth = ",ROUND(G29*100,2),"%")</f>
        <v>(3) FY25 full-year spending estimate is based an assumption of per capita spending growth = 2.43%</v>
      </c>
      <c r="G27" s="15">
        <v>4.3299999999999998E-2</v>
      </c>
    </row>
    <row r="28" spans="1:13" x14ac:dyDescent="0.2">
      <c r="G28" t="s">
        <v>41</v>
      </c>
    </row>
    <row r="29" spans="1:13" ht="16" x14ac:dyDescent="0.2">
      <c r="G29" s="15">
        <v>2.4299999999999999E-2</v>
      </c>
    </row>
    <row r="31" spans="1:13" ht="16" thickBot="1" x14ac:dyDescent="0.25">
      <c r="A31" s="33" t="s">
        <v>51</v>
      </c>
    </row>
    <row r="32" spans="1:13" x14ac:dyDescent="0.2">
      <c r="A32" t="s">
        <v>52</v>
      </c>
    </row>
    <row r="33" spans="1:3" ht="16" x14ac:dyDescent="0.2">
      <c r="A33" t="s">
        <v>53</v>
      </c>
      <c r="C33" s="6"/>
    </row>
    <row r="34" spans="1:3" x14ac:dyDescent="0.2">
      <c r="A34" t="s">
        <v>54</v>
      </c>
    </row>
    <row r="35" spans="1:3" x14ac:dyDescent="0.2">
      <c r="A35" t="s">
        <v>63</v>
      </c>
    </row>
    <row r="36" spans="1:3" x14ac:dyDescent="0.2">
      <c r="A36" t="s">
        <v>55</v>
      </c>
    </row>
    <row r="37" spans="1:3" x14ac:dyDescent="0.2">
      <c r="A37" t="s">
        <v>56</v>
      </c>
    </row>
    <row r="38" spans="1:3" x14ac:dyDescent="0.2">
      <c r="A38" t="s">
        <v>58</v>
      </c>
    </row>
    <row r="39" spans="1:3" x14ac:dyDescent="0.2">
      <c r="A39" t="s">
        <v>59</v>
      </c>
    </row>
    <row r="40" spans="1:3" x14ac:dyDescent="0.2">
      <c r="A40" t="s">
        <v>66</v>
      </c>
    </row>
    <row r="41" spans="1:3" x14ac:dyDescent="0.2">
      <c r="A41" t="s">
        <v>57</v>
      </c>
    </row>
    <row r="42" spans="1:3" x14ac:dyDescent="0.2">
      <c r="A42" t="s">
        <v>60</v>
      </c>
    </row>
    <row r="43" spans="1:3" x14ac:dyDescent="0.2">
      <c r="A43" t="s">
        <v>61</v>
      </c>
    </row>
  </sheetData>
  <sortState xmlns:xlrd2="http://schemas.microsoft.com/office/spreadsheetml/2017/richdata2" ref="A7:M22">
    <sortCondition descending="1" ref="A9:A22"/>
  </sortState>
  <mergeCells count="5">
    <mergeCell ref="C2:E2"/>
    <mergeCell ref="F2:G2"/>
    <mergeCell ref="H2:J2"/>
    <mergeCell ref="K2:M2"/>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20" sqref="R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0" customWidth="1"/>
    <col min="17" max="17" width="13" customWidth="1"/>
    <col min="18" max="18" width="11.5" customWidth="1"/>
    <col min="19" max="19" width="17.5" customWidth="1"/>
    <col min="20" max="20" width="10.5" customWidth="1"/>
    <col min="21" max="21" width="0" hidden="1" customWidth="1"/>
    <col min="22" max="16384" width="10.83203125" hidden="1"/>
  </cols>
  <sheetData>
    <row r="1" spans="16:19" ht="16" thickBot="1" x14ac:dyDescent="0.25"/>
    <row r="2" spans="16:19" ht="18" thickBot="1" x14ac:dyDescent="0.25">
      <c r="P2" s="61" t="s">
        <v>10</v>
      </c>
      <c r="Q2" s="62"/>
      <c r="R2" s="62"/>
      <c r="S2" s="63"/>
    </row>
    <row r="3" spans="16:19" ht="16" thickTop="1" x14ac:dyDescent="0.2">
      <c r="P3" s="64" t="s">
        <v>45</v>
      </c>
      <c r="Q3" s="65"/>
      <c r="R3" s="65"/>
      <c r="S3" s="66"/>
    </row>
    <row r="4" spans="16:19" x14ac:dyDescent="0.2">
      <c r="P4" s="17"/>
      <c r="Q4" s="18"/>
      <c r="R4" s="18"/>
      <c r="S4" s="19"/>
    </row>
    <row r="5" spans="16:19" ht="16" thickBot="1" x14ac:dyDescent="0.25">
      <c r="P5" s="58" t="s">
        <v>21</v>
      </c>
      <c r="Q5" s="59"/>
      <c r="R5" s="59"/>
      <c r="S5" s="60"/>
    </row>
    <row r="6" spans="16:19" x14ac:dyDescent="0.2">
      <c r="P6" s="9" t="s">
        <v>11</v>
      </c>
      <c r="Q6" s="21">
        <f>AVERAGE(projection_data!E14)</f>
        <v>-2.05795268805995E-2</v>
      </c>
      <c r="R6" s="21"/>
      <c r="S6" s="19"/>
    </row>
    <row r="7" spans="16:19" x14ac:dyDescent="0.2">
      <c r="P7" s="9" t="s">
        <v>12</v>
      </c>
      <c r="Q7" s="21">
        <f>AVERAGE(projection_data!E12:E14)</f>
        <v>4.0678779005145237E-2</v>
      </c>
      <c r="R7" s="21"/>
      <c r="S7" s="19"/>
    </row>
    <row r="8" spans="16:19" x14ac:dyDescent="0.2">
      <c r="P8" s="9" t="s">
        <v>13</v>
      </c>
      <c r="Q8" s="21">
        <f>AVERAGE(projection_data!E10:E14)</f>
        <v>4.3289868187764854E-2</v>
      </c>
      <c r="R8" s="21"/>
      <c r="S8" s="19"/>
    </row>
    <row r="9" spans="16:19" x14ac:dyDescent="0.2">
      <c r="P9" s="17"/>
      <c r="Q9" s="18"/>
      <c r="R9" s="18"/>
      <c r="S9" s="19"/>
    </row>
    <row r="10" spans="16:19" ht="16" thickBot="1" x14ac:dyDescent="0.25">
      <c r="P10" s="58" t="s">
        <v>65</v>
      </c>
      <c r="Q10" s="59"/>
      <c r="R10" s="59"/>
      <c r="S10" s="60"/>
    </row>
    <row r="11" spans="16:19" x14ac:dyDescent="0.2">
      <c r="P11" s="9" t="s">
        <v>11</v>
      </c>
      <c r="Q11" s="22">
        <f>AVERAGE(projection_data!G14)</f>
        <v>6.4989380928225995E-2</v>
      </c>
      <c r="R11" s="22"/>
      <c r="S11" s="19"/>
    </row>
    <row r="12" spans="16:19" x14ac:dyDescent="0.2">
      <c r="P12" s="9" t="s">
        <v>12</v>
      </c>
      <c r="Q12" s="22">
        <f>AVERAGE(projection_data!G12:G14)</f>
        <v>3.4971496385243502E-2</v>
      </c>
      <c r="R12" s="22"/>
      <c r="S12" s="19"/>
    </row>
    <row r="13" spans="16:19" x14ac:dyDescent="0.2">
      <c r="P13" s="9" t="s">
        <v>13</v>
      </c>
      <c r="Q13" s="22">
        <f>AVERAGE(projection_data!G10:G14)</f>
        <v>2.43361514631543E-2</v>
      </c>
      <c r="R13" s="22"/>
      <c r="S13" s="19"/>
    </row>
    <row r="14" spans="16:19" x14ac:dyDescent="0.2">
      <c r="P14" s="17"/>
      <c r="Q14" s="18"/>
      <c r="R14" s="18"/>
      <c r="S14" s="19"/>
    </row>
    <row r="15" spans="16:19" ht="18" thickBot="1" x14ac:dyDescent="0.25">
      <c r="P15" s="55" t="s">
        <v>9</v>
      </c>
      <c r="Q15" s="56"/>
      <c r="R15" s="56"/>
      <c r="S15" s="57"/>
    </row>
    <row r="16" spans="16:19" ht="15" customHeight="1" thickTop="1" x14ac:dyDescent="0.2">
      <c r="P16" s="35" t="s">
        <v>14</v>
      </c>
      <c r="Q16" s="18"/>
      <c r="R16" s="18"/>
      <c r="S16" s="19"/>
    </row>
    <row r="17" spans="16:19" ht="15" customHeight="1" x14ac:dyDescent="0.2">
      <c r="P17" s="52" t="s">
        <v>68</v>
      </c>
      <c r="Q17" s="53"/>
      <c r="R17" s="53"/>
      <c r="S17" s="54"/>
    </row>
    <row r="18" spans="16:19" ht="15" customHeight="1" x14ac:dyDescent="0.2">
      <c r="P18" s="52"/>
      <c r="Q18" s="53"/>
      <c r="R18" s="53"/>
      <c r="S18" s="54"/>
    </row>
    <row r="19" spans="16:19" ht="15" customHeight="1" thickBot="1" x14ac:dyDescent="0.25">
      <c r="P19" s="20" t="s">
        <v>21</v>
      </c>
      <c r="R19" s="43" t="s">
        <v>72</v>
      </c>
      <c r="S19" s="8"/>
    </row>
    <row r="20" spans="16:19" ht="15" customHeight="1" x14ac:dyDescent="0.2">
      <c r="P20" s="16">
        <v>4.3299999999999998E-2</v>
      </c>
      <c r="Q20" s="6"/>
      <c r="R20" s="44">
        <v>2.4299999999999999E-2</v>
      </c>
      <c r="S20" s="8"/>
    </row>
    <row r="21" spans="16:19" ht="15" customHeight="1" x14ac:dyDescent="0.2">
      <c r="P21" s="7"/>
      <c r="S21" s="8"/>
    </row>
    <row r="22" spans="16:19" ht="15" customHeight="1" x14ac:dyDescent="0.2">
      <c r="P22" s="35" t="s">
        <v>64</v>
      </c>
      <c r="S22" s="8"/>
    </row>
    <row r="23" spans="16:19" ht="33" customHeight="1" thickBot="1" x14ac:dyDescent="0.25">
      <c r="P23" s="36" t="s">
        <v>20</v>
      </c>
      <c r="Q23" s="37" t="s">
        <v>21</v>
      </c>
      <c r="R23" s="37" t="s">
        <v>19</v>
      </c>
      <c r="S23" s="38" t="s">
        <v>4</v>
      </c>
    </row>
    <row r="24" spans="16:19" ht="15" customHeight="1" x14ac:dyDescent="0.2">
      <c r="P24" s="10" t="str" cm="1">
        <f t="array" ref="P24:P28">projection_data!B15:B19</f>
        <v>FY25</v>
      </c>
      <c r="Q24" s="11" cm="1">
        <f t="array" ref="Q24:Q28">projection_data!D15:D19</f>
        <v>5999144.4493083265</v>
      </c>
      <c r="R24" s="41" cm="1">
        <f t="array" ref="R24:R28">projection_data!F15:F19</f>
        <v>3921.2659167062016</v>
      </c>
      <c r="S24" s="39" cm="1">
        <f t="array" ref="S24:S28">projection_data!C15:C19</f>
        <v>23524240658.469936</v>
      </c>
    </row>
    <row r="25" spans="16:19" ht="15" customHeight="1" x14ac:dyDescent="0.2">
      <c r="P25" s="10" t="str">
        <v>FY26</v>
      </c>
      <c r="Q25" s="11">
        <v>6258907.4039633768</v>
      </c>
      <c r="R25" s="41">
        <v>4016.5526784821623</v>
      </c>
      <c r="S25" s="39">
        <v>25139231297.760937</v>
      </c>
    </row>
    <row r="26" spans="16:19" ht="15" customHeight="1" x14ac:dyDescent="0.2">
      <c r="P26" s="10" t="str">
        <v>FY27</v>
      </c>
      <c r="Q26" s="11">
        <v>6529918.0945549905</v>
      </c>
      <c r="R26" s="41">
        <v>4114.1549085692786</v>
      </c>
      <c r="S26" s="39">
        <v>26865094581.268764</v>
      </c>
    </row>
    <row r="27" spans="16:19" ht="15" customHeight="1" x14ac:dyDescent="0.2">
      <c r="P27" s="10" t="str">
        <v>FY28</v>
      </c>
      <c r="Q27" s="11">
        <v>6812663.5480492208</v>
      </c>
      <c r="R27" s="41">
        <v>4214.128872847512</v>
      </c>
      <c r="S27" s="39">
        <v>28709442158.829994</v>
      </c>
    </row>
    <row r="28" spans="16:19" ht="15" customHeight="1" thickBot="1" x14ac:dyDescent="0.25">
      <c r="P28" s="12" t="str">
        <v>FY29</v>
      </c>
      <c r="Q28" s="13">
        <v>7107651.8796797516</v>
      </c>
      <c r="R28" s="42">
        <v>4316.532204457706</v>
      </c>
      <c r="S28" s="40">
        <v>30680408236.711994</v>
      </c>
    </row>
    <row r="29" spans="16:19" ht="15" customHeight="1"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G17" sqref="G17"/>
    </sheetView>
  </sheetViews>
  <sheetFormatPr baseColWidth="10" defaultColWidth="8.83203125" defaultRowHeight="15" x14ac:dyDescent="0.2"/>
  <cols>
    <col min="1" max="1" width="11.33203125" customWidth="1"/>
    <col min="2" max="2" width="11.5" customWidth="1"/>
    <col min="3" max="3" width="17.83203125" bestFit="1" customWidth="1"/>
    <col min="4" max="4" width="31" bestFit="1" customWidth="1"/>
    <col min="5" max="5" width="32.33203125" customWidth="1"/>
    <col min="6" max="6" width="33" customWidth="1"/>
    <col min="7" max="7" width="46.5" customWidth="1"/>
  </cols>
  <sheetData>
    <row r="1" spans="1:7" s="45" customFormat="1" ht="16" x14ac:dyDescent="0.2">
      <c r="A1" s="45" t="s">
        <v>15</v>
      </c>
      <c r="B1" s="45" t="s">
        <v>0</v>
      </c>
      <c r="C1" s="45" t="s">
        <v>4</v>
      </c>
      <c r="D1" s="46" t="s">
        <v>21</v>
      </c>
      <c r="E1" s="46" t="s">
        <v>47</v>
      </c>
      <c r="F1" s="45" t="s">
        <v>6</v>
      </c>
      <c r="G1" s="45" t="s">
        <v>8</v>
      </c>
    </row>
    <row r="2" spans="1:7" x14ac:dyDescent="0.2">
      <c r="A2" t="s">
        <v>16</v>
      </c>
      <c r="B2" t="s">
        <v>39</v>
      </c>
      <c r="C2" s="3">
        <v>4051469000</v>
      </c>
      <c r="D2" s="1">
        <v>3015325.91666666</v>
      </c>
      <c r="E2" s="1" t="s">
        <v>67</v>
      </c>
      <c r="F2" s="3">
        <v>1343.62556883361</v>
      </c>
      <c r="G2" t="s">
        <v>67</v>
      </c>
    </row>
    <row r="3" spans="1:7" x14ac:dyDescent="0.2">
      <c r="A3" t="s">
        <v>16</v>
      </c>
      <c r="B3" t="s">
        <v>38</v>
      </c>
      <c r="C3" s="3">
        <v>9797000000</v>
      </c>
      <c r="D3" s="1">
        <v>3318293.66666666</v>
      </c>
      <c r="E3" s="23">
        <v>0.10047595463077499</v>
      </c>
      <c r="F3" s="3">
        <v>2952.4210284382102</v>
      </c>
      <c r="G3" s="2">
        <v>1.19735400763559</v>
      </c>
    </row>
    <row r="4" spans="1:7" x14ac:dyDescent="0.2">
      <c r="A4" t="s">
        <v>16</v>
      </c>
      <c r="B4" t="s">
        <v>37</v>
      </c>
      <c r="C4" s="3">
        <v>11217000000</v>
      </c>
      <c r="D4" s="1">
        <v>3590581</v>
      </c>
      <c r="E4" s="23">
        <v>8.2056430408359499E-2</v>
      </c>
      <c r="F4" s="3">
        <v>3124.0069504071898</v>
      </c>
      <c r="G4" s="2">
        <v>5.8117023390714E-2</v>
      </c>
    </row>
    <row r="5" spans="1:7" x14ac:dyDescent="0.2">
      <c r="A5" t="s">
        <v>16</v>
      </c>
      <c r="B5" t="s">
        <v>36</v>
      </c>
      <c r="C5" s="3">
        <v>12667000000</v>
      </c>
      <c r="D5" s="1">
        <v>4304502.9166666605</v>
      </c>
      <c r="E5" s="23">
        <v>0.198831865000863</v>
      </c>
      <c r="F5" s="3">
        <v>2942.7323538228902</v>
      </c>
      <c r="G5" s="2">
        <v>-5.80263102681867E-2</v>
      </c>
    </row>
    <row r="6" spans="1:7" x14ac:dyDescent="0.2">
      <c r="A6" t="s">
        <v>16</v>
      </c>
      <c r="B6" t="s">
        <v>35</v>
      </c>
      <c r="C6" s="3">
        <v>12466000000</v>
      </c>
      <c r="D6" s="1">
        <v>4710904.1666666605</v>
      </c>
      <c r="E6" s="23">
        <v>9.4413050209920593E-2</v>
      </c>
      <c r="F6" s="3">
        <v>2646.2011450384998</v>
      </c>
      <c r="G6" s="2">
        <v>-0.10076730505211</v>
      </c>
    </row>
    <row r="7" spans="1:7" x14ac:dyDescent="0.2">
      <c r="A7" t="s">
        <v>16</v>
      </c>
      <c r="B7" t="s">
        <v>34</v>
      </c>
      <c r="C7" s="3">
        <v>13762000000</v>
      </c>
      <c r="D7" s="1">
        <v>4604302.25</v>
      </c>
      <c r="E7" s="23">
        <v>-2.2628759341138501E-2</v>
      </c>
      <c r="F7" s="3">
        <v>2988.9436559035598</v>
      </c>
      <c r="G7" s="2">
        <v>0.12952247092315</v>
      </c>
    </row>
    <row r="8" spans="1:7" x14ac:dyDescent="0.2">
      <c r="A8" t="s">
        <v>16</v>
      </c>
      <c r="B8" t="s">
        <v>33</v>
      </c>
      <c r="C8" s="3">
        <v>15962000000</v>
      </c>
      <c r="D8" s="1">
        <v>4648351.75</v>
      </c>
      <c r="E8" s="23">
        <v>9.56703048762708E-3</v>
      </c>
      <c r="F8" s="3">
        <v>3433.9053622609299</v>
      </c>
      <c r="G8" s="2">
        <v>0.148869218554358</v>
      </c>
    </row>
    <row r="9" spans="1:7" x14ac:dyDescent="0.2">
      <c r="A9" t="s">
        <v>16</v>
      </c>
      <c r="B9" t="s">
        <v>32</v>
      </c>
      <c r="C9" s="3">
        <v>16130000000</v>
      </c>
      <c r="D9" s="1">
        <v>4684269</v>
      </c>
      <c r="E9" s="23">
        <v>7.7268786726391696E-3</v>
      </c>
      <c r="F9" s="3">
        <v>3443.4401611009098</v>
      </c>
      <c r="G9" s="2">
        <v>2.77666325483631E-3</v>
      </c>
    </row>
    <row r="10" spans="1:7" x14ac:dyDescent="0.2">
      <c r="A10" t="s">
        <v>16</v>
      </c>
      <c r="B10" t="s">
        <v>31</v>
      </c>
      <c r="C10" s="3">
        <v>17838000000</v>
      </c>
      <c r="D10" s="1">
        <v>4609283.3333333302</v>
      </c>
      <c r="E10" s="23">
        <v>-1.6007976200057401E-2</v>
      </c>
      <c r="F10" s="3">
        <v>3870.01594607983</v>
      </c>
      <c r="G10" s="2">
        <v>0.12388070215297101</v>
      </c>
    </row>
    <row r="11" spans="1:7" x14ac:dyDescent="0.2">
      <c r="A11" t="s">
        <v>16</v>
      </c>
      <c r="B11" t="s">
        <v>30</v>
      </c>
      <c r="C11" s="3">
        <v>17686000000</v>
      </c>
      <c r="D11" s="1">
        <v>5118244.9166666605</v>
      </c>
      <c r="E11" s="23">
        <v>0.11042098012344601</v>
      </c>
      <c r="F11" s="3">
        <v>3455.4813784718699</v>
      </c>
      <c r="G11" s="2">
        <v>-0.10711443399293</v>
      </c>
    </row>
    <row r="12" spans="1:7" x14ac:dyDescent="0.2">
      <c r="A12" t="s">
        <v>16</v>
      </c>
      <c r="B12" t="s">
        <v>29</v>
      </c>
      <c r="C12" s="3">
        <v>19634000000</v>
      </c>
      <c r="D12" s="1">
        <v>5611767</v>
      </c>
      <c r="E12" s="23">
        <v>9.6424085085546493E-2</v>
      </c>
      <c r="F12" s="3">
        <v>3498.7197437099499</v>
      </c>
      <c r="G12" s="2">
        <v>1.25129788015829E-2</v>
      </c>
    </row>
    <row r="13" spans="1:7" x14ac:dyDescent="0.2">
      <c r="A13" t="s">
        <v>16</v>
      </c>
      <c r="B13" t="s">
        <v>28</v>
      </c>
      <c r="C13" s="3">
        <v>21104000000</v>
      </c>
      <c r="D13" s="1">
        <v>5870984.5</v>
      </c>
      <c r="E13" s="23">
        <v>4.61917788104887E-2</v>
      </c>
      <c r="F13" s="3">
        <v>3594.62710214956</v>
      </c>
      <c r="G13" s="2">
        <v>2.74121294259216E-2</v>
      </c>
    </row>
    <row r="14" spans="1:7" x14ac:dyDescent="0.2">
      <c r="A14" t="s">
        <v>16</v>
      </c>
      <c r="B14" t="s">
        <v>27</v>
      </c>
      <c r="C14" s="3">
        <v>22013000000</v>
      </c>
      <c r="D14" s="1">
        <v>5750162.4166666605</v>
      </c>
      <c r="E14" s="23">
        <v>-2.05795268805995E-2</v>
      </c>
      <c r="F14" s="3">
        <v>3828.23969218608</v>
      </c>
      <c r="G14" s="2">
        <v>6.4989380928225995E-2</v>
      </c>
    </row>
    <row r="15" spans="1:7" x14ac:dyDescent="0.2">
      <c r="A15" s="4" t="s">
        <v>17</v>
      </c>
      <c r="B15" s="4" t="str" cm="1">
        <f t="array" ref="B15">CONCATENATE("FY",RIGHT(INDEX(Table1[],ROWS(Table1[]),2),2)+1)</f>
        <v>FY25</v>
      </c>
      <c r="C15" s="5">
        <f>D15*F15</f>
        <v>23524240658.469936</v>
      </c>
      <c r="D15" s="4" cm="1">
        <f t="array" ref="D15">(1+Graph!$P$20)*INDEX(Table1[],ROWS(Table1[]),4)</f>
        <v>5999144.4493083265</v>
      </c>
      <c r="E15" s="23"/>
      <c r="F15" s="5" cm="1">
        <f t="array" ref="F15">(1+Graph!$R$20)*INDEX(Table1[],ROWS(Table1[]),6)</f>
        <v>3921.2659167062016</v>
      </c>
    </row>
    <row r="16" spans="1:7" x14ac:dyDescent="0.2">
      <c r="A16" s="4" t="s">
        <v>17</v>
      </c>
      <c r="B16" s="4" t="str">
        <f>CONCATENATE("FY",RIGHT(B15,2)+1)</f>
        <v>FY26</v>
      </c>
      <c r="C16" s="5">
        <f>D16*F16</f>
        <v>25139231297.760937</v>
      </c>
      <c r="D16" s="4">
        <f>(1+Graph!$P$20)*D15</f>
        <v>6258907.4039633768</v>
      </c>
      <c r="E16" s="23"/>
      <c r="F16" s="5">
        <f>(1+Graph!$R$20)*F15</f>
        <v>4016.5526784821623</v>
      </c>
    </row>
    <row r="17" spans="1:6" x14ac:dyDescent="0.2">
      <c r="A17" s="4" t="s">
        <v>17</v>
      </c>
      <c r="B17" s="4" t="str">
        <f>CONCATENATE("FY",RIGHT(B16,2)+1)</f>
        <v>FY27</v>
      </c>
      <c r="C17" s="5">
        <f>D17*F17</f>
        <v>26865094581.268764</v>
      </c>
      <c r="D17" s="4">
        <f>(1+Graph!$P$20)*D16</f>
        <v>6529918.0945549905</v>
      </c>
      <c r="E17" s="23"/>
      <c r="F17" s="5">
        <f>(1+Graph!$R$20)*F16</f>
        <v>4114.1549085692786</v>
      </c>
    </row>
    <row r="18" spans="1:6" x14ac:dyDescent="0.2">
      <c r="A18" s="4" t="s">
        <v>17</v>
      </c>
      <c r="B18" s="4" t="str">
        <f t="shared" ref="B17:B19" si="0">CONCATENATE("FY",RIGHT(B17,2)+1)</f>
        <v>FY28</v>
      </c>
      <c r="C18" s="5">
        <f t="shared" ref="C16:C19" si="1">D18*F18</f>
        <v>28709442158.829994</v>
      </c>
      <c r="D18" s="4">
        <f>(1+Graph!$P$20)*D17</f>
        <v>6812663.5480492208</v>
      </c>
      <c r="E18" s="23"/>
      <c r="F18" s="5">
        <f>(1+Graph!$R$20)*F17</f>
        <v>4214.128872847512</v>
      </c>
    </row>
    <row r="19" spans="1:6" x14ac:dyDescent="0.2">
      <c r="A19" s="4" t="s">
        <v>17</v>
      </c>
      <c r="B19" s="4" t="str">
        <f t="shared" si="0"/>
        <v>FY29</v>
      </c>
      <c r="C19" s="5">
        <f t="shared" si="1"/>
        <v>30680408236.711994</v>
      </c>
      <c r="D19" s="4">
        <f>(1+Graph!$P$20)*D18</f>
        <v>7107651.8796797516</v>
      </c>
      <c r="E19" s="23"/>
      <c r="F19" s="5">
        <f>(1+Graph!$R$20)*F18</f>
        <v>4316.532204457706</v>
      </c>
    </row>
  </sheetData>
  <sheetProtection sheet="1" objects="1" scenarios="1"/>
  <sortState xmlns:xlrd2="http://schemas.microsoft.com/office/spreadsheetml/2017/richdata2" ref="B2:G14">
    <sortCondition ref="B2:B14"/>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2025-04-05T18:53:12Z</dcterms:modified>
</cp:coreProperties>
</file>