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45B57D2E-2BDF-8648-9905-1EACA8D8DAD2}"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4" l="1"/>
  <c r="F8" i="4"/>
  <c r="D7" i="4"/>
  <c r="D8" i="4"/>
  <c r="G7" i="4"/>
  <c r="G8" i="4"/>
  <c r="E8" i="4"/>
  <c r="C8" i="4"/>
  <c r="D16" i="1" a="1"/>
  <c r="D16" i="1" s="1"/>
  <c r="F16" i="1" a="1"/>
  <c r="F16" i="1" s="1"/>
  <c r="F17" i="1" s="1"/>
  <c r="A28" i="4"/>
  <c r="A27" i="4"/>
  <c r="B16" i="1" a="1"/>
  <c r="B16" i="1" s="1"/>
  <c r="B17" i="1" s="1"/>
  <c r="B18" i="1" s="1"/>
  <c r="C16" i="1" l="1"/>
  <c r="D17" i="1"/>
  <c r="C17" i="1" s="1"/>
  <c r="B19" i="1"/>
  <c r="B20" i="1" s="1"/>
  <c r="D18" i="1"/>
  <c r="M4" i="4" l="1"/>
  <c r="M5" i="4"/>
  <c r="M6" i="4"/>
  <c r="M8" i="4"/>
  <c r="K8" i="4" s="1"/>
  <c r="M7" i="4"/>
  <c r="F18" i="1"/>
  <c r="F19" i="1" s="1"/>
  <c r="F20" i="1" s="1"/>
  <c r="Q13" i="3"/>
  <c r="Q12" i="3"/>
  <c r="Q11" i="3"/>
  <c r="C7" i="4" l="1"/>
  <c r="D6" i="4"/>
  <c r="C6" i="4" s="1"/>
  <c r="K7" i="4"/>
  <c r="K6" i="4" s="1"/>
  <c r="L6" i="4" s="1"/>
  <c r="R24" i="3" a="1"/>
  <c r="R24" i="3" s="1"/>
  <c r="D5" i="4" l="1"/>
  <c r="C5" i="4" s="1"/>
  <c r="F5" i="4" s="1"/>
  <c r="G5" i="4" s="1"/>
  <c r="F6" i="4"/>
  <c r="G6" i="4" s="1"/>
  <c r="H6" i="4"/>
  <c r="K5" i="4"/>
  <c r="H7" i="4"/>
  <c r="Q6" i="3"/>
  <c r="D4" i="4" l="1"/>
  <c r="C4" i="4" s="1"/>
  <c r="F4" i="4" s="1"/>
  <c r="G4" i="4" s="1"/>
  <c r="H5" i="4"/>
  <c r="I5" i="4" s="1"/>
  <c r="J5" i="4" s="1"/>
  <c r="I6" i="4"/>
  <c r="J6" i="4" s="1"/>
  <c r="L5" i="4"/>
  <c r="K4" i="4"/>
  <c r="L4" i="4" s="1"/>
  <c r="Q8" i="3"/>
  <c r="Q7" i="3"/>
  <c r="H8" i="4"/>
  <c r="L7" i="4"/>
  <c r="L8" i="4"/>
  <c r="H4" i="4" l="1"/>
  <c r="I4" i="4" s="1"/>
  <c r="J4" i="4" s="1"/>
  <c r="I8" i="4"/>
  <c r="J8" i="4" s="1"/>
  <c r="I7" i="4"/>
  <c r="J7" i="4" s="1"/>
  <c r="C18" i="1"/>
  <c r="P24" i="3" a="1"/>
  <c r="P24" i="3" s="1"/>
  <c r="D19" i="1" l="1"/>
  <c r="D20" i="1" l="1"/>
  <c r="C19" i="1"/>
  <c r="C20" i="1" l="1"/>
  <c r="S24" i="3" s="1" a="1"/>
  <c r="S24" i="3" s="1"/>
  <c r="Q24" i="3" a="1"/>
  <c r="Q2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<sst xmlns="http://schemas.openxmlformats.org/spreadsheetml/2006/main" count="137" uniqueCount="74">
  <si>
    <t>Fiscal Year</t>
  </si>
  <si>
    <t>Months Reported</t>
  </si>
  <si>
    <t>Enrollee Months</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</si>
  <si>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</si>
  <si>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</si>
  <si>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</si>
  <si>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</si>
  <si>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</si>
  <si>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</si>
  <si>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</si>
  <si>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</si>
  <si>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</si>
  <si>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</si>
  <si>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</si>
  <si>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</si>
  <si>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</si>
  <si>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</si>
  <si>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</si>
  <si>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</si>
  <si>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</si>
  <si>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</si>
  <si>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</si>
  <si>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</si>
  <si>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</si>
  <si>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FY24</t>
  </si>
  <si>
    <t>FY23</t>
  </si>
  <si>
    <t>FY22</t>
  </si>
  <si>
    <t>FY21</t>
  </si>
  <si>
    <t>FY20</t>
  </si>
  <si>
    <t>FY19</t>
  </si>
  <si>
    <t>FY18</t>
  </si>
  <si>
    <t>FY17</t>
  </si>
  <si>
    <t>FY16</t>
  </si>
  <si>
    <t>FY15</t>
  </si>
  <si>
    <t>FY14</t>
  </si>
  <si>
    <t>FY13</t>
  </si>
  <si>
    <t>FY12</t>
  </si>
  <si>
    <t>Average Annual Enrollment:</t>
  </si>
  <si>
    <t>Average Annual Per Capita Spending:</t>
  </si>
  <si>
    <t>Total Medicaid Managed Care Enrollment</t>
  </si>
  <si>
    <t>State Spending (Millions)</t>
  </si>
  <si>
    <t>State Spending Annual Change (Millions)</t>
  </si>
  <si>
    <t>Average Annual Growth Rates (as of FY24)</t>
  </si>
  <si>
    <t>Medicaid Managed Care Enrollment and Spending</t>
  </si>
  <si>
    <t>Average Annual Enrollment Change %</t>
  </si>
  <si>
    <t>Notes</t>
  </si>
  <si>
    <t>(1) Data sources: Full-year Enrollment 2025 Estimate Represents YTD annualized</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</si>
  <si>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</si>
  <si>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</si>
  <si>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Enrollee Months:</t>
    </r>
    <r>
      <rPr>
        <sz val="11"/>
        <color theme="1"/>
        <rFont val="Calibri"/>
        <family val="2"/>
        <scheme val="minor"/>
      </rPr>
      <t xml:space="preserve"> The total number of Medicaid enrollee months reported within the fiscal year.</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</si>
  <si>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</si>
  <si>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</si>
  <si>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</si>
  <si>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State Medicaid spending per enrollee for the fiscal year.</t>
    </r>
  </si>
  <si>
    <r>
      <rPr>
        <b/>
        <sz val="11"/>
        <color theme="1"/>
        <rFont val="Calibri"/>
        <family val="2"/>
        <scheme val="minor"/>
      </rPr>
      <t>State Spending (Millions):</t>
    </r>
    <r>
      <rPr>
        <sz val="11"/>
        <color theme="1"/>
        <rFont val="Calibri"/>
        <family val="2"/>
        <scheme val="minor"/>
      </rPr>
      <t xml:space="preserve"> The total Medicaid managed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</si>
  <si>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care, expressed in millions of dollars.</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</si>
  <si>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</si>
  <si>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</si>
  <si>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</si>
  <si>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r>
      <rPr>
        <b/>
        <sz val="11"/>
        <color theme="1"/>
        <rFont val="Calibri"/>
        <family val="2"/>
        <scheme val="minor"/>
      </rPr>
      <t>End of Period Enrollment:</t>
    </r>
    <r>
      <rPr>
        <sz val="11"/>
        <color theme="1"/>
        <rFont val="Calibri"/>
        <family val="2"/>
        <scheme val="minor"/>
      </rPr>
      <t xml:space="preserve"> The total number of Medicaid enrollees at the end of the reporting period. For completed fiscal years, this represents the enrollment total on the final day of the year. For partial fiscal years, it reflects the year-to-date (YTD) enrollment total as of the most recent reporting date.</t>
    </r>
  </si>
  <si>
    <t>Calculations</t>
  </si>
  <si>
    <t>Per Capita Spending State Spending</t>
  </si>
  <si>
    <r>
      <rPr>
        <b/>
        <sz val="11"/>
        <color theme="1"/>
        <rFont val="Calibri"/>
        <family val="2"/>
        <scheme val="minor"/>
      </rPr>
      <t>State Spending Annual Change %:</t>
    </r>
    <r>
      <rPr>
        <sz val="11"/>
        <color theme="1"/>
        <rFont val="Calibri"/>
        <family val="2"/>
        <scheme val="minor"/>
      </rPr>
      <t xml:space="preserve"> The percentage change in the State’s share of Medicaid spending compared to the prior fiscal year.</t>
    </r>
  </si>
  <si>
    <t>NA</t>
  </si>
  <si>
    <t>You can forecast projected enrollment and State spending by changing the two inputs below:</t>
  </si>
  <si>
    <t>FY27 (Forecast)</t>
  </si>
  <si>
    <t>FY28 (Forecast)</t>
  </si>
  <si>
    <t>FY29 (Forecast)</t>
  </si>
  <si>
    <t>Per Capita State Spending</t>
  </si>
  <si>
    <t>FY26 (YTD)</t>
  </si>
  <si>
    <t>FY25</t>
  </si>
  <si>
    <t>FY26 (Estimate)(1)(2)</t>
  </si>
  <si>
    <t>FY30 (Forecast)</t>
  </si>
  <si>
    <t>FY27-FY30 Growth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</si>
</sst>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5" tint="0.59999389629810485"/>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1">
    <xf numFmtId="0" fontId="0" fillId="0" borderId="0" xfId="0"/>
    <xf numFmtId="3" fontId="0" fillId="0" borderId="0" xfId="0" applyNumberFormat="1"/>
    <xf numFmtId="10" fontId="0" fillId="0" borderId="0" xfId="0" applyNumberFormat="1"/>
    <xf numFmtId="6" fontId="0" fillId="0" borderId="0" xfId="0" applyNumberFormat="1"/>
    <xf numFmtId="0" fontId="13" fillId="0" borderId="0" xfId="0" applyFont="1"/>
    <xf numFmtId="8" fontId="13" fillId="0" borderId="0" xfId="0" applyNumberFormat="1" applyFon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165" fontId="8" fillId="3" borderId="4" xfId="7" applyNumberFormat="1"/>
    <xf numFmtId="0" fontId="8" fillId="3" borderId="17" xfId="7" applyBorder="1"/>
    <xf numFmtId="165" fontId="8" fillId="3" borderId="18" xfId="7" applyNumberFormat="1" applyBorder="1"/>
    <xf numFmtId="0" fontId="0" fillId="0" borderId="0" xfId="0" applyAlignment="1">
      <alignment vertical="center"/>
    </xf>
    <xf numFmtId="164" fontId="15" fillId="2" borderId="3" xfId="6" applyNumberFormat="1" applyFont="1" applyAlignment="1">
      <alignment horizontal="right" wrapText="1"/>
    </xf>
    <xf numFmtId="10" fontId="15" fillId="2" borderId="14" xfId="6" applyNumberFormat="1" applyFont="1" applyBorder="1" applyProtection="1">
      <protection locked="0"/>
    </xf>
    <xf numFmtId="0" fontId="3" fillId="0" borderId="8" xfId="0" applyFont="1" applyBorder="1"/>
    <xf numFmtId="0" fontId="3" fillId="0" borderId="0" xfId="0" applyFont="1"/>
    <xf numFmtId="0" fontId="3" fillId="0" borderId="9" xfId="0" applyFont="1" applyBorder="1"/>
    <xf numFmtId="0" fontId="2" fillId="0" borderId="10" xfId="4" applyFont="1" applyBorder="1"/>
    <xf numFmtId="10" fontId="3" fillId="0" borderId="0" xfId="1" applyNumberFormat="1" applyFont="1" applyBorder="1"/>
    <xf numFmtId="10" fontId="3" fillId="0" borderId="0" xfId="0" applyNumberFormat="1" applyFont="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4"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167" fontId="0" fillId="0" borderId="20" xfId="0" applyNumberFormat="1" applyBorder="1"/>
    <xf numFmtId="0" fontId="6" fillId="0" borderId="8" xfId="5" applyBorder="1"/>
    <xf numFmtId="0" fontId="2" fillId="0" borderId="10" xfId="4" applyFont="1" applyBorder="1" applyAlignment="1">
      <alignment wrapText="1"/>
    </xf>
    <xf numFmtId="0" fontId="2" fillId="0" borderId="2" xfId="4" applyFont="1" applyAlignment="1">
      <alignment horizontal="right" wrapText="1"/>
    </xf>
    <xf numFmtId="0" fontId="2" fillId="0" borderId="11" xfId="4" applyFont="1" applyBorder="1" applyAlignment="1">
      <alignment horizontal="right" wrapText="1"/>
    </xf>
    <xf numFmtId="166" fontId="1" fillId="9" borderId="16" xfId="11" applyNumberFormat="1" applyBorder="1"/>
    <xf numFmtId="166" fontId="1" fillId="9" borderId="19" xfId="11" applyNumberFormat="1" applyBorder="1"/>
    <xf numFmtId="166" fontId="8" fillId="3" borderId="4" xfId="10" applyNumberFormat="1" applyFont="1" applyFill="1" applyBorder="1"/>
    <xf numFmtId="166" fontId="8" fillId="3" borderId="21" xfId="10" applyNumberFormat="1" applyFont="1" applyFill="1" applyBorder="1"/>
    <xf numFmtId="10" fontId="2" fillId="0" borderId="2" xfId="4" applyNumberFormat="1" applyFont="1"/>
    <xf numFmtId="10" fontId="15"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xf numFmtId="0" fontId="0" fillId="0" borderId="0" xfId="1" applyNumberFormat="1" applyFont="1"/>
    <xf numFmtId="0" fontId="10" fillId="5" borderId="0" xfId="9" applyFont="1" applyFill="1" applyAlignment="1">
      <alignment horizontal="center"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6" fillId="0" borderId="12" xfId="3" applyFont="1" applyBorder="1"/>
    <xf numFmtId="0" fontId="16" fillId="0" borderId="1" xfId="3" applyFont="1"/>
    <xf numFmtId="0" fontId="16" fillId="0" borderId="13" xfId="3" applyFont="1" applyBorder="1"/>
    <xf numFmtId="0" fontId="2" fillId="0" borderId="10" xfId="4" applyFont="1" applyBorder="1"/>
    <xf numFmtId="0" fontId="2" fillId="0" borderId="2" xfId="4" applyFont="1"/>
    <xf numFmtId="0" fontId="2" fillId="0" borderId="11" xfId="4" applyFont="1" applyBorder="1"/>
    <xf numFmtId="0" fontId="16" fillId="0" borderId="5" xfId="3" applyFont="1" applyBorder="1"/>
    <xf numFmtId="0" fontId="16" fillId="0" borderId="6" xfId="3" applyFont="1" applyBorder="1"/>
    <xf numFmtId="0" fontId="16"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4" formatCode="0.00%"/>
    </dxf>
    <dxf>
      <numFmt numFmtId="10" formatCode="&quot;$&quot;#,##0_);[Red]\(&quot;$&quot;#,##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9" defaultPivotStyle="PivotStyleLight16"/>
  <colors>
    <mruColors>
      <color rgb="FF7F7F7F"/>
      <color rgb="FFB9CDE5"/>
      <color rgb="FFC7D8EA"/>
      <color rgb="FF999999"/>
      <color rgb="FFE4DFEC"/>
      <color rgb="FFF2DCDB"/>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rgbClr val="B9CDE5">
                <a:alpha val="80000"/>
              </a:srgbClr>
            </a:solidFill>
            <a:ln>
              <a:noFill/>
            </a:ln>
            <a:effectLst/>
          </c:spPr>
          <c:invertIfNegative val="0"/>
          <c:dPt>
            <c:idx val="13"/>
            <c:invertIfNegative val="0"/>
            <c:bubble3D val="0"/>
            <c:spPr>
              <a:solidFill>
                <a:srgbClr val="B9CDE5">
                  <a:alpha val="80000"/>
                </a:srgb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rgbClr val="7F7F7F">
                  <a:alpha val="80000"/>
                </a:srgbClr>
              </a:solidFill>
              <a:ln>
                <a:noFill/>
              </a:ln>
              <a:effectLst/>
            </c:spPr>
            <c:extLst>
              <c:ext xmlns:c16="http://schemas.microsoft.com/office/drawing/2014/chart" uri="{C3380CC4-5D6E-409C-BE32-E72D297353CC}">
                <c16:uniqueId val="{00000003-995D-784E-BC21-BE9172A3D010}"/>
              </c:ext>
            </c:extLst>
          </c:dPt>
          <c:cat>
            <c:strRef>
              <c:f>projection_data!$B$2:$B$20</c:f>
              <c:strCache>
                <c:ptCount val="19"/>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pt idx="18">
                  <c:v>FY30</c:v>
                </c:pt>
              </c:strCache>
            </c:strRef>
          </c:cat>
          <c:val>
            <c:numRef>
              <c:f>projection_data!$D$2:$D$20</c:f>
              <c:numCache>
                <c:formatCode>#,##0</c:formatCode>
                <c:ptCount val="19"/>
                <c:pt idx="0" formatCode="General">
                  <c:v>3479642.41666666</c:v>
                </c:pt>
                <c:pt idx="1">
                  <c:v>3496476.5</c:v>
                </c:pt>
                <c:pt idx="2">
                  <c:v>3491534.75</c:v>
                </c:pt>
                <c:pt idx="3" formatCode="General">
                  <c:v>3978222.16666666</c:v>
                </c:pt>
                <c:pt idx="4" formatCode="General">
                  <c:v>4590300.6666666605</c:v>
                </c:pt>
                <c:pt idx="5" formatCode="General">
                  <c:v>4402274.3333333302</c:v>
                </c:pt>
                <c:pt idx="6">
                  <c:v>4389702.25</c:v>
                </c:pt>
                <c:pt idx="7" formatCode="General">
                  <c:v>4374554.5833333302</c:v>
                </c:pt>
                <c:pt idx="8">
                  <c:v>4254833</c:v>
                </c:pt>
                <c:pt idx="9" formatCode="General">
                  <c:v>4742618.0833333302</c:v>
                </c:pt>
                <c:pt idx="10">
                  <c:v>5204912</c:v>
                </c:pt>
                <c:pt idx="11" formatCode="General">
                  <c:v>5437762.5833333302</c:v>
                </c:pt>
                <c:pt idx="12" formatCode="General">
                  <c:v>5292583.4166666605</c:v>
                </c:pt>
                <c:pt idx="13" formatCode="General">
                  <c:v>4554646.5833333302</c:v>
                </c:pt>
                <c:pt idx="14" formatCode="General">
                  <c:v>4637085.6864916636</c:v>
                </c:pt>
                <c:pt idx="15" formatCode="General">
                  <c:v>4721016.9374171626</c:v>
                </c:pt>
                <c:pt idx="16" formatCode="General">
                  <c:v>4806467.343984413</c:v>
                </c:pt>
                <c:pt idx="17" formatCode="General">
                  <c:v>4893464.4029105306</c:v>
                </c:pt>
                <c:pt idx="18" formatCode="General">
                  <c:v>4982036.1086032111</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projection_data!$B$2:$B$20</c:f>
              <c:strCache>
                <c:ptCount val="19"/>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pt idx="18">
                  <c:v>FY30</c:v>
                </c:pt>
              </c:strCache>
            </c:strRef>
          </c:cat>
          <c:val>
            <c:numRef>
              <c:f>projection_data!$C$2:$C$20</c:f>
              <c:numCache>
                <c:formatCode>"$"#,##0_);[Red]\("$"#,##0\)</c:formatCode>
                <c:ptCount val="19"/>
                <c:pt idx="0">
                  <c:v>4051469000</c:v>
                </c:pt>
                <c:pt idx="1">
                  <c:v>9797000000</c:v>
                </c:pt>
                <c:pt idx="2">
                  <c:v>11217000000</c:v>
                </c:pt>
                <c:pt idx="3">
                  <c:v>12667000000</c:v>
                </c:pt>
                <c:pt idx="4">
                  <c:v>12466000000</c:v>
                </c:pt>
                <c:pt idx="5">
                  <c:v>13762000000</c:v>
                </c:pt>
                <c:pt idx="6">
                  <c:v>15962000000</c:v>
                </c:pt>
                <c:pt idx="7">
                  <c:v>16130000000</c:v>
                </c:pt>
                <c:pt idx="8">
                  <c:v>17838000000</c:v>
                </c:pt>
                <c:pt idx="9">
                  <c:v>17686000000</c:v>
                </c:pt>
                <c:pt idx="10">
                  <c:v>19634000000</c:v>
                </c:pt>
                <c:pt idx="11">
                  <c:v>21104000000</c:v>
                </c:pt>
                <c:pt idx="12">
                  <c:v>22013000000</c:v>
                </c:pt>
                <c:pt idx="13">
                  <c:v>20264000000</c:v>
                </c:pt>
                <c:pt idx="14" formatCode="&quot;$&quot;#,##0.00_);[Red]\(&quot;$&quot;#,##0.00\)">
                  <c:v>20925798531.119946</c:v>
                </c:pt>
                <c:pt idx="15" formatCode="&quot;$&quot;#,##0.00_);[Red]\(&quot;$&quot;#,##0.00\)">
                  <c:v>21609210627.962036</c:v>
                </c:pt>
                <c:pt idx="16" formatCode="&quot;$&quot;#,##0.00_);[Red]\(&quot;$&quot;#,##0.00\)">
                  <c:v>22314942164.294842</c:v>
                </c:pt>
                <c:pt idx="17" formatCode="&quot;$&quot;#,##0.00_);[Red]\(&quot;$&quot;#,##0.00\)">
                  <c:v>23043722066.898376</c:v>
                </c:pt>
                <c:pt idx="18" formatCode="&quot;$&quot;#,##0.00_);[Red]\(&quot;$&quot;#,##0.00\)">
                  <c:v>23796303068.44846</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rPr>
                  <a:t>Average Annual Enrollment</a:t>
                </a:r>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165100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298450</xdr:colOff>
      <xdr:row>6</xdr:row>
      <xdr:rowOff>22141</xdr:rowOff>
    </xdr:from>
    <xdr:to>
      <xdr:col>5</xdr:col>
      <xdr:colOff>546100</xdr:colOff>
      <xdr:row>6</xdr:row>
      <xdr:rowOff>108690</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5099050" y="12413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476635</xdr:colOff>
      <xdr:row>5</xdr:row>
      <xdr:rowOff>114583</xdr:rowOff>
    </xdr:from>
    <xdr:to>
      <xdr:col>7</xdr:col>
      <xdr:colOff>558800</xdr:colOff>
      <xdr:row>6</xdr:row>
      <xdr:rowOff>152400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277235" y="1143283"/>
          <a:ext cx="1733165" cy="228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745311</xdr:colOff>
      <xdr:row>5</xdr:row>
      <xdr:rowOff>102338</xdr:rowOff>
    </xdr:from>
    <xdr:to>
      <xdr:col>9</xdr:col>
      <xdr:colOff>711200</xdr:colOff>
      <xdr:row>7</xdr:row>
      <xdr:rowOff>12700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31038"/>
          <a:ext cx="1616889" cy="29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Spending</a:t>
          </a:r>
        </a:p>
      </xdr:txBody>
    </xdr:sp>
    <xdr:clientData/>
  </xdr:twoCellAnchor>
  <xdr:twoCellAnchor>
    <xdr:from>
      <xdr:col>7</xdr:col>
      <xdr:colOff>503052</xdr:colOff>
      <xdr:row>6</xdr:row>
      <xdr:rowOff>30140</xdr:rowOff>
    </xdr:from>
    <xdr:to>
      <xdr:col>7</xdr:col>
      <xdr:colOff>799935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E7D33D-54A7-E54F-9360-7E4950789BDC}" name="Table1" displayName="Table1" ref="A1:G15" totalsRowShown="0" headerRowDxfId="5">
  <autoFilter ref="A1:G15" xr:uid="{66E7D33D-54A7-E54F-9360-7E4950789BDC}"/>
  <tableColumns count="7">
    <tableColumn id="1" xr3:uid="{CF27716F-5074-3346-8523-72F1900144BD}" name="Data  Type"/>
    <tableColumn id="2" xr3:uid="{C96BD2F9-89B3-A14C-81FC-E3A8DFCC8429}" name="Fiscal Year"/>
    <tableColumn id="3" xr3:uid="{01CACE81-45D7-7446-B728-9B2B83E78B79}" name="State Spending" dataDxfId="4"/>
    <tableColumn id="4" xr3:uid="{06BEE8CE-98D5-CA4D-9416-5950D90F162E}" name="Average Annual Enrollment" dataDxfId="3"/>
    <tableColumn id="5" xr3:uid="{3EADD39B-572C-DC49-936D-3495F631C368}" name="Average Annual Enrollment Change %" dataDxfId="2" dataCellStyle="Percent"/>
    <tableColumn id="6" xr3:uid="{2153D761-E319-9740-9788-8F81F69BBF9E}" name="Average Annual Spending per Enrollee" dataDxfId="1"/>
    <tableColumn id="7" xr3:uid="{009E49B7-E7EF-3B4A-845E-8634520B2845}" name="Average Annual Spending per Enrollee Annual Change %"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M44"/>
  <sheetViews>
    <sheetView showGridLines="0" tabSelected="1" zoomScaleNormal="100" workbookViewId="0">
      <selection activeCell="F8" sqref="F8"/>
    </sheetView>
  </sheetViews>
  <sheetFormatPr baseColWidth="10" defaultColWidth="8.83203125" defaultRowHeight="15" x14ac:dyDescent="0.2"/>
  <cols>
    <col min="1" max="1" width="17" customWidth="1"/>
    <col min="2" max="2" width="14.83203125" hidden="1" customWidth="1"/>
    <col min="3" max="13" width="19.1640625" customWidth="1"/>
  </cols>
  <sheetData>
    <row r="1" spans="1:13" ht="23" x14ac:dyDescent="0.25">
      <c r="A1" s="55" t="s">
        <v>43</v>
      </c>
      <c r="B1" s="55"/>
      <c r="C1" s="55"/>
      <c r="D1" s="55"/>
      <c r="E1" s="55"/>
      <c r="F1" s="55"/>
      <c r="G1" s="55"/>
      <c r="H1" s="55"/>
      <c r="I1" s="55"/>
      <c r="J1" s="55"/>
      <c r="K1" s="55"/>
      <c r="L1" s="55"/>
      <c r="M1" s="55"/>
    </row>
    <row r="2" spans="1:13" s="14" customFormat="1" ht="42" customHeight="1" x14ac:dyDescent="0.2">
      <c r="C2" s="51" t="s">
        <v>39</v>
      </c>
      <c r="D2" s="51"/>
      <c r="E2" s="51"/>
      <c r="F2" s="52" t="s">
        <v>18</v>
      </c>
      <c r="G2" s="52"/>
      <c r="H2" s="53" t="s">
        <v>4</v>
      </c>
      <c r="I2" s="53"/>
      <c r="J2" s="53"/>
      <c r="K2" s="54" t="s">
        <v>19</v>
      </c>
      <c r="L2" s="54"/>
      <c r="M2" s="54"/>
    </row>
    <row r="3" spans="1:13" s="24" customFormat="1" ht="45" customHeight="1" x14ac:dyDescent="0.2">
      <c r="A3" s="25" t="s">
        <v>20</v>
      </c>
      <c r="B3" s="25" t="s">
        <v>1</v>
      </c>
      <c r="C3" s="25" t="s">
        <v>2</v>
      </c>
      <c r="D3" s="25" t="s">
        <v>21</v>
      </c>
      <c r="E3" s="25" t="s">
        <v>58</v>
      </c>
      <c r="F3" s="25" t="s">
        <v>3</v>
      </c>
      <c r="G3" s="25" t="s">
        <v>22</v>
      </c>
      <c r="H3" s="25" t="s">
        <v>40</v>
      </c>
      <c r="I3" s="25" t="s">
        <v>41</v>
      </c>
      <c r="J3" s="25" t="s">
        <v>5</v>
      </c>
      <c r="K3" s="25" t="s">
        <v>6</v>
      </c>
      <c r="L3" s="25" t="s">
        <v>7</v>
      </c>
      <c r="M3" s="25" t="s">
        <v>23</v>
      </c>
    </row>
    <row r="4" spans="1:13" s="24" customFormat="1" ht="15" customHeight="1" x14ac:dyDescent="0.2">
      <c r="A4" s="26" t="s">
        <v>72</v>
      </c>
      <c r="B4" s="25"/>
      <c r="C4" s="28">
        <f t="shared" ref="C4:C7" si="0">D4*12</f>
        <v>58129150.711821631</v>
      </c>
      <c r="D4" s="28">
        <f>(1+$G$28)*D5</f>
        <v>4844095.8926518029</v>
      </c>
      <c r="E4" s="32" t="s">
        <v>63</v>
      </c>
      <c r="F4" s="28">
        <f>C4-C5</f>
        <v>1033432.4996404797</v>
      </c>
      <c r="G4" s="30">
        <f>F4/C5</f>
        <v>1.8100000000000015E-2</v>
      </c>
      <c r="H4" s="34">
        <f>K4*D4</f>
        <v>23137442491.657654</v>
      </c>
      <c r="I4" s="34">
        <f>H4-H5</f>
        <v>731743901.29393005</v>
      </c>
      <c r="J4" s="31">
        <f>I4/H5</f>
        <v>3.2658830000000069E-2</v>
      </c>
      <c r="K4" s="29">
        <f>(1+M4)*K5</f>
        <v>4776.4212361600312</v>
      </c>
      <c r="L4" s="29">
        <f>K4-K5</f>
        <v>67.339863627219529</v>
      </c>
      <c r="M4" s="30">
        <f>$G$30</f>
        <v>1.43E-2</v>
      </c>
    </row>
    <row r="5" spans="1:13" s="24" customFormat="1" ht="15" customHeight="1" x14ac:dyDescent="0.2">
      <c r="A5" s="26" t="s">
        <v>67</v>
      </c>
      <c r="B5" s="25"/>
      <c r="C5" s="28">
        <f t="shared" si="0"/>
        <v>57095718.212181151</v>
      </c>
      <c r="D5" s="28">
        <f>(1+$G$28)*D6</f>
        <v>4757976.5176817626</v>
      </c>
      <c r="E5" s="32" t="s">
        <v>63</v>
      </c>
      <c r="F5" s="28">
        <f>C5-C6</f>
        <v>1015059.9151757956</v>
      </c>
      <c r="G5" s="30">
        <f>F5/C6</f>
        <v>1.8099999999999974E-2</v>
      </c>
      <c r="H5" s="34">
        <f>K5*D5</f>
        <v>22405698590.363724</v>
      </c>
      <c r="I5" s="34">
        <f>H5-H6</f>
        <v>708601795.71013641</v>
      </c>
      <c r="J5" s="31">
        <f>I5/H6</f>
        <v>3.265883E-2</v>
      </c>
      <c r="K5" s="29">
        <f>(1+M5)*K6</f>
        <v>4709.0813725328117</v>
      </c>
      <c r="L5" s="29">
        <f>K5-K6</f>
        <v>66.390479766557291</v>
      </c>
      <c r="M5" s="30">
        <f>$G$30</f>
        <v>1.43E-2</v>
      </c>
    </row>
    <row r="6" spans="1:13" s="24" customFormat="1" ht="15" customHeight="1" x14ac:dyDescent="0.2">
      <c r="A6" s="26" t="s">
        <v>66</v>
      </c>
      <c r="B6" s="25"/>
      <c r="C6" s="28">
        <f t="shared" si="0"/>
        <v>56080658.297005355</v>
      </c>
      <c r="D6" s="28">
        <f>(1+$G$28)*D7</f>
        <v>4673388.1914171129</v>
      </c>
      <c r="E6" s="32" t="s">
        <v>63</v>
      </c>
      <c r="F6" s="28">
        <f>C6-C7</f>
        <v>997013.96245535463</v>
      </c>
      <c r="G6" s="30">
        <f>F6/C7</f>
        <v>1.8099999999999995E-2</v>
      </c>
      <c r="H6" s="34">
        <f>K6*D6</f>
        <v>21697096794.653587</v>
      </c>
      <c r="I6" s="34">
        <f>H6-H7</f>
        <v>686191581.50241852</v>
      </c>
      <c r="J6" s="48">
        <f>I6/H7</f>
        <v>3.2658830000000034E-2</v>
      </c>
      <c r="K6" s="29">
        <f>(1+M6)*K7</f>
        <v>4642.6908927662544</v>
      </c>
      <c r="L6" s="29">
        <f>K6-K7</f>
        <v>65.454480692652396</v>
      </c>
      <c r="M6" s="30">
        <f>$G$30</f>
        <v>1.43E-2</v>
      </c>
    </row>
    <row r="7" spans="1:13" x14ac:dyDescent="0.2">
      <c r="A7" s="26" t="s">
        <v>65</v>
      </c>
      <c r="B7" s="27"/>
      <c r="C7" s="28">
        <f t="shared" si="0"/>
        <v>55083644.334550001</v>
      </c>
      <c r="D7" s="28">
        <f>(1+$G$28)*D8</f>
        <v>4590303.6945458334</v>
      </c>
      <c r="E7" s="32" t="s">
        <v>63</v>
      </c>
      <c r="F7" s="28">
        <f>C7-C8</f>
        <v>1530692.3345500007</v>
      </c>
      <c r="G7" s="30">
        <f>G28</f>
        <v>1.8100000000000002E-2</v>
      </c>
      <c r="H7" s="34">
        <f>K7*D7</f>
        <v>21010905213.151169</v>
      </c>
      <c r="I7" s="34">
        <f>H7-H8</f>
        <v>664490111.90115356</v>
      </c>
      <c r="J7" s="48">
        <f>I7/H8</f>
        <v>3.2658829999999826E-2</v>
      </c>
      <c r="K7" s="32">
        <f>(1+M7)*K8</f>
        <v>4577.236412073602</v>
      </c>
      <c r="L7" s="32">
        <f>K7-K8</f>
        <v>64.531677701520493</v>
      </c>
      <c r="M7" s="30">
        <f>$G$30</f>
        <v>1.43E-2</v>
      </c>
    </row>
    <row r="8" spans="1:13" x14ac:dyDescent="0.2">
      <c r="A8" s="26" t="s">
        <v>71</v>
      </c>
      <c r="B8" s="27"/>
      <c r="C8" s="28">
        <f>C9/(B9/12)</f>
        <v>53552952</v>
      </c>
      <c r="D8" s="28">
        <f>((C8+C10)/2)/12</f>
        <v>4508696.291666667</v>
      </c>
      <c r="E8" s="28">
        <f>C8/12</f>
        <v>4462746</v>
      </c>
      <c r="F8" s="28">
        <f>C8-C10</f>
        <v>-1102807</v>
      </c>
      <c r="G8" s="31">
        <f>(C8-C10)/C10</f>
        <v>-2.0177324771942149E-2</v>
      </c>
      <c r="H8" s="34">
        <f>K8*D8</f>
        <v>20346415101.250015</v>
      </c>
      <c r="I8" s="49">
        <f>H8-H10</f>
        <v>82415101.250015259</v>
      </c>
      <c r="J8" s="48">
        <f>I8/H10</f>
        <v>4.0670697419075827E-3</v>
      </c>
      <c r="K8" s="32">
        <f>(1+M8)*K10</f>
        <v>4512.7047343720815</v>
      </c>
      <c r="L8" s="32">
        <f>K8-K10</f>
        <v>63.621884749601122</v>
      </c>
      <c r="M8" s="30">
        <f>$G$30</f>
        <v>1.43E-2</v>
      </c>
    </row>
    <row r="9" spans="1:13" x14ac:dyDescent="0.2">
      <c r="A9" s="26" t="s">
        <v>69</v>
      </c>
      <c r="B9" s="27">
        <v>3</v>
      </c>
      <c r="C9" s="28">
        <v>13388238</v>
      </c>
      <c r="D9" s="28">
        <v>4462746</v>
      </c>
      <c r="E9" s="28">
        <v>4466628</v>
      </c>
      <c r="F9" s="32" t="s">
        <v>63</v>
      </c>
      <c r="G9" s="32" t="s">
        <v>63</v>
      </c>
      <c r="H9" s="32" t="s">
        <v>63</v>
      </c>
      <c r="I9" s="49" t="s">
        <v>63</v>
      </c>
      <c r="J9" s="48" t="s">
        <v>63</v>
      </c>
      <c r="K9" s="32" t="s">
        <v>63</v>
      </c>
      <c r="L9" s="32" t="s">
        <v>63</v>
      </c>
      <c r="M9" s="32" t="s">
        <v>63</v>
      </c>
    </row>
    <row r="10" spans="1:13" x14ac:dyDescent="0.2">
      <c r="A10" s="27" t="s">
        <v>70</v>
      </c>
      <c r="B10" s="27">
        <v>12</v>
      </c>
      <c r="C10" s="28">
        <v>54655759</v>
      </c>
      <c r="D10" s="28">
        <v>4554646.5833333302</v>
      </c>
      <c r="E10" s="28">
        <v>4480486</v>
      </c>
      <c r="F10" s="28">
        <v>-8855242</v>
      </c>
      <c r="G10" s="31">
        <v>-0.13942847476140299</v>
      </c>
      <c r="H10" s="34">
        <v>20264000000</v>
      </c>
      <c r="I10" s="49">
        <v>-1749000000</v>
      </c>
      <c r="J10" s="48">
        <v>-7.94530504701767E-2</v>
      </c>
      <c r="K10" s="32">
        <v>4449.0828496224804</v>
      </c>
      <c r="L10" s="32">
        <v>289.86640143582002</v>
      </c>
      <c r="M10" s="31">
        <v>6.9692550278838097E-2</v>
      </c>
    </row>
    <row r="11" spans="1:13" x14ac:dyDescent="0.2">
      <c r="A11" s="27" t="s">
        <v>24</v>
      </c>
      <c r="B11" s="27">
        <v>12</v>
      </c>
      <c r="C11" s="28">
        <v>63511001</v>
      </c>
      <c r="D11" s="28">
        <v>5292583.4166666605</v>
      </c>
      <c r="E11" s="28">
        <v>5080545</v>
      </c>
      <c r="F11" s="28">
        <v>-1742150</v>
      </c>
      <c r="G11" s="31">
        <v>-2.6698327564288801E-2</v>
      </c>
      <c r="H11" s="34">
        <v>22013000000</v>
      </c>
      <c r="I11" s="49">
        <v>909000000</v>
      </c>
      <c r="J11" s="48">
        <v>4.3072403335860501E-2</v>
      </c>
      <c r="K11" s="32">
        <v>4159.2164481866603</v>
      </c>
      <c r="L11" s="32">
        <v>278.20846437298297</v>
      </c>
      <c r="M11" s="31">
        <v>7.1684589553356298E-2</v>
      </c>
    </row>
    <row r="12" spans="1:13" x14ac:dyDescent="0.2">
      <c r="A12" s="27" t="s">
        <v>25</v>
      </c>
      <c r="B12" s="27">
        <v>12</v>
      </c>
      <c r="C12" s="28">
        <v>65253151</v>
      </c>
      <c r="D12" s="28">
        <v>5437762.5833333302</v>
      </c>
      <c r="E12" s="28">
        <v>5494358</v>
      </c>
      <c r="F12" s="28">
        <v>2794207</v>
      </c>
      <c r="G12" s="31">
        <v>4.4736699358862E-2</v>
      </c>
      <c r="H12" s="34">
        <v>21104000000</v>
      </c>
      <c r="I12" s="49">
        <v>1470000000</v>
      </c>
      <c r="J12" s="48">
        <v>7.4870123255577001E-2</v>
      </c>
      <c r="K12" s="32">
        <v>3881.0079838136799</v>
      </c>
      <c r="L12" s="32">
        <v>108.802036815927</v>
      </c>
      <c r="M12" s="31">
        <v>2.8843079711096099E-2</v>
      </c>
    </row>
    <row r="13" spans="1:13" x14ac:dyDescent="0.2">
      <c r="A13" s="27" t="s">
        <v>26</v>
      </c>
      <c r="B13" s="27">
        <v>12</v>
      </c>
      <c r="C13" s="28">
        <v>62458944</v>
      </c>
      <c r="D13" s="28">
        <v>5204912</v>
      </c>
      <c r="E13" s="28">
        <v>5252419</v>
      </c>
      <c r="F13" s="28">
        <v>5547527</v>
      </c>
      <c r="G13" s="31">
        <v>9.7476522153718298E-2</v>
      </c>
      <c r="H13" s="34">
        <v>19634000000</v>
      </c>
      <c r="I13" s="49">
        <v>1948000000</v>
      </c>
      <c r="J13" s="48">
        <v>0.110143616419767</v>
      </c>
      <c r="K13" s="32">
        <v>3772.2059469977498</v>
      </c>
      <c r="L13" s="32">
        <v>43.0420781733364</v>
      </c>
      <c r="M13" s="31">
        <v>1.1542018449005501E-2</v>
      </c>
    </row>
    <row r="14" spans="1:13" x14ac:dyDescent="0.2">
      <c r="A14" s="27" t="s">
        <v>27</v>
      </c>
      <c r="B14" s="27">
        <v>12</v>
      </c>
      <c r="C14" s="28">
        <v>56911417</v>
      </c>
      <c r="D14" s="28">
        <v>4742618.0833333302</v>
      </c>
      <c r="E14" s="28">
        <v>4947832</v>
      </c>
      <c r="F14" s="28">
        <v>5853421</v>
      </c>
      <c r="G14" s="31">
        <v>0.114642591926247</v>
      </c>
      <c r="H14" s="34">
        <v>17686000000</v>
      </c>
      <c r="I14" s="49">
        <v>-152000000</v>
      </c>
      <c r="J14" s="48">
        <v>-8.5211346563515995E-3</v>
      </c>
      <c r="K14" s="32">
        <v>3729.1638688244202</v>
      </c>
      <c r="L14" s="32">
        <v>-463.24509293741397</v>
      </c>
      <c r="M14" s="31">
        <v>-0.110496160360924</v>
      </c>
    </row>
    <row r="15" spans="1:13" x14ac:dyDescent="0.2">
      <c r="A15" s="27" t="s">
        <v>28</v>
      </c>
      <c r="B15" s="27">
        <v>12</v>
      </c>
      <c r="C15" s="28">
        <v>51057996</v>
      </c>
      <c r="D15" s="28">
        <v>4254833</v>
      </c>
      <c r="E15" s="28">
        <v>4206715</v>
      </c>
      <c r="F15" s="28">
        <v>-1436659</v>
      </c>
      <c r="G15" s="31">
        <v>-2.7367719627836299E-2</v>
      </c>
      <c r="H15" s="34">
        <v>17838000000</v>
      </c>
      <c r="I15" s="49">
        <v>1708000000</v>
      </c>
      <c r="J15" s="48">
        <v>0.105889646621202</v>
      </c>
      <c r="K15" s="32">
        <v>4192.4089617618301</v>
      </c>
      <c r="L15" s="32">
        <v>505.176423515799</v>
      </c>
      <c r="M15" s="31">
        <v>0.13700693359472901</v>
      </c>
    </row>
    <row r="16" spans="1:13" x14ac:dyDescent="0.2">
      <c r="A16" s="27" t="s">
        <v>29</v>
      </c>
      <c r="B16" s="27">
        <v>12</v>
      </c>
      <c r="C16" s="28">
        <v>52494655</v>
      </c>
      <c r="D16" s="28">
        <v>4374554.5833333302</v>
      </c>
      <c r="E16" s="28">
        <v>4352116</v>
      </c>
      <c r="F16" s="28">
        <v>-181772</v>
      </c>
      <c r="G16" s="31">
        <v>-3.4507275901609598E-3</v>
      </c>
      <c r="H16" s="34">
        <v>16130000000</v>
      </c>
      <c r="I16" s="49">
        <v>168000000</v>
      </c>
      <c r="J16" s="48">
        <v>1.05249968675604E-2</v>
      </c>
      <c r="K16" s="32">
        <v>3687.2325382460299</v>
      </c>
      <c r="L16" s="32">
        <v>50.995023503436599</v>
      </c>
      <c r="M16" s="31">
        <v>1.40241178681768E-2</v>
      </c>
    </row>
    <row r="17" spans="1:13" x14ac:dyDescent="0.2">
      <c r="A17" s="27" t="s">
        <v>30</v>
      </c>
      <c r="B17" s="27">
        <v>12</v>
      </c>
      <c r="C17" s="28">
        <v>52676427</v>
      </c>
      <c r="D17" s="28">
        <v>4389702.25</v>
      </c>
      <c r="E17" s="28">
        <v>4391939</v>
      </c>
      <c r="F17" s="28">
        <v>-150865</v>
      </c>
      <c r="G17" s="31">
        <v>-2.8558155129359999E-3</v>
      </c>
      <c r="H17" s="34">
        <v>15962000000</v>
      </c>
      <c r="I17" s="49">
        <v>2200000000</v>
      </c>
      <c r="J17" s="48">
        <v>0.15986048539456399</v>
      </c>
      <c r="K17" s="32">
        <v>3636.2375147426001</v>
      </c>
      <c r="L17" s="32">
        <v>510.12611005427999</v>
      </c>
      <c r="M17" s="31">
        <v>0.163182319506985</v>
      </c>
    </row>
    <row r="18" spans="1:13" x14ac:dyDescent="0.2">
      <c r="A18" s="27" t="s">
        <v>31</v>
      </c>
      <c r="B18" s="27">
        <v>12</v>
      </c>
      <c r="C18" s="28">
        <v>52827292</v>
      </c>
      <c r="D18" s="28">
        <v>4402274.3333333302</v>
      </c>
      <c r="E18" s="28">
        <v>4363641</v>
      </c>
      <c r="F18" s="28">
        <v>-2256316</v>
      </c>
      <c r="G18" s="31">
        <v>-4.0961659592087703E-2</v>
      </c>
      <c r="H18" s="34">
        <v>13762000000</v>
      </c>
      <c r="I18" s="49">
        <v>1296000000</v>
      </c>
      <c r="J18" s="48">
        <v>0.103962778758222</v>
      </c>
      <c r="K18" s="32">
        <v>3126.1114046883099</v>
      </c>
      <c r="L18" s="32">
        <v>410.38515814324899</v>
      </c>
      <c r="M18" s="31">
        <v>0.15111433218474701</v>
      </c>
    </row>
    <row r="19" spans="1:13" x14ac:dyDescent="0.2">
      <c r="A19" s="27" t="s">
        <v>32</v>
      </c>
      <c r="B19" s="27">
        <v>12</v>
      </c>
      <c r="C19" s="28">
        <v>55083608</v>
      </c>
      <c r="D19" s="28">
        <v>4590300.6666666605</v>
      </c>
      <c r="E19" s="28">
        <v>4640405</v>
      </c>
      <c r="F19" s="28">
        <v>7344942</v>
      </c>
      <c r="G19" s="31">
        <v>0.15385729462989101</v>
      </c>
      <c r="H19" s="34">
        <v>12466000000</v>
      </c>
      <c r="I19" s="49">
        <v>-201000000</v>
      </c>
      <c r="J19" s="48">
        <v>-1.5868003473592799E-2</v>
      </c>
      <c r="K19" s="32">
        <v>2715.7262465450699</v>
      </c>
      <c r="L19" s="32">
        <v>-468.35937495092998</v>
      </c>
      <c r="M19" s="31">
        <v>-0.147093838114465</v>
      </c>
    </row>
    <row r="20" spans="1:13" x14ac:dyDescent="0.2">
      <c r="A20" s="27" t="s">
        <v>33</v>
      </c>
      <c r="B20" s="27">
        <v>12</v>
      </c>
      <c r="C20" s="28">
        <v>47738666</v>
      </c>
      <c r="D20" s="28">
        <v>3978222.16666666</v>
      </c>
      <c r="E20" s="28">
        <v>4386992</v>
      </c>
      <c r="F20" s="28">
        <v>5840249</v>
      </c>
      <c r="G20" s="31">
        <v>0.139390683901017</v>
      </c>
      <c r="H20" s="34">
        <v>12667000000</v>
      </c>
      <c r="I20" s="49">
        <v>1450000000</v>
      </c>
      <c r="J20" s="48">
        <v>0.12926807524293399</v>
      </c>
      <c r="K20" s="32">
        <v>3184.0856214959999</v>
      </c>
      <c r="L20" s="32">
        <v>-28.541719532181499</v>
      </c>
      <c r="M20" s="31">
        <v>-8.8842297915098199E-3</v>
      </c>
    </row>
    <row r="21" spans="1:13" x14ac:dyDescent="0.2">
      <c r="A21" s="27" t="s">
        <v>34</v>
      </c>
      <c r="B21" s="27">
        <v>12</v>
      </c>
      <c r="C21" s="28">
        <v>41898417</v>
      </c>
      <c r="D21" s="28">
        <v>3491534.75</v>
      </c>
      <c r="E21" s="28">
        <v>3488599</v>
      </c>
      <c r="F21" s="28">
        <v>-59301</v>
      </c>
      <c r="G21" s="31">
        <v>-1.41335141248625E-3</v>
      </c>
      <c r="H21" s="34">
        <v>11217000000</v>
      </c>
      <c r="I21" s="49">
        <v>1420000000</v>
      </c>
      <c r="J21" s="48">
        <v>0.14494232928447401</v>
      </c>
      <c r="K21" s="32">
        <v>3212.6273410281801</v>
      </c>
      <c r="L21" s="32">
        <v>410.66370706696398</v>
      </c>
      <c r="M21" s="31">
        <v>0.146562825473361</v>
      </c>
    </row>
    <row r="22" spans="1:13" x14ac:dyDescent="0.2">
      <c r="A22" s="27" t="s">
        <v>35</v>
      </c>
      <c r="B22" s="27">
        <v>12</v>
      </c>
      <c r="C22" s="28">
        <v>41957718</v>
      </c>
      <c r="D22" s="28">
        <v>3496476.5</v>
      </c>
      <c r="E22" s="28">
        <v>3522128</v>
      </c>
      <c r="F22" s="28">
        <v>202009</v>
      </c>
      <c r="G22" s="31">
        <v>4.8378773786358102E-3</v>
      </c>
      <c r="H22" s="34">
        <v>9797000000</v>
      </c>
      <c r="I22" s="49">
        <v>5745531000</v>
      </c>
      <c r="J22" s="48">
        <v>1.41813524921454</v>
      </c>
      <c r="K22" s="32">
        <v>2801.9636339612098</v>
      </c>
      <c r="L22" s="32">
        <v>1637.62876420724</v>
      </c>
      <c r="M22" s="31">
        <v>1.4064929314993899</v>
      </c>
    </row>
    <row r="23" spans="1:13" x14ac:dyDescent="0.2">
      <c r="A23" s="27" t="s">
        <v>36</v>
      </c>
      <c r="B23" s="27">
        <v>12</v>
      </c>
      <c r="C23" s="28">
        <v>41755709</v>
      </c>
      <c r="D23" s="28">
        <v>3479642.41666666</v>
      </c>
      <c r="E23" s="28">
        <v>3522128</v>
      </c>
      <c r="F23" s="47" t="s">
        <v>63</v>
      </c>
      <c r="G23" s="48" t="s">
        <v>63</v>
      </c>
      <c r="H23" s="34">
        <v>4051469000</v>
      </c>
      <c r="I23" s="49" t="s">
        <v>63</v>
      </c>
      <c r="J23" s="48" t="s">
        <v>63</v>
      </c>
      <c r="K23" s="32">
        <v>1164.33486975397</v>
      </c>
      <c r="L23" s="32" t="s">
        <v>63</v>
      </c>
      <c r="M23" s="32" t="s">
        <v>63</v>
      </c>
    </row>
    <row r="25" spans="1:13" ht="16" thickBot="1" x14ac:dyDescent="0.25">
      <c r="A25" s="33" t="s">
        <v>45</v>
      </c>
      <c r="G25" s="33" t="s">
        <v>73</v>
      </c>
    </row>
    <row r="26" spans="1:13" ht="16" x14ac:dyDescent="0.2">
      <c r="A26" t="s">
        <v>46</v>
      </c>
      <c r="G26" s="6" t="s">
        <v>64</v>
      </c>
    </row>
    <row r="27" spans="1:13" x14ac:dyDescent="0.2">
      <c r="A27" t="str">
        <f>_xlfn.CONCAT("(2) Full-year Enrollment 2026 Estimate Represents YTD annualized. Months in YTD = ",B9,".")</f>
        <v>(2) Full-year Enrollment 2026 Estimate Represents YTD annualized. Months in YTD = 3.</v>
      </c>
      <c r="G27" t="s">
        <v>37</v>
      </c>
    </row>
    <row r="28" spans="1:13" ht="16" x14ac:dyDescent="0.2">
      <c r="A28" t="str">
        <f>_xlfn.CONCAT("(3) FY26 full-year spending estimate is based an assumption of per capita spending growth = ",ROUND(G30*100,2),"%")</f>
        <v>(3) FY26 full-year spending estimate is based an assumption of per capita spending growth = 1.43%</v>
      </c>
      <c r="G28" s="15">
        <v>1.8100000000000002E-2</v>
      </c>
    </row>
    <row r="29" spans="1:13" x14ac:dyDescent="0.2">
      <c r="G29" t="s">
        <v>38</v>
      </c>
    </row>
    <row r="30" spans="1:13" ht="16" x14ac:dyDescent="0.2">
      <c r="G30" s="15">
        <v>1.43E-2</v>
      </c>
    </row>
    <row r="32" spans="1:13" ht="16" thickBot="1" x14ac:dyDescent="0.25">
      <c r="A32" s="33" t="s">
        <v>47</v>
      </c>
    </row>
    <row r="33" spans="1:3" x14ac:dyDescent="0.2">
      <c r="A33" t="s">
        <v>48</v>
      </c>
    </row>
    <row r="34" spans="1:3" ht="16" x14ac:dyDescent="0.2">
      <c r="A34" t="s">
        <v>49</v>
      </c>
      <c r="C34" s="6"/>
    </row>
    <row r="35" spans="1:3" x14ac:dyDescent="0.2">
      <c r="A35" t="s">
        <v>50</v>
      </c>
    </row>
    <row r="36" spans="1:3" x14ac:dyDescent="0.2">
      <c r="A36" t="s">
        <v>59</v>
      </c>
    </row>
    <row r="37" spans="1:3" x14ac:dyDescent="0.2">
      <c r="A37" t="s">
        <v>51</v>
      </c>
    </row>
    <row r="38" spans="1:3" x14ac:dyDescent="0.2">
      <c r="A38" t="s">
        <v>52</v>
      </c>
    </row>
    <row r="39" spans="1:3" x14ac:dyDescent="0.2">
      <c r="A39" t="s">
        <v>54</v>
      </c>
    </row>
    <row r="40" spans="1:3" x14ac:dyDescent="0.2">
      <c r="A40" t="s">
        <v>55</v>
      </c>
    </row>
    <row r="41" spans="1:3" x14ac:dyDescent="0.2">
      <c r="A41" t="s">
        <v>62</v>
      </c>
    </row>
    <row r="42" spans="1:3" x14ac:dyDescent="0.2">
      <c r="A42" t="s">
        <v>53</v>
      </c>
    </row>
    <row r="43" spans="1:3" x14ac:dyDescent="0.2">
      <c r="A43" t="s">
        <v>56</v>
      </c>
    </row>
    <row r="44" spans="1:3" x14ac:dyDescent="0.2">
      <c r="A44" t="s">
        <v>57</v>
      </c>
    </row>
  </sheetData>
  <sortState xmlns:xlrd2="http://schemas.microsoft.com/office/spreadsheetml/2017/richdata2" ref="A7:M23">
    <sortCondition descending="1" ref="A9:A23"/>
  </sortState>
  <mergeCells count="5">
    <mergeCell ref="C2:E2"/>
    <mergeCell ref="F2:G2"/>
    <mergeCell ref="H2:J2"/>
    <mergeCell ref="K2:M2"/>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20" sqref="R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0" customWidth="1"/>
    <col min="17" max="17" width="13" customWidth="1"/>
    <col min="18" max="18" width="11.5" customWidth="1"/>
    <col min="19" max="19" width="17.5" customWidth="1"/>
    <col min="20" max="20" width="10.5" customWidth="1"/>
    <col min="21" max="21" width="0" hidden="1" customWidth="1"/>
    <col min="22" max="16384" width="10.83203125" hidden="1"/>
  </cols>
  <sheetData>
    <row r="1" spans="16:19" ht="16" thickBot="1" x14ac:dyDescent="0.25"/>
    <row r="2" spans="16:19" ht="18" thickBot="1" x14ac:dyDescent="0.25">
      <c r="P2" s="65" t="s">
        <v>10</v>
      </c>
      <c r="Q2" s="66"/>
      <c r="R2" s="66"/>
      <c r="S2" s="67"/>
    </row>
    <row r="3" spans="16:19" ht="16" thickTop="1" x14ac:dyDescent="0.2">
      <c r="P3" s="68" t="s">
        <v>42</v>
      </c>
      <c r="Q3" s="69"/>
      <c r="R3" s="69"/>
      <c r="S3" s="70"/>
    </row>
    <row r="4" spans="16:19" x14ac:dyDescent="0.2">
      <c r="P4" s="17"/>
      <c r="Q4" s="18"/>
      <c r="R4" s="18"/>
      <c r="S4" s="19"/>
    </row>
    <row r="5" spans="16:19" ht="16" thickBot="1" x14ac:dyDescent="0.25">
      <c r="P5" s="62" t="s">
        <v>21</v>
      </c>
      <c r="Q5" s="63"/>
      <c r="R5" s="63"/>
      <c r="S5" s="64"/>
    </row>
    <row r="6" spans="16:19" x14ac:dyDescent="0.2">
      <c r="P6" s="9" t="s">
        <v>11</v>
      </c>
      <c r="Q6" s="21">
        <f>AVERAGE(projection_data!E15)</f>
        <v>-0.13942847476140399</v>
      </c>
      <c r="R6" s="21"/>
      <c r="S6" s="19"/>
    </row>
    <row r="7" spans="16:19" x14ac:dyDescent="0.2">
      <c r="P7" s="9" t="s">
        <v>12</v>
      </c>
      <c r="Q7" s="21">
        <f>AVERAGE(projection_data!E13:E15)</f>
        <v>-4.0463367655610261E-2</v>
      </c>
      <c r="R7" s="21"/>
      <c r="S7" s="19"/>
    </row>
    <row r="8" spans="16:19" x14ac:dyDescent="0.2">
      <c r="P8" s="9" t="s">
        <v>13</v>
      </c>
      <c r="Q8" s="21">
        <f>AVERAGE(projection_data!E11:E15)</f>
        <v>1.8145802222626913E-2</v>
      </c>
      <c r="R8" s="21"/>
      <c r="S8" s="19"/>
    </row>
    <row r="9" spans="16:19" x14ac:dyDescent="0.2">
      <c r="P9" s="17"/>
      <c r="Q9" s="18"/>
      <c r="R9" s="18"/>
      <c r="S9" s="19"/>
    </row>
    <row r="10" spans="16:19" ht="16" thickBot="1" x14ac:dyDescent="0.25">
      <c r="P10" s="62" t="s">
        <v>61</v>
      </c>
      <c r="Q10" s="63"/>
      <c r="R10" s="63"/>
      <c r="S10" s="64"/>
    </row>
    <row r="11" spans="16:19" x14ac:dyDescent="0.2">
      <c r="P11" s="9" t="s">
        <v>11</v>
      </c>
      <c r="Q11" s="22">
        <f>AVERAGE(projection_data!G15)</f>
        <v>6.9692550278838097E-2</v>
      </c>
      <c r="R11" s="22"/>
      <c r="S11" s="19"/>
    </row>
    <row r="12" spans="16:19" x14ac:dyDescent="0.2">
      <c r="P12" s="9" t="s">
        <v>12</v>
      </c>
      <c r="Q12" s="22">
        <f>AVERAGE(projection_data!G13:G15)</f>
        <v>5.6740073181096827E-2</v>
      </c>
      <c r="R12" s="22"/>
      <c r="S12" s="19"/>
    </row>
    <row r="13" spans="16:19" x14ac:dyDescent="0.2">
      <c r="P13" s="9" t="s">
        <v>13</v>
      </c>
      <c r="Q13" s="22">
        <f>AVERAGE(projection_data!G11:G15)</f>
        <v>1.4253215526274402E-2</v>
      </c>
      <c r="R13" s="22"/>
      <c r="S13" s="19"/>
    </row>
    <row r="14" spans="16:19" x14ac:dyDescent="0.2">
      <c r="P14" s="17"/>
      <c r="Q14" s="18"/>
      <c r="R14" s="18"/>
      <c r="S14" s="19"/>
    </row>
    <row r="15" spans="16:19" ht="18" thickBot="1" x14ac:dyDescent="0.25">
      <c r="P15" s="59" t="s">
        <v>9</v>
      </c>
      <c r="Q15" s="60"/>
      <c r="R15" s="60"/>
      <c r="S15" s="61"/>
    </row>
    <row r="16" spans="16:19" ht="15" customHeight="1" thickTop="1" x14ac:dyDescent="0.2">
      <c r="P16" s="35" t="s">
        <v>14</v>
      </c>
      <c r="Q16" s="18"/>
      <c r="R16" s="18"/>
      <c r="S16" s="19"/>
    </row>
    <row r="17" spans="16:19" ht="15" customHeight="1" x14ac:dyDescent="0.2">
      <c r="P17" s="56" t="s">
        <v>64</v>
      </c>
      <c r="Q17" s="57"/>
      <c r="R17" s="57"/>
      <c r="S17" s="58"/>
    </row>
    <row r="18" spans="16:19" ht="15" customHeight="1" x14ac:dyDescent="0.2">
      <c r="P18" s="56"/>
      <c r="Q18" s="57"/>
      <c r="R18" s="57"/>
      <c r="S18" s="58"/>
    </row>
    <row r="19" spans="16:19" ht="15" customHeight="1" thickBot="1" x14ac:dyDescent="0.25">
      <c r="P19" s="20" t="s">
        <v>21</v>
      </c>
      <c r="R19" s="43" t="s">
        <v>68</v>
      </c>
      <c r="S19" s="8"/>
    </row>
    <row r="20" spans="16:19" ht="15" customHeight="1" x14ac:dyDescent="0.2">
      <c r="P20" s="16">
        <v>1.8100000000000002E-2</v>
      </c>
      <c r="Q20" s="6"/>
      <c r="R20" s="44">
        <v>1.43E-2</v>
      </c>
      <c r="S20" s="8"/>
    </row>
    <row r="21" spans="16:19" ht="15" customHeight="1" x14ac:dyDescent="0.2">
      <c r="P21" s="7"/>
      <c r="S21" s="8"/>
    </row>
    <row r="22" spans="16:19" ht="15" customHeight="1" x14ac:dyDescent="0.2">
      <c r="P22" s="35" t="s">
        <v>60</v>
      </c>
      <c r="S22" s="8"/>
    </row>
    <row r="23" spans="16:19" ht="33" customHeight="1" thickBot="1" x14ac:dyDescent="0.25">
      <c r="P23" s="36" t="s">
        <v>20</v>
      </c>
      <c r="Q23" s="37" t="s">
        <v>21</v>
      </c>
      <c r="R23" s="37" t="s">
        <v>19</v>
      </c>
      <c r="S23" s="38" t="s">
        <v>4</v>
      </c>
    </row>
    <row r="24" spans="16:19" ht="15" customHeight="1" x14ac:dyDescent="0.2">
      <c r="P24" s="10" t="str" cm="1">
        <f t="array" ref="P24:P28">projection_data!B16:B20</f>
        <v>FY26</v>
      </c>
      <c r="Q24" s="11" cm="1">
        <f t="array" ref="Q24:Q28">projection_data!D16:D20</f>
        <v>4637085.6864916636</v>
      </c>
      <c r="R24" s="41" cm="1">
        <f t="array" ref="R24:R28">projection_data!F16:F20</f>
        <v>4512.7047343720815</v>
      </c>
      <c r="S24" s="39" cm="1">
        <f t="array" ref="S24:S28">projection_data!C16:C20</f>
        <v>20925798531.119946</v>
      </c>
    </row>
    <row r="25" spans="16:19" ht="15" customHeight="1" x14ac:dyDescent="0.2">
      <c r="P25" s="10" t="str">
        <v>FY27</v>
      </c>
      <c r="Q25" s="11">
        <v>4721016.9374171626</v>
      </c>
      <c r="R25" s="41">
        <v>4577.236412073602</v>
      </c>
      <c r="S25" s="39">
        <v>21609210627.962036</v>
      </c>
    </row>
    <row r="26" spans="16:19" ht="15" customHeight="1" x14ac:dyDescent="0.2">
      <c r="P26" s="10" t="str">
        <v>FY28</v>
      </c>
      <c r="Q26" s="11">
        <v>4806467.343984413</v>
      </c>
      <c r="R26" s="41">
        <v>4642.6908927662544</v>
      </c>
      <c r="S26" s="39">
        <v>22314942164.294842</v>
      </c>
    </row>
    <row r="27" spans="16:19" ht="15" customHeight="1" x14ac:dyDescent="0.2">
      <c r="P27" s="10" t="str">
        <v>FY29</v>
      </c>
      <c r="Q27" s="11">
        <v>4893464.4029105306</v>
      </c>
      <c r="R27" s="41">
        <v>4709.0813725328117</v>
      </c>
      <c r="S27" s="39">
        <v>23043722066.898376</v>
      </c>
    </row>
    <row r="28" spans="16:19" ht="15" customHeight="1" thickBot="1" x14ac:dyDescent="0.25">
      <c r="P28" s="12" t="str">
        <v>FY30</v>
      </c>
      <c r="Q28" s="13">
        <v>4982036.1086032111</v>
      </c>
      <c r="R28" s="42">
        <v>4776.4212361600312</v>
      </c>
      <c r="S28" s="40">
        <v>23796303068.44846</v>
      </c>
    </row>
    <row r="29" spans="16:19" ht="15" customHeight="1"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D17" sqref="D17"/>
    </sheetView>
  </sheetViews>
  <sheetFormatPr baseColWidth="10" defaultColWidth="8.83203125" defaultRowHeight="15" x14ac:dyDescent="0.2"/>
  <cols>
    <col min="1" max="1" width="11.33203125" customWidth="1"/>
    <col min="2" max="2" width="11.5" customWidth="1"/>
    <col min="3" max="3" width="17.83203125" bestFit="1" customWidth="1"/>
    <col min="4" max="4" width="31" bestFit="1" customWidth="1"/>
    <col min="5" max="5" width="32.33203125" customWidth="1"/>
    <col min="6" max="6" width="33" customWidth="1"/>
    <col min="7" max="7" width="46.5" customWidth="1"/>
  </cols>
  <sheetData>
    <row r="1" spans="1:7" s="45" customFormat="1" ht="16" x14ac:dyDescent="0.2">
      <c r="A1" s="45" t="s">
        <v>15</v>
      </c>
      <c r="B1" s="45" t="s">
        <v>0</v>
      </c>
      <c r="C1" s="45" t="s">
        <v>4</v>
      </c>
      <c r="D1" s="46" t="s">
        <v>21</v>
      </c>
      <c r="E1" s="46" t="s">
        <v>44</v>
      </c>
      <c r="F1" s="45" t="s">
        <v>6</v>
      </c>
      <c r="G1" s="45" t="s">
        <v>8</v>
      </c>
    </row>
    <row r="2" spans="1:7" x14ac:dyDescent="0.2">
      <c r="A2" t="s">
        <v>16</v>
      </c>
      <c r="B2" t="s">
        <v>36</v>
      </c>
      <c r="C2" s="3">
        <v>4051469000</v>
      </c>
      <c r="D2">
        <v>3479642.41666666</v>
      </c>
      <c r="E2" s="1" t="s">
        <v>63</v>
      </c>
      <c r="F2">
        <v>1164.33486975397</v>
      </c>
      <c r="G2" t="s">
        <v>63</v>
      </c>
    </row>
    <row r="3" spans="1:7" x14ac:dyDescent="0.2">
      <c r="A3" t="s">
        <v>16</v>
      </c>
      <c r="B3" t="s">
        <v>35</v>
      </c>
      <c r="C3" s="3">
        <v>9797000000</v>
      </c>
      <c r="D3" s="1">
        <v>3496476.5</v>
      </c>
      <c r="E3" s="23">
        <v>4.8378773786358596E-3</v>
      </c>
      <c r="F3">
        <v>2801.9636339612098</v>
      </c>
      <c r="G3">
        <v>1.4064929314993899</v>
      </c>
    </row>
    <row r="4" spans="1:7" x14ac:dyDescent="0.2">
      <c r="A4" t="s">
        <v>16</v>
      </c>
      <c r="B4" t="s">
        <v>34</v>
      </c>
      <c r="C4" s="3">
        <v>11217000000</v>
      </c>
      <c r="D4" s="1">
        <v>3491534.75</v>
      </c>
      <c r="E4" s="23">
        <v>-1.41335141248625E-3</v>
      </c>
      <c r="F4">
        <v>3212.6273410281801</v>
      </c>
      <c r="G4">
        <v>0.146562825473361</v>
      </c>
    </row>
    <row r="5" spans="1:7" x14ac:dyDescent="0.2">
      <c r="A5" t="s">
        <v>16</v>
      </c>
      <c r="B5" t="s">
        <v>33</v>
      </c>
      <c r="C5" s="3">
        <v>12667000000</v>
      </c>
      <c r="D5">
        <v>3978222.16666666</v>
      </c>
      <c r="E5" s="50">
        <v>0.139390683901017</v>
      </c>
      <c r="F5">
        <v>3184.0856214959999</v>
      </c>
      <c r="G5" s="2">
        <v>-8.8842297915098199E-3</v>
      </c>
    </row>
    <row r="6" spans="1:7" x14ac:dyDescent="0.2">
      <c r="A6" t="s">
        <v>16</v>
      </c>
      <c r="B6" t="s">
        <v>32</v>
      </c>
      <c r="C6" s="3">
        <v>12466000000</v>
      </c>
      <c r="D6">
        <v>4590300.6666666605</v>
      </c>
      <c r="E6" s="50">
        <v>0.15385729462989101</v>
      </c>
      <c r="F6" s="3">
        <v>2715.7262465450699</v>
      </c>
      <c r="G6" s="2">
        <v>-0.147093838114465</v>
      </c>
    </row>
    <row r="7" spans="1:7" x14ac:dyDescent="0.2">
      <c r="A7" t="s">
        <v>16</v>
      </c>
      <c r="B7" t="s">
        <v>31</v>
      </c>
      <c r="C7" s="3">
        <v>13762000000</v>
      </c>
      <c r="D7">
        <v>4402274.3333333302</v>
      </c>
      <c r="E7" s="23">
        <v>-4.09616595920878E-2</v>
      </c>
      <c r="F7">
        <v>3126.1114046883099</v>
      </c>
      <c r="G7">
        <v>0.15111433218474701</v>
      </c>
    </row>
    <row r="8" spans="1:7" x14ac:dyDescent="0.2">
      <c r="A8" t="s">
        <v>16</v>
      </c>
      <c r="B8" t="s">
        <v>30</v>
      </c>
      <c r="C8" s="3">
        <v>15962000000</v>
      </c>
      <c r="D8" s="1">
        <v>4389702.25</v>
      </c>
      <c r="E8" s="23">
        <v>-2.8558155129359301E-3</v>
      </c>
      <c r="F8" s="3">
        <v>3636.2375147426001</v>
      </c>
      <c r="G8">
        <v>0.163182319506985</v>
      </c>
    </row>
    <row r="9" spans="1:7" x14ac:dyDescent="0.2">
      <c r="A9" t="s">
        <v>16</v>
      </c>
      <c r="B9" t="s">
        <v>29</v>
      </c>
      <c r="C9" s="3">
        <v>16130000000</v>
      </c>
      <c r="D9">
        <v>4374554.5833333302</v>
      </c>
      <c r="E9" s="23">
        <v>-3.4507275901610301E-3</v>
      </c>
      <c r="F9">
        <v>3687.2325382460299</v>
      </c>
      <c r="G9" s="2">
        <v>1.40241178681768E-2</v>
      </c>
    </row>
    <row r="10" spans="1:7" x14ac:dyDescent="0.2">
      <c r="A10" t="s">
        <v>16</v>
      </c>
      <c r="B10" t="s">
        <v>28</v>
      </c>
      <c r="C10" s="3">
        <v>17838000000</v>
      </c>
      <c r="D10" s="1">
        <v>4254833</v>
      </c>
      <c r="E10" s="23">
        <v>-2.7367719627836299E-2</v>
      </c>
      <c r="F10">
        <v>4192.4089617618301</v>
      </c>
      <c r="G10">
        <v>0.13700693359472901</v>
      </c>
    </row>
    <row r="11" spans="1:7" x14ac:dyDescent="0.2">
      <c r="A11" t="s">
        <v>16</v>
      </c>
      <c r="B11" t="s">
        <v>27</v>
      </c>
      <c r="C11" s="3">
        <v>17686000000</v>
      </c>
      <c r="D11">
        <v>4742618.0833333302</v>
      </c>
      <c r="E11" s="50">
        <v>0.114642591926247</v>
      </c>
      <c r="F11">
        <v>3729.1638688244202</v>
      </c>
      <c r="G11" s="2">
        <v>-0.110496160360924</v>
      </c>
    </row>
    <row r="12" spans="1:7" x14ac:dyDescent="0.2">
      <c r="A12" t="s">
        <v>16</v>
      </c>
      <c r="B12" t="s">
        <v>26</v>
      </c>
      <c r="C12" s="3">
        <v>19634000000</v>
      </c>
      <c r="D12" s="1">
        <v>5204912</v>
      </c>
      <c r="E12" s="23">
        <v>9.7476522153718298E-2</v>
      </c>
      <c r="F12">
        <v>3772.2059469977498</v>
      </c>
      <c r="G12">
        <v>1.1542018449005501E-2</v>
      </c>
    </row>
    <row r="13" spans="1:7" x14ac:dyDescent="0.2">
      <c r="A13" t="s">
        <v>16</v>
      </c>
      <c r="B13" t="s">
        <v>25</v>
      </c>
      <c r="C13" s="3">
        <v>21104000000</v>
      </c>
      <c r="D13">
        <v>5437762.5833333302</v>
      </c>
      <c r="E13" s="23">
        <v>4.4736699358861903E-2</v>
      </c>
      <c r="F13">
        <v>3881.0079838136799</v>
      </c>
      <c r="G13">
        <v>2.8843079711096099E-2</v>
      </c>
    </row>
    <row r="14" spans="1:7" x14ac:dyDescent="0.2">
      <c r="A14" t="s">
        <v>16</v>
      </c>
      <c r="B14" t="s">
        <v>24</v>
      </c>
      <c r="C14" s="3">
        <v>22013000000</v>
      </c>
      <c r="D14">
        <v>5292583.4166666605</v>
      </c>
      <c r="E14" s="23">
        <v>-2.66983275642887E-2</v>
      </c>
      <c r="F14">
        <v>4159.2164481866603</v>
      </c>
      <c r="G14" s="2">
        <v>7.1684589553356298E-2</v>
      </c>
    </row>
    <row r="15" spans="1:7" x14ac:dyDescent="0.2">
      <c r="A15" t="s">
        <v>16</v>
      </c>
      <c r="B15" t="s">
        <v>70</v>
      </c>
      <c r="C15" s="3">
        <v>20264000000</v>
      </c>
      <c r="D15">
        <v>4554646.5833333302</v>
      </c>
      <c r="E15" s="23">
        <v>-0.13942847476140399</v>
      </c>
      <c r="F15">
        <v>4449.0828496224804</v>
      </c>
      <c r="G15" s="2">
        <v>6.9692550278838097E-2</v>
      </c>
    </row>
    <row r="16" spans="1:7" x14ac:dyDescent="0.2">
      <c r="A16" s="4" t="s">
        <v>17</v>
      </c>
      <c r="B16" s="4" t="str" cm="1">
        <f t="array" ref="B16">CONCATENATE("FY",RIGHT(INDEX(Table1[],ROWS(Table1[]),2),2)+1)</f>
        <v>FY26</v>
      </c>
      <c r="C16" s="5">
        <f>D16*F16</f>
        <v>20925798531.119946</v>
      </c>
      <c r="D16" s="4" cm="1">
        <f t="array" ref="D16">(1+Graph!$P$20)*INDEX(Table1[],ROWS(Table1[]),4)</f>
        <v>4637085.6864916636</v>
      </c>
      <c r="E16" s="23"/>
      <c r="F16" s="5" cm="1">
        <f t="array" ref="F16">(1+Graph!$R$20)*INDEX(Table1[],ROWS(Table1[]),6)</f>
        <v>4512.7047343720815</v>
      </c>
    </row>
    <row r="17" spans="1:6" x14ac:dyDescent="0.2">
      <c r="A17" s="4" t="s">
        <v>17</v>
      </c>
      <c r="B17" s="4" t="str">
        <f>CONCATENATE("FY",RIGHT(B16,2)+1)</f>
        <v>FY27</v>
      </c>
      <c r="C17" s="5">
        <f>D17*F17</f>
        <v>21609210627.962036</v>
      </c>
      <c r="D17" s="4">
        <f>(1+Graph!$P$20)*D16</f>
        <v>4721016.9374171626</v>
      </c>
      <c r="E17" s="23"/>
      <c r="F17" s="5">
        <f>(1+Graph!$R$20)*F16</f>
        <v>4577.236412073602</v>
      </c>
    </row>
    <row r="18" spans="1:6" x14ac:dyDescent="0.2">
      <c r="A18" s="4" t="s">
        <v>17</v>
      </c>
      <c r="B18" s="4" t="str">
        <f>CONCATENATE("FY",RIGHT(B17,2)+1)</f>
        <v>FY28</v>
      </c>
      <c r="C18" s="5">
        <f>D18*F18</f>
        <v>22314942164.294842</v>
      </c>
      <c r="D18" s="4">
        <f>(1+Graph!$P$20)*D17</f>
        <v>4806467.343984413</v>
      </c>
      <c r="E18" s="23"/>
      <c r="F18" s="5">
        <f>(1+Graph!$R$20)*F17</f>
        <v>4642.6908927662544</v>
      </c>
    </row>
    <row r="19" spans="1:6" x14ac:dyDescent="0.2">
      <c r="A19" s="4" t="s">
        <v>17</v>
      </c>
      <c r="B19" s="4" t="str">
        <f t="shared" ref="B19:B20" si="0">CONCATENATE("FY",RIGHT(B18,2)+1)</f>
        <v>FY29</v>
      </c>
      <c r="C19" s="5">
        <f t="shared" ref="C19:C20" si="1">D19*F19</f>
        <v>23043722066.898376</v>
      </c>
      <c r="D19" s="4">
        <f>(1+Graph!$P$20)*D18</f>
        <v>4893464.4029105306</v>
      </c>
      <c r="E19" s="23"/>
      <c r="F19" s="5">
        <f>(1+Graph!$R$20)*F18</f>
        <v>4709.0813725328117</v>
      </c>
    </row>
    <row r="20" spans="1:6" x14ac:dyDescent="0.2">
      <c r="A20" s="4" t="s">
        <v>17</v>
      </c>
      <c r="B20" s="4" t="str">
        <f t="shared" si="0"/>
        <v>FY30</v>
      </c>
      <c r="C20" s="5">
        <f t="shared" si="1"/>
        <v>23796303068.44846</v>
      </c>
      <c r="D20" s="4">
        <f>(1+Graph!$P$20)*D19</f>
        <v>4982036.1086032111</v>
      </c>
      <c r="E20" s="23"/>
      <c r="F20" s="5">
        <f>(1+Graph!$R$20)*F19</f>
        <v>4776.4212361600312</v>
      </c>
    </row>
  </sheetData>
  <sheetProtection sheet="1" objects="1" scenarios="1"/>
  <sortState xmlns:xlrd2="http://schemas.microsoft.com/office/spreadsheetml/2017/richdata2" ref="B2:G15">
    <sortCondition ref="B2:B15"/>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2025-07-21T18:27:42Z</dcterms:modified>
</cp:coreProperties>
</file>