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215"/>
  </bookViews>
  <sheets>
    <sheet name="RESUMEN" sheetId="7" r:id="rId1"/>
    <sheet name="L1" sheetId="1" r:id="rId2"/>
    <sheet name="CAMPO-L1" sheetId="2" r:id="rId3"/>
    <sheet name="L2" sheetId="3" r:id="rId4"/>
    <sheet name="CAMPO-L2" sheetId="4" r:id="rId5"/>
    <sheet name="L7" sheetId="5" r:id="rId6"/>
    <sheet name="CAMPO-L7" sheetId="6" r:id="rId7"/>
  </sheets>
  <externalReferences>
    <externalReference r:id="rId8"/>
  </externalReferences>
  <definedNames>
    <definedName name="_xlnm.Print_Area" localSheetId="2">'CAMPO-L1'!$A$1:$G$37</definedName>
    <definedName name="_xlnm.Print_Area" localSheetId="4">'CAMPO-L2'!$A$1:$G$35</definedName>
    <definedName name="_xlnm.Print_Area" localSheetId="6">'CAMPO-L7'!$A$1:$G$26</definedName>
    <definedName name="_xlnm.Print_Area" localSheetId="1">'L1'!$A$1:$N$72</definedName>
    <definedName name="_xlnm.Print_Area" localSheetId="3">'L2'!$A$1:$M$70</definedName>
    <definedName name="_xlnm.Print_Area" localSheetId="5">'L7'!$A$1:$M$52</definedName>
  </definedNames>
  <calcPr calcId="144525"/>
</workbook>
</file>

<file path=xl/calcChain.xml><?xml version="1.0" encoding="utf-8"?>
<calcChain xmlns="http://schemas.openxmlformats.org/spreadsheetml/2006/main">
  <c r="DD54" i="7" l="1"/>
  <c r="DD53" i="7"/>
  <c r="DD52" i="7"/>
  <c r="DD55" i="7" s="1"/>
  <c r="DD51" i="7"/>
  <c r="DD50" i="7"/>
  <c r="DD49" i="7"/>
  <c r="DD48" i="7"/>
  <c r="DD46" i="7"/>
  <c r="DD45" i="7"/>
  <c r="DD47" i="7" s="1"/>
  <c r="DD43" i="7"/>
  <c r="DD42" i="7"/>
  <c r="DD41" i="7"/>
  <c r="DD40" i="7"/>
  <c r="DC40" i="7"/>
  <c r="DD38" i="7"/>
  <c r="DD39" i="7" s="1"/>
  <c r="DD37" i="7"/>
  <c r="DD36" i="7"/>
  <c r="DD35" i="7"/>
  <c r="DD33" i="7"/>
  <c r="DD32" i="7"/>
  <c r="DD29" i="7"/>
  <c r="DD30" i="7"/>
  <c r="DD28" i="7"/>
  <c r="DD26" i="7"/>
  <c r="DD27" i="7" s="1"/>
  <c r="DD24" i="7"/>
  <c r="DD25" i="7" s="1"/>
  <c r="DD23" i="7"/>
  <c r="DD22" i="7"/>
  <c r="DD21" i="7"/>
  <c r="DD20" i="7"/>
  <c r="DD19" i="7"/>
  <c r="DD15" i="7"/>
  <c r="DD14" i="7"/>
  <c r="DD13" i="7"/>
  <c r="DD10" i="7"/>
  <c r="DD7" i="7"/>
  <c r="DD6" i="7"/>
  <c r="DD2" i="7"/>
  <c r="DD5" i="7" s="1"/>
  <c r="DC43" i="7"/>
  <c r="DC38" i="7"/>
  <c r="DC39" i="7" s="1"/>
  <c r="DC32" i="7"/>
  <c r="DC45" i="7" s="1"/>
  <c r="DC23" i="7"/>
  <c r="DC51" i="7" s="1"/>
  <c r="DC54" i="7" s="1"/>
  <c r="DC20" i="7"/>
  <c r="DC41" i="7" s="1"/>
  <c r="DC19" i="7"/>
  <c r="DC15" i="7"/>
  <c r="DC14" i="7"/>
  <c r="DC13" i="7"/>
  <c r="DC10" i="7"/>
  <c r="DC21" i="7" s="1"/>
  <c r="DC6" i="7"/>
  <c r="DC33" i="7" s="1"/>
  <c r="DC2" i="7"/>
  <c r="DC5" i="7" s="1"/>
  <c r="DD31" i="7" l="1"/>
  <c r="DC36" i="7"/>
  <c r="DC46" i="7"/>
  <c r="DC37" i="7"/>
  <c r="DC48" i="7"/>
  <c r="DC22" i="7"/>
  <c r="DC26" i="7"/>
  <c r="DC27" i="7" s="1"/>
  <c r="DC30" i="7"/>
  <c r="DC35" i="7"/>
  <c r="DC47" i="7" s="1"/>
  <c r="DC49" i="7"/>
  <c r="DC52" i="7" s="1"/>
  <c r="DC24" i="7"/>
  <c r="DC25" i="7" s="1"/>
  <c r="DC28" i="7"/>
  <c r="DC50" i="7"/>
  <c r="DC53" i="7" s="1"/>
  <c r="DC29" i="7"/>
  <c r="DC42" i="7"/>
  <c r="DC31" i="7" l="1"/>
  <c r="DC55" i="7"/>
  <c r="C26" i="6" l="1"/>
  <c r="F26" i="6" s="1"/>
  <c r="L46" i="5"/>
  <c r="K46" i="5"/>
  <c r="J46" i="5"/>
  <c r="I46" i="5"/>
  <c r="H46" i="5"/>
  <c r="G46" i="5"/>
  <c r="F46" i="5"/>
  <c r="E46" i="5"/>
  <c r="D46" i="5"/>
  <c r="L45" i="5"/>
  <c r="K45" i="5"/>
  <c r="K47" i="5" s="1"/>
  <c r="J45" i="5"/>
  <c r="J47" i="5" s="1"/>
  <c r="I45" i="5"/>
  <c r="I47" i="5" s="1"/>
  <c r="H45" i="5"/>
  <c r="H47" i="5" s="1"/>
  <c r="G45" i="5"/>
  <c r="F45" i="5"/>
  <c r="E45" i="5"/>
  <c r="F49" i="5" s="1"/>
  <c r="C45" i="5"/>
  <c r="C35" i="4"/>
  <c r="F35" i="4" s="1"/>
  <c r="L64" i="3"/>
  <c r="K64" i="3"/>
  <c r="J64" i="3"/>
  <c r="I64" i="3"/>
  <c r="H64" i="3"/>
  <c r="G64" i="3"/>
  <c r="F64" i="3"/>
  <c r="E64" i="3"/>
  <c r="D64" i="3"/>
  <c r="L63" i="3"/>
  <c r="K63" i="3"/>
  <c r="K65" i="3" s="1"/>
  <c r="J63" i="3"/>
  <c r="J65" i="3" s="1"/>
  <c r="I63" i="3"/>
  <c r="I65" i="3" s="1"/>
  <c r="H63" i="3"/>
  <c r="H65" i="3" s="1"/>
  <c r="F68" i="3" s="1"/>
  <c r="F69" i="3" s="1"/>
  <c r="E63" i="3"/>
  <c r="F67" i="3" s="1"/>
  <c r="C63" i="3"/>
  <c r="C36" i="2"/>
  <c r="F36" i="2" s="1"/>
  <c r="H65" i="1"/>
  <c r="H67" i="1" s="1"/>
  <c r="E65" i="1"/>
  <c r="F69" i="1" s="1"/>
  <c r="C65" i="1"/>
  <c r="M66" i="1"/>
  <c r="L66" i="1"/>
  <c r="K66" i="1"/>
  <c r="J66" i="1"/>
  <c r="I66" i="1"/>
  <c r="H66" i="1"/>
  <c r="G66" i="1"/>
  <c r="F66" i="1"/>
  <c r="E66" i="1"/>
  <c r="D66" i="1"/>
  <c r="M65" i="1"/>
  <c r="L65" i="1"/>
  <c r="L67" i="1" s="1"/>
  <c r="K65" i="1"/>
  <c r="K67" i="1" s="1"/>
  <c r="J65" i="1"/>
  <c r="J67" i="1" s="1"/>
  <c r="I65" i="1"/>
  <c r="I67" i="1" s="1"/>
  <c r="F50" i="5" l="1"/>
  <c r="F51" i="5" s="1"/>
  <c r="L49" i="5"/>
  <c r="L67" i="3"/>
  <c r="L68" i="3"/>
  <c r="F70" i="1"/>
  <c r="L70" i="1" s="1"/>
  <c r="L69" i="1"/>
  <c r="L50" i="5" l="1"/>
  <c r="F71" i="1"/>
</calcChain>
</file>

<file path=xl/comments1.xml><?xml version="1.0" encoding="utf-8"?>
<comments xmlns="http://schemas.openxmlformats.org/spreadsheetml/2006/main">
  <authors>
    <author>HECTOR LEON HIDALGO</author>
  </authors>
  <commentList>
    <comment ref="DC1" authorId="0">
      <text>
        <r>
          <rPr>
            <b/>
            <sz val="9"/>
            <color indexed="81"/>
            <rFont val="Tahoma"/>
            <family val="2"/>
          </rPr>
          <t>HECTOR LEON HIDALGO:</t>
        </r>
        <r>
          <rPr>
            <sz val="9"/>
            <color indexed="81"/>
            <rFont val="Tahoma"/>
            <family val="2"/>
          </rPr>
          <t xml:space="preserve">
subio el Vap Feed un 2,5% de 214.00 a 219.33</t>
        </r>
      </text>
    </comment>
    <comment ref="B7" authorId="0">
      <text>
        <r>
          <rPr>
            <b/>
            <sz val="12"/>
            <color indexed="81"/>
            <rFont val="Tahoma"/>
            <family val="2"/>
          </rPr>
          <t>HECTOR LEON HIDALGO:</t>
        </r>
        <r>
          <rPr>
            <sz val="12"/>
            <color indexed="81"/>
            <rFont val="Tahoma"/>
            <family val="2"/>
          </rPr>
          <t xml:space="preserve">
NUEVO: pruebas en L7 para valorar si se puede hacer el cambio por csto</t>
        </r>
      </text>
    </comment>
    <comment ref="DD10" authorId="0">
      <text>
        <r>
          <rPr>
            <b/>
            <sz val="9"/>
            <color indexed="81"/>
            <rFont val="Tahoma"/>
            <family val="2"/>
          </rPr>
          <t>HECTOR LEON HIDALGO:</t>
        </r>
        <r>
          <rPr>
            <sz val="9"/>
            <color indexed="81"/>
            <rFont val="Tahoma"/>
            <family val="2"/>
          </rPr>
          <t xml:space="preserve">
Se bajó por instrucción de Osman Marín</t>
        </r>
      </text>
    </comment>
    <comment ref="DD37" authorId="0">
      <text>
        <r>
          <rPr>
            <b/>
            <sz val="9"/>
            <color indexed="81"/>
            <rFont val="Tahoma"/>
            <family val="2"/>
          </rPr>
          <t>HECTOR LEON HIDALGO:</t>
        </r>
        <r>
          <rPr>
            <sz val="9"/>
            <color indexed="81"/>
            <rFont val="Tahoma"/>
            <family val="2"/>
          </rPr>
          <t xml:space="preserve">
EFECTO APOLO SOLO EN UNA FINCA</t>
        </r>
      </text>
    </comment>
  </commentList>
</comments>
</file>

<file path=xl/sharedStrings.xml><?xml version="1.0" encoding="utf-8"?>
<sst xmlns="http://schemas.openxmlformats.org/spreadsheetml/2006/main" count="178" uniqueCount="108">
  <si>
    <t>Número Vaca</t>
  </si>
  <si>
    <t>Número Parto</t>
  </si>
  <si>
    <t>Kilos Leche</t>
  </si>
  <si>
    <t>Días Lactancia</t>
  </si>
  <si>
    <t>Días Preñez</t>
  </si>
  <si>
    <t>VAP FEED</t>
  </si>
  <si>
    <t>PROLAC</t>
  </si>
  <si>
    <t>CITROCOM</t>
  </si>
  <si>
    <t>MULTIPLEX ORO</t>
  </si>
  <si>
    <t>HENO ARROZ</t>
  </si>
  <si>
    <t>ESTRELLA R1 DIC-18</t>
  </si>
  <si>
    <t>PRIMERA</t>
  </si>
  <si>
    <t>SEGUNDA</t>
  </si>
  <si>
    <t>TERCERA</t>
  </si>
  <si>
    <t>CONSULTORES EN AGROGESTION, S.A.</t>
  </si>
  <si>
    <t>CANTIDAD DE ALIMENTOS POR VACA L1</t>
  </si>
  <si>
    <t>FINCA SAN LUIS, OSMAN MARIN, 25/02/2019</t>
  </si>
  <si>
    <t>TOTALES</t>
  </si>
  <si>
    <t>PROMEDIOS</t>
  </si>
  <si>
    <t>SACOS/SEMANA</t>
  </si>
  <si>
    <t>Ingreso por semana</t>
  </si>
  <si>
    <t>RELACIÓN L:C SOLO VAP FEED</t>
  </si>
  <si>
    <t>Gasto por semana</t>
  </si>
  <si>
    <t>RELACIÓN L:C A VALOR VAP FEED</t>
  </si>
  <si>
    <t>Gasto sobre Ingreso</t>
  </si>
  <si>
    <t>Sacos por día</t>
  </si>
  <si>
    <t>Sacos por semana</t>
  </si>
  <si>
    <t>200 gramos GRACETTO</t>
  </si>
  <si>
    <t>ESTRELLA R2 DIC-2018</t>
  </si>
  <si>
    <t>CANTIDAD DE ALIMENTOS POR VACA L2</t>
  </si>
  <si>
    <t>ESTRELLA R7 DIC-2018</t>
  </si>
  <si>
    <t>CANTIDAD DE ALIMENTOS POR VACA L7</t>
  </si>
  <si>
    <t>APOLO 16</t>
  </si>
  <si>
    <t>COMPRAS SEMANALES</t>
  </si>
  <si>
    <t>31-11-2017</t>
  </si>
  <si>
    <t>TOTAL DE VACAS EN ORDEÑO</t>
  </si>
  <si>
    <t>TOTAL DE VACAS CON LACTOTROPINA (promedio mes)</t>
  </si>
  <si>
    <t>DÍAS LACTANCIA PROMEDIO</t>
  </si>
  <si>
    <t>CARGA ANIMAL (VACAS PRODUCCIÓN/HECTÁREA)</t>
  </si>
  <si>
    <t>VAP FEED (quintales)</t>
  </si>
  <si>
    <t>HARINA DE SOYA (quintales)</t>
  </si>
  <si>
    <t>FIBROSO SM (quintales)</t>
  </si>
  <si>
    <t>CASCARILLA DE SOYA (quintales) 40 KG</t>
  </si>
  <si>
    <t>DESTILADOS DE MAÍZ (quintales)</t>
  </si>
  <si>
    <t>PROLAC (bolsas)</t>
  </si>
  <si>
    <t>MULTIPLEX ORO (bolsas)</t>
  </si>
  <si>
    <t>HENO (pacas)</t>
  </si>
  <si>
    <t>CAÑA DE AZÚCAR (TM)</t>
  </si>
  <si>
    <t>MELAZA (estañon de 320 kilos)</t>
  </si>
  <si>
    <t>INDICES DE EVALUACIÓN POR SEMANA</t>
  </si>
  <si>
    <t>PRODUCCIÓN TOTAL PROYECTADA</t>
  </si>
  <si>
    <t>TOTAL GRANO CONSUMIDO</t>
  </si>
  <si>
    <t>RELACIÓN TÉCNICA GLOBAL L:C</t>
  </si>
  <si>
    <t>PRODUCCIÓN TOTAL REAL</t>
  </si>
  <si>
    <t>DIFERENCIA PROD PROY VRS REAL</t>
  </si>
  <si>
    <t>DIFERENCIA PROD PROY VRS REAL (%)</t>
  </si>
  <si>
    <t>PRODUCCIÓN DIARIA REAL</t>
  </si>
  <si>
    <t>PRODUCCIÓN POTENCIAL ADICIONAL POR DÍA</t>
  </si>
  <si>
    <t>RELACIÓN TÉCNICA GLOBAL L:C LECHE REAL</t>
  </si>
  <si>
    <t>PROMEDIO KILOS VAP FEED/VACA/DIA</t>
  </si>
  <si>
    <t>PROMEDIO KILOS OTROS GRANOS/VACA/DÍA</t>
  </si>
  <si>
    <t>PROMEDIO KILOS GRANO TOTAL/VACA/DÍA</t>
  </si>
  <si>
    <t>INGRESO TOTAL REAL</t>
  </si>
  <si>
    <t>GASTO EN GRANO</t>
  </si>
  <si>
    <t>COSTO LACTOTROPINA POR SEMANA (4,175 C/U)</t>
  </si>
  <si>
    <t>INGRESO MARGINAL (ingreso total - gasto en grano)</t>
  </si>
  <si>
    <t>RELACIÓN ECONÓMICA GLOBAL L:C PROYECTADA</t>
  </si>
  <si>
    <t>% ALIMENTACIÓN GRANO DEL INGRESO TOTAL</t>
  </si>
  <si>
    <t>VALOR DE LIQUIDEZ DOS PINOS</t>
  </si>
  <si>
    <t>VALOR DE LIQUIDEZ DOS PINOS %</t>
  </si>
  <si>
    <t>NECESIDAD DIARIA DE PASTO/M2 PROMEDIO (40%)</t>
  </si>
  <si>
    <t>PROMEDIO KILOS DE LECHE/VACA/DÍA PROYECTADO</t>
  </si>
  <si>
    <t>PROMEDIO KILOS DE LECHE/VACA/DÍA LECHE REAL</t>
  </si>
  <si>
    <t>RELACIÓN GRASA:PROTEÍNA DE LA LIQUIDACIÓN</t>
  </si>
  <si>
    <t>MUN EN LA BOLETA DE PAGO</t>
  </si>
  <si>
    <t>14.08 y 15.72</t>
  </si>
  <si>
    <t>17.08 y 18.02</t>
  </si>
  <si>
    <t>12.95 y 16.46</t>
  </si>
  <si>
    <t>15.32 y 15.61</t>
  </si>
  <si>
    <t>11.8 y 12.1</t>
  </si>
  <si>
    <t>ND</t>
  </si>
  <si>
    <t>15.32 y 12.14</t>
  </si>
  <si>
    <t>14.6 y 16.6</t>
  </si>
  <si>
    <t>19.5 y 17.03</t>
  </si>
  <si>
    <t>17.42 y 16.89</t>
  </si>
  <si>
    <t>13.41 y 12.82</t>
  </si>
  <si>
    <t>13.73 y 12.25</t>
  </si>
  <si>
    <t>12.32 y 10.76</t>
  </si>
  <si>
    <t>14.3 Y 13.2</t>
  </si>
  <si>
    <t>10.35 y 11.63</t>
  </si>
  <si>
    <t>10.75 y 11.57</t>
  </si>
  <si>
    <t>14.4 y nd</t>
  </si>
  <si>
    <t>15.47 y 13.74</t>
  </si>
  <si>
    <t>PRECIO DE LA LECHE (kilo)</t>
  </si>
  <si>
    <t>COSTO POR KILO DE GRANO</t>
  </si>
  <si>
    <t>KILOS LIBRES POR VACA POR DÍA (RESTANDO GASTO)</t>
  </si>
  <si>
    <t>COSTO POR VACA POR DÍA</t>
  </si>
  <si>
    <t>% SOLIDOS TOTALES</t>
  </si>
  <si>
    <t>% GRASA</t>
  </si>
  <si>
    <t>% PROTEINA</t>
  </si>
  <si>
    <t>KILOS SOLIDOS TOTALES</t>
  </si>
  <si>
    <t>KILOS GRASA</t>
  </si>
  <si>
    <t>KILOS PROTEÍNA</t>
  </si>
  <si>
    <t>KILOS LACTOSA+MINERALES</t>
  </si>
  <si>
    <t>CONTEO CÉLULAS SOMÁTICAS 3801</t>
  </si>
  <si>
    <t>CONTEO CÉLULAS SOMÁTICAS 3802</t>
  </si>
  <si>
    <t>APOLO 16 (quintales)</t>
  </si>
  <si>
    <t>17.9 y 15.7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</si>
</sst>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₡-140A]#,##0.00"/>
    <numFmt numFmtId="166" formatCode="0.0%"/>
    <numFmt numFmtId="168" formatCode="#,##0.0"/>
    <numFmt numFmtId="169" formatCode="#,##0.00\ _€"/>
    <numFmt numFmtId="170" formatCode="&quot;₡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 Unicode"/>
      <family val="2"/>
    </font>
    <font>
      <b/>
      <sz val="10"/>
      <name val="Lucida Sans Unicode"/>
      <family val="2"/>
    </font>
    <font>
      <sz val="10"/>
      <name val="Lucida Sans Unicode"/>
      <family val="2"/>
    </font>
    <font>
      <sz val="18"/>
      <color theme="1"/>
      <name val="Calibri"/>
      <family val="2"/>
      <scheme val="minor"/>
    </font>
    <font>
      <b/>
      <sz val="18"/>
      <color theme="1"/>
      <name val="Lucida Sans Unicode"/>
      <family val="2"/>
    </font>
    <font>
      <sz val="18"/>
      <name val="Lucida Sans Unicode"/>
      <family val="2"/>
    </font>
    <font>
      <b/>
      <sz val="18"/>
      <name val="Lucida Sans Unicode"/>
      <family val="2"/>
    </font>
    <font>
      <b/>
      <sz val="12"/>
      <name val="Lucida Sans Unicode"/>
      <family val="2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14"/>
      <name val="Lucida Sans Unicode"/>
      <family val="2"/>
    </font>
    <font>
      <sz val="14"/>
      <name val="Lucida Sans Unicode"/>
      <family val="2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5" fontId="5" fillId="2" borderId="0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right" vertical="center" wrapText="1"/>
    </xf>
    <xf numFmtId="2" fontId="4" fillId="3" borderId="11" xfId="0" applyNumberFormat="1" applyFont="1" applyFill="1" applyBorder="1" applyAlignment="1">
      <alignment horizontal="left" vertical="center"/>
    </xf>
    <xf numFmtId="166" fontId="4" fillId="2" borderId="8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2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164" fontId="8" fillId="3" borderId="1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4" fontId="8" fillId="3" borderId="15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10" fillId="2" borderId="0" xfId="0" applyNumberFormat="1" applyFont="1" applyFill="1" applyAlignment="1">
      <alignment horizontal="right" vertical="center"/>
    </xf>
    <xf numFmtId="1" fontId="9" fillId="2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0" fontId="0" fillId="3" borderId="13" xfId="0" applyFill="1" applyBorder="1"/>
    <xf numFmtId="2" fontId="4" fillId="3" borderId="6" xfId="0" applyNumberFormat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0" fillId="3" borderId="8" xfId="0" applyFill="1" applyBorder="1"/>
    <xf numFmtId="1" fontId="4" fillId="2" borderId="10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8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14" fontId="16" fillId="5" borderId="0" xfId="0" applyNumberFormat="1" applyFont="1" applyFill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5" fillId="2" borderId="0" xfId="0" applyFont="1" applyFill="1" applyAlignment="1">
      <alignment vertical="center"/>
    </xf>
    <xf numFmtId="3" fontId="15" fillId="2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3" fontId="18" fillId="4" borderId="0" xfId="0" applyNumberFormat="1" applyFont="1" applyFill="1" applyAlignment="1">
      <alignment horizontal="center" vertical="center"/>
    </xf>
    <xf numFmtId="3" fontId="18" fillId="2" borderId="0" xfId="0" applyNumberFormat="1" applyFont="1" applyFill="1" applyAlignment="1">
      <alignment horizontal="center" vertical="center"/>
    </xf>
    <xf numFmtId="3" fontId="19" fillId="5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vertical="center"/>
    </xf>
    <xf numFmtId="3" fontId="15" fillId="6" borderId="0" xfId="0" applyNumberFormat="1" applyFont="1" applyFill="1" applyAlignment="1">
      <alignment horizontal="center" vertical="center"/>
    </xf>
    <xf numFmtId="3" fontId="15" fillId="7" borderId="0" xfId="0" applyNumberFormat="1" applyFont="1" applyFill="1" applyAlignment="1">
      <alignment horizontal="center" vertical="center"/>
    </xf>
    <xf numFmtId="3" fontId="15" fillId="8" borderId="0" xfId="0" applyNumberFormat="1" applyFont="1" applyFill="1" applyAlignment="1">
      <alignment horizontal="center" vertical="center"/>
    </xf>
    <xf numFmtId="3" fontId="20" fillId="5" borderId="0" xfId="0" applyNumberFormat="1" applyFont="1" applyFill="1" applyAlignment="1">
      <alignment horizontal="center" vertical="center"/>
    </xf>
    <xf numFmtId="168" fontId="15" fillId="2" borderId="0" xfId="0" applyNumberFormat="1" applyFont="1" applyFill="1" applyAlignment="1">
      <alignment horizontal="center" vertical="center"/>
    </xf>
    <xf numFmtId="168" fontId="15" fillId="4" borderId="0" xfId="0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1" fontId="18" fillId="2" borderId="0" xfId="0" applyNumberFormat="1" applyFont="1" applyFill="1" applyAlignment="1">
      <alignment horizontal="center" vertical="center"/>
    </xf>
    <xf numFmtId="1" fontId="21" fillId="4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" fontId="18" fillId="4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8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3" fontId="21" fillId="4" borderId="0" xfId="0" applyNumberFormat="1" applyFont="1" applyFill="1" applyAlignment="1">
      <alignment horizontal="center" vertical="center"/>
    </xf>
    <xf numFmtId="4" fontId="15" fillId="2" borderId="0" xfId="0" applyNumberFormat="1" applyFont="1" applyFill="1" applyAlignment="1">
      <alignment horizontal="center" vertical="center"/>
    </xf>
    <xf numFmtId="4" fontId="21" fillId="4" borderId="0" xfId="0" applyNumberFormat="1" applyFont="1" applyFill="1" applyAlignment="1">
      <alignment horizontal="center" vertical="center"/>
    </xf>
    <xf numFmtId="166" fontId="15" fillId="2" borderId="0" xfId="1" applyNumberFormat="1" applyFont="1" applyFill="1" applyAlignment="1">
      <alignment horizontal="center" vertical="center"/>
    </xf>
    <xf numFmtId="166" fontId="19" fillId="5" borderId="0" xfId="1" applyNumberFormat="1" applyFont="1" applyFill="1" applyAlignment="1">
      <alignment horizontal="center" vertical="center"/>
    </xf>
    <xf numFmtId="166" fontId="18" fillId="2" borderId="0" xfId="1" applyNumberFormat="1" applyFont="1" applyFill="1" applyAlignment="1">
      <alignment horizontal="center" vertical="center"/>
    </xf>
    <xf numFmtId="166" fontId="20" fillId="5" borderId="0" xfId="1" applyNumberFormat="1" applyFont="1" applyFill="1" applyAlignment="1">
      <alignment horizontal="center" vertical="center"/>
    </xf>
    <xf numFmtId="166" fontId="15" fillId="4" borderId="0" xfId="1" applyNumberFormat="1" applyFont="1" applyFill="1" applyAlignment="1">
      <alignment horizontal="center" vertical="center"/>
    </xf>
    <xf numFmtId="166" fontId="22" fillId="4" borderId="0" xfId="1" applyNumberFormat="1" applyFont="1" applyFill="1" applyAlignment="1">
      <alignment horizontal="center" vertical="center"/>
    </xf>
    <xf numFmtId="166" fontId="21" fillId="4" borderId="0" xfId="1" applyNumberFormat="1" applyFont="1" applyFill="1" applyAlignment="1">
      <alignment horizontal="center" vertical="center"/>
    </xf>
    <xf numFmtId="3" fontId="23" fillId="4" borderId="0" xfId="0" applyNumberFormat="1" applyFont="1" applyFill="1" applyAlignment="1">
      <alignment horizontal="center" vertical="center"/>
    </xf>
    <xf numFmtId="3" fontId="15" fillId="9" borderId="0" xfId="0" applyNumberFormat="1" applyFont="1" applyFill="1" applyAlignment="1">
      <alignment horizontal="center" vertical="center"/>
    </xf>
    <xf numFmtId="4" fontId="15" fillId="4" borderId="0" xfId="0" applyNumberFormat="1" applyFont="1" applyFill="1" applyAlignment="1">
      <alignment horizontal="center" vertical="center"/>
    </xf>
    <xf numFmtId="4" fontId="20" fillId="5" borderId="0" xfId="0" applyNumberFormat="1" applyFont="1" applyFill="1" applyAlignment="1">
      <alignment horizontal="center" vertical="center"/>
    </xf>
    <xf numFmtId="4" fontId="18" fillId="2" borderId="0" xfId="0" applyNumberFormat="1" applyFont="1" applyFill="1" applyAlignment="1">
      <alignment horizontal="center" vertical="center"/>
    </xf>
    <xf numFmtId="4" fontId="18" fillId="4" borderId="0" xfId="0" applyNumberFormat="1" applyFont="1" applyFill="1" applyAlignment="1">
      <alignment horizontal="center" vertical="center"/>
    </xf>
    <xf numFmtId="4" fontId="23" fillId="4" borderId="0" xfId="0" applyNumberFormat="1" applyFont="1" applyFill="1" applyAlignment="1">
      <alignment horizontal="center" vertical="center"/>
    </xf>
    <xf numFmtId="168" fontId="21" fillId="4" borderId="0" xfId="0" applyNumberFormat="1" applyFont="1" applyFill="1" applyAlignment="1">
      <alignment horizontal="center" vertical="center"/>
    </xf>
    <xf numFmtId="169" fontId="15" fillId="2" borderId="0" xfId="0" applyNumberFormat="1" applyFont="1" applyFill="1" applyAlignment="1">
      <alignment horizontal="center" vertical="center"/>
    </xf>
    <xf numFmtId="169" fontId="18" fillId="2" borderId="0" xfId="0" applyNumberFormat="1" applyFont="1" applyFill="1" applyAlignment="1">
      <alignment horizontal="center" vertical="center"/>
    </xf>
    <xf numFmtId="169" fontId="20" fillId="5" borderId="0" xfId="0" applyNumberFormat="1" applyFont="1" applyFill="1" applyAlignment="1">
      <alignment horizontal="center" vertical="center"/>
    </xf>
    <xf numFmtId="169" fontId="21" fillId="4" borderId="0" xfId="0" applyNumberFormat="1" applyFont="1" applyFill="1" applyAlignment="1">
      <alignment horizontal="center" vertical="center"/>
    </xf>
    <xf numFmtId="169" fontId="15" fillId="4" borderId="0" xfId="0" applyNumberFormat="1" applyFont="1" applyFill="1" applyAlignment="1">
      <alignment horizontal="center" vertical="center"/>
    </xf>
    <xf numFmtId="169" fontId="15" fillId="6" borderId="0" xfId="0" applyNumberFormat="1" applyFont="1" applyFill="1" applyAlignment="1">
      <alignment horizontal="center" vertical="center"/>
    </xf>
    <xf numFmtId="166" fontId="15" fillId="5" borderId="0" xfId="1" applyNumberFormat="1" applyFont="1" applyFill="1" applyAlignment="1">
      <alignment horizontal="center" vertical="center"/>
    </xf>
    <xf numFmtId="166" fontId="20" fillId="2" borderId="0" xfId="1" applyNumberFormat="1" applyFont="1" applyFill="1" applyAlignment="1">
      <alignment horizontal="center" vertical="center"/>
    </xf>
    <xf numFmtId="166" fontId="23" fillId="2" borderId="0" xfId="1" applyNumberFormat="1" applyFont="1" applyFill="1" applyAlignment="1">
      <alignment horizontal="center" vertical="center"/>
    </xf>
    <xf numFmtId="166" fontId="23" fillId="4" borderId="0" xfId="1" applyNumberFormat="1" applyFont="1" applyFill="1" applyAlignment="1">
      <alignment horizontal="center" vertical="center"/>
    </xf>
    <xf numFmtId="166" fontId="18" fillId="4" borderId="0" xfId="1" applyNumberFormat="1" applyFont="1" applyFill="1" applyAlignment="1">
      <alignment horizontal="center" vertical="center"/>
    </xf>
    <xf numFmtId="168" fontId="15" fillId="8" borderId="0" xfId="0" applyNumberFormat="1" applyFont="1" applyFill="1" applyAlignment="1">
      <alignment horizontal="center" vertical="center"/>
    </xf>
    <xf numFmtId="168" fontId="20" fillId="5" borderId="0" xfId="0" applyNumberFormat="1" applyFont="1" applyFill="1" applyAlignment="1">
      <alignment horizontal="center" vertical="center"/>
    </xf>
    <xf numFmtId="168" fontId="18" fillId="4" borderId="0" xfId="0" applyNumberFormat="1" applyFont="1" applyFill="1" applyAlignment="1">
      <alignment horizontal="center" vertical="center"/>
    </xf>
    <xf numFmtId="168" fontId="22" fillId="4" borderId="0" xfId="0" applyNumberFormat="1" applyFont="1" applyFill="1" applyAlignment="1">
      <alignment horizontal="center" vertical="center"/>
    </xf>
    <xf numFmtId="164" fontId="20" fillId="5" borderId="0" xfId="0" applyNumberFormat="1" applyFont="1" applyFill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8" fillId="4" borderId="0" xfId="0" applyNumberFormat="1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/>
    </xf>
    <xf numFmtId="2" fontId="22" fillId="4" borderId="0" xfId="0" applyNumberFormat="1" applyFont="1" applyFill="1" applyAlignment="1">
      <alignment horizontal="center" vertical="center"/>
    </xf>
    <xf numFmtId="170" fontId="15" fillId="2" borderId="0" xfId="0" applyNumberFormat="1" applyFont="1" applyFill="1" applyAlignment="1">
      <alignment horizontal="center" vertical="center"/>
    </xf>
    <xf numFmtId="170" fontId="19" fillId="5" borderId="0" xfId="0" applyNumberFormat="1" applyFont="1" applyFill="1" applyAlignment="1">
      <alignment horizontal="center" vertical="center"/>
    </xf>
    <xf numFmtId="170" fontId="18" fillId="2" borderId="0" xfId="0" applyNumberFormat="1" applyFont="1" applyFill="1" applyAlignment="1">
      <alignment horizontal="center" vertical="center"/>
    </xf>
    <xf numFmtId="170" fontId="18" fillId="4" borderId="0" xfId="0" applyNumberFormat="1" applyFont="1" applyFill="1" applyAlignment="1">
      <alignment horizontal="center" vertical="center"/>
    </xf>
    <xf numFmtId="170" fontId="20" fillId="5" borderId="0" xfId="0" applyNumberFormat="1" applyFont="1" applyFill="1" applyAlignment="1">
      <alignment horizontal="center" vertical="center"/>
    </xf>
    <xf numFmtId="170" fontId="15" fillId="4" borderId="0" xfId="0" applyNumberFormat="1" applyFont="1" applyFill="1" applyAlignment="1">
      <alignment horizontal="center" vertical="center"/>
    </xf>
    <xf numFmtId="170" fontId="23" fillId="4" borderId="0" xfId="0" applyNumberFormat="1" applyFont="1" applyFill="1" applyAlignment="1">
      <alignment horizontal="center" vertical="center"/>
    </xf>
    <xf numFmtId="170" fontId="22" fillId="4" borderId="0" xfId="0" applyNumberFormat="1" applyFont="1" applyFill="1" applyAlignment="1">
      <alignment horizontal="center" vertical="center"/>
    </xf>
    <xf numFmtId="170" fontId="15" fillId="9" borderId="0" xfId="0" applyNumberFormat="1" applyFont="1" applyFill="1" applyAlignment="1">
      <alignment horizontal="center" vertical="center"/>
    </xf>
    <xf numFmtId="170" fontId="15" fillId="5" borderId="0" xfId="0" applyNumberFormat="1" applyFont="1" applyFill="1" applyAlignment="1">
      <alignment horizontal="center" vertical="center"/>
    </xf>
    <xf numFmtId="164" fontId="15" fillId="9" borderId="0" xfId="0" applyNumberFormat="1" applyFont="1" applyFill="1" applyAlignment="1">
      <alignment horizontal="center" vertical="center"/>
    </xf>
    <xf numFmtId="169" fontId="18" fillId="4" borderId="0" xfId="0" applyNumberFormat="1" applyFont="1" applyFill="1" applyAlignment="1">
      <alignment horizontal="center" vertical="center"/>
    </xf>
    <xf numFmtId="10" fontId="18" fillId="2" borderId="0" xfId="1" applyNumberFormat="1" applyFont="1" applyFill="1" applyAlignment="1">
      <alignment horizontal="center" vertical="center"/>
    </xf>
    <xf numFmtId="10" fontId="15" fillId="4" borderId="0" xfId="1" applyNumberFormat="1" applyFont="1" applyFill="1" applyAlignment="1">
      <alignment horizontal="center" vertical="center"/>
    </xf>
    <xf numFmtId="10" fontId="18" fillId="4" borderId="0" xfId="1" applyNumberFormat="1" applyFont="1" applyFill="1" applyAlignment="1">
      <alignment horizontal="center" vertical="center"/>
    </xf>
    <xf numFmtId="10" fontId="15" fillId="2" borderId="0" xfId="1" applyNumberFormat="1" applyFont="1" applyFill="1" applyAlignment="1">
      <alignment horizontal="center" vertical="center"/>
    </xf>
    <xf numFmtId="10" fontId="15" fillId="10" borderId="0" xfId="1" applyNumberFormat="1" applyFont="1" applyFill="1" applyAlignment="1">
      <alignment horizontal="center" vertical="center"/>
    </xf>
    <xf numFmtId="10" fontId="20" fillId="5" borderId="0" xfId="1" applyNumberFormat="1" applyFont="1" applyFill="1" applyAlignment="1">
      <alignment horizontal="center" vertical="center"/>
    </xf>
    <xf numFmtId="10" fontId="22" fillId="4" borderId="0" xfId="1" applyNumberFormat="1" applyFont="1" applyFill="1" applyAlignment="1">
      <alignment horizontal="center" vertical="center"/>
    </xf>
    <xf numFmtId="3" fontId="22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vertical="center"/>
    </xf>
    <xf numFmtId="3" fontId="5" fillId="2" borderId="1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28-01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L1"/>
      <sheetName val="CAMPO-L1"/>
      <sheetName val="L2"/>
      <sheetName val="CAMPO-L2"/>
      <sheetName val="L7"/>
      <sheetName val="CAMPO-L7"/>
    </sheetNames>
    <sheetDataSet>
      <sheetData sheetId="0"/>
      <sheetData sheetId="1">
        <row r="61">
          <cell r="C61">
            <v>55</v>
          </cell>
          <cell r="E61">
            <v>1393.1800000000005</v>
          </cell>
          <cell r="M61">
            <v>2009.1700000000003</v>
          </cell>
        </row>
        <row r="63">
          <cell r="H63">
            <v>73.42543478260869</v>
          </cell>
          <cell r="I63">
            <v>2.1840000000000011</v>
          </cell>
          <cell r="J63">
            <v>16.739130434782609</v>
          </cell>
          <cell r="K63">
            <v>1.9249999999999985</v>
          </cell>
          <cell r="L63">
            <v>36.09375</v>
          </cell>
        </row>
      </sheetData>
      <sheetData sheetId="2"/>
      <sheetData sheetId="3">
        <row r="64">
          <cell r="C64">
            <v>58</v>
          </cell>
          <cell r="E64">
            <v>1047.8300000000004</v>
          </cell>
          <cell r="L64">
            <v>2141.04</v>
          </cell>
        </row>
        <row r="66">
          <cell r="H66">
            <v>53.352173913043472</v>
          </cell>
          <cell r="I66">
            <v>17.652173913043477</v>
          </cell>
          <cell r="J66">
            <v>2.0299999999999985</v>
          </cell>
          <cell r="K66">
            <v>38.0625</v>
          </cell>
        </row>
      </sheetData>
      <sheetData sheetId="4"/>
      <sheetData sheetId="5">
        <row r="44">
          <cell r="C44">
            <v>38</v>
          </cell>
          <cell r="E44">
            <v>810.75999999999976</v>
          </cell>
          <cell r="L44">
            <v>1243.8399999999997</v>
          </cell>
        </row>
        <row r="46">
          <cell r="H46">
            <v>42.881086956521742</v>
          </cell>
          <cell r="I46">
            <v>11.565217391304348</v>
          </cell>
          <cell r="J46">
            <v>1.3300000000000007</v>
          </cell>
          <cell r="K46">
            <v>24.9375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707"/>
  <sheetViews>
    <sheetView tabSelected="1" zoomScale="70" zoomScaleNormal="70" workbookViewId="0">
      <pane xSplit="2" ySplit="1" topLeftCell="DB2" activePane="bottomRight" state="frozen"/>
      <selection pane="topRight" activeCell="C1" sqref="C1"/>
      <selection pane="bottomLeft" activeCell="A2" sqref="A2"/>
      <selection pane="bottomRight" activeCell="DF42" sqref="DF42"/>
    </sheetView>
  </sheetViews>
  <sheetFormatPr baseColWidth="10" defaultRowHeight="15" x14ac:dyDescent="0.25"/>
  <cols>
    <col min="1" max="1" width="11.42578125" style="113"/>
    <col min="2" max="2" width="62.7109375" style="113" bestFit="1" customWidth="1"/>
    <col min="3" max="47" width="18.42578125" style="113" bestFit="1" customWidth="1"/>
    <col min="48" max="48" width="15" style="113" bestFit="1" customWidth="1"/>
    <col min="49" max="52" width="18.42578125" style="113" bestFit="1" customWidth="1"/>
    <col min="53" max="53" width="15" style="113" bestFit="1" customWidth="1"/>
    <col min="54" max="56" width="18.42578125" style="113" bestFit="1" customWidth="1"/>
    <col min="57" max="103" width="18.42578125" style="75" bestFit="1" customWidth="1"/>
    <col min="104" max="105" width="19.85546875" style="75" bestFit="1" customWidth="1"/>
    <col min="106" max="121" width="18.42578125" style="75" bestFit="1" customWidth="1"/>
    <col min="122" max="16384" width="11.42578125" style="113"/>
  </cols>
  <sheetData>
    <row r="1" spans="1:121 16384:16384" ht="18.75" x14ac:dyDescent="0.25">
      <c r="A1" s="109"/>
      <c r="B1" s="109" t="s">
        <v>33</v>
      </c>
      <c r="C1" s="110">
        <v>40661</v>
      </c>
      <c r="D1" s="110">
        <v>40681</v>
      </c>
      <c r="E1" s="110">
        <v>40698</v>
      </c>
      <c r="F1" s="110">
        <v>40721</v>
      </c>
      <c r="G1" s="110">
        <v>40743</v>
      </c>
      <c r="H1" s="110">
        <v>40763</v>
      </c>
      <c r="I1" s="110">
        <v>40789</v>
      </c>
      <c r="J1" s="110">
        <v>40817</v>
      </c>
      <c r="K1" s="110">
        <v>40835</v>
      </c>
      <c r="L1" s="110">
        <v>40845</v>
      </c>
      <c r="M1" s="110">
        <v>40882</v>
      </c>
      <c r="N1" s="110">
        <v>40907</v>
      </c>
      <c r="O1" s="110">
        <v>40924</v>
      </c>
      <c r="P1" s="111">
        <v>40936</v>
      </c>
      <c r="Q1" s="110">
        <v>40971</v>
      </c>
      <c r="R1" s="110">
        <v>41006</v>
      </c>
      <c r="S1" s="110">
        <v>41027</v>
      </c>
      <c r="T1" s="110">
        <v>41047</v>
      </c>
      <c r="U1" s="110">
        <v>41062</v>
      </c>
      <c r="V1" s="110">
        <v>41092</v>
      </c>
      <c r="W1" s="110">
        <v>41118</v>
      </c>
      <c r="X1" s="110">
        <v>41153</v>
      </c>
      <c r="Y1" s="110">
        <v>41181</v>
      </c>
      <c r="Z1" s="110">
        <v>41202</v>
      </c>
      <c r="AA1" s="110">
        <v>41238</v>
      </c>
      <c r="AB1" s="110">
        <v>41265</v>
      </c>
      <c r="AC1" s="110">
        <v>41300</v>
      </c>
      <c r="AD1" s="110">
        <v>41324</v>
      </c>
      <c r="AE1" s="110">
        <v>41349</v>
      </c>
      <c r="AF1" s="110">
        <v>41363</v>
      </c>
      <c r="AG1" s="110">
        <v>41378</v>
      </c>
      <c r="AH1" s="110">
        <v>41395</v>
      </c>
      <c r="AI1" s="110">
        <v>41415</v>
      </c>
      <c r="AJ1" s="110">
        <v>41426</v>
      </c>
      <c r="AK1" s="110">
        <v>41441</v>
      </c>
      <c r="AL1" s="110">
        <v>41455</v>
      </c>
      <c r="AM1" s="110">
        <v>41470</v>
      </c>
      <c r="AN1" s="112">
        <v>41489</v>
      </c>
      <c r="AO1" s="112">
        <v>41517</v>
      </c>
      <c r="AP1" s="112">
        <v>41532</v>
      </c>
      <c r="AQ1" s="112">
        <v>41546</v>
      </c>
      <c r="AR1" s="112">
        <v>41567</v>
      </c>
      <c r="AS1" s="112">
        <v>41587</v>
      </c>
      <c r="AT1" s="112">
        <v>41624</v>
      </c>
      <c r="AU1" s="110">
        <v>41664</v>
      </c>
      <c r="AV1" s="110">
        <v>41692</v>
      </c>
      <c r="AW1" s="110">
        <v>41713</v>
      </c>
      <c r="AX1" s="110">
        <v>41727</v>
      </c>
      <c r="AY1" s="110">
        <v>41748</v>
      </c>
      <c r="AZ1" s="110">
        <v>41769</v>
      </c>
      <c r="BA1" s="110">
        <v>41797</v>
      </c>
      <c r="BB1" s="110">
        <v>41897</v>
      </c>
      <c r="BC1" s="110">
        <v>41937</v>
      </c>
      <c r="BD1" s="110">
        <v>41966</v>
      </c>
      <c r="BE1" s="110">
        <v>41998</v>
      </c>
      <c r="BF1" s="110">
        <v>42037</v>
      </c>
      <c r="BG1" s="110">
        <v>42061</v>
      </c>
      <c r="BH1" s="110">
        <v>42082</v>
      </c>
      <c r="BI1" s="110">
        <v>42130</v>
      </c>
      <c r="BJ1" s="110">
        <v>42155</v>
      </c>
      <c r="BK1" s="110">
        <v>42181</v>
      </c>
      <c r="BL1" s="110">
        <v>42214</v>
      </c>
      <c r="BM1" s="110">
        <v>42240</v>
      </c>
      <c r="BN1" s="110">
        <v>42275</v>
      </c>
      <c r="BO1" s="110">
        <v>42305</v>
      </c>
      <c r="BP1" s="110">
        <v>42334</v>
      </c>
      <c r="BQ1" s="110">
        <v>42359</v>
      </c>
      <c r="BR1" s="110">
        <v>42394</v>
      </c>
      <c r="BS1" s="110">
        <v>42429</v>
      </c>
      <c r="BT1" s="110">
        <v>42453</v>
      </c>
      <c r="BU1" s="110">
        <v>42487</v>
      </c>
      <c r="BV1" s="110">
        <v>42520</v>
      </c>
      <c r="BW1" s="110">
        <v>42547</v>
      </c>
      <c r="BX1" s="110">
        <v>42577</v>
      </c>
      <c r="BY1" s="110">
        <v>42609</v>
      </c>
      <c r="BZ1" s="110">
        <v>42641</v>
      </c>
      <c r="CA1" s="110">
        <v>42674</v>
      </c>
      <c r="CB1" s="110">
        <v>42703</v>
      </c>
      <c r="CC1" s="110">
        <v>42731</v>
      </c>
      <c r="CD1" s="110">
        <v>42766</v>
      </c>
      <c r="CE1" s="110">
        <v>42793</v>
      </c>
      <c r="CF1" s="110">
        <v>42810</v>
      </c>
      <c r="CG1" s="110">
        <v>42826</v>
      </c>
      <c r="CH1" s="110">
        <v>42849</v>
      </c>
      <c r="CI1" s="110">
        <v>42879</v>
      </c>
      <c r="CJ1" s="110">
        <v>42915</v>
      </c>
      <c r="CK1" s="110">
        <v>42947</v>
      </c>
      <c r="CL1" s="110">
        <v>42978</v>
      </c>
      <c r="CM1" s="110">
        <v>43008</v>
      </c>
      <c r="CN1" s="110">
        <v>43038</v>
      </c>
      <c r="CO1" s="110" t="s">
        <v>34</v>
      </c>
      <c r="CP1" s="110">
        <v>43100</v>
      </c>
      <c r="CQ1" s="110">
        <v>43129</v>
      </c>
      <c r="CR1" s="110">
        <v>43157</v>
      </c>
      <c r="CS1" s="110">
        <v>43185</v>
      </c>
      <c r="CT1" s="110">
        <v>43222</v>
      </c>
      <c r="CU1" s="110">
        <v>43249</v>
      </c>
      <c r="CV1" s="110">
        <v>43281</v>
      </c>
      <c r="CW1" s="110">
        <v>43312</v>
      </c>
      <c r="CX1" s="110">
        <v>43339</v>
      </c>
      <c r="CY1" s="110">
        <v>43367</v>
      </c>
      <c r="CZ1" s="110">
        <v>43402</v>
      </c>
      <c r="DA1" s="110">
        <v>43437</v>
      </c>
      <c r="DB1" s="110">
        <v>43460</v>
      </c>
      <c r="DC1" s="110">
        <v>43493</v>
      </c>
      <c r="DD1" s="110">
        <v>43521</v>
      </c>
      <c r="DE1" s="110"/>
      <c r="DF1" s="110"/>
      <c r="DG1" s="110"/>
      <c r="DH1" s="110"/>
      <c r="DI1" s="110"/>
      <c r="DJ1" s="110"/>
      <c r="DK1" s="110"/>
      <c r="DL1" s="110"/>
      <c r="DM1" s="110"/>
      <c r="DN1" s="110"/>
      <c r="DO1" s="110"/>
      <c r="DP1" s="110"/>
      <c r="DQ1" s="110"/>
    </row>
    <row r="2" spans="1:121 16384:16384" ht="18.75" x14ac:dyDescent="0.25">
      <c r="A2" s="114"/>
      <c r="B2" s="114" t="s">
        <v>35</v>
      </c>
      <c r="C2" s="115">
        <v>154</v>
      </c>
      <c r="D2" s="115">
        <v>157</v>
      </c>
      <c r="E2" s="115">
        <v>164</v>
      </c>
      <c r="F2" s="115">
        <v>163</v>
      </c>
      <c r="G2" s="115">
        <v>164</v>
      </c>
      <c r="H2" s="115">
        <v>159</v>
      </c>
      <c r="I2" s="115">
        <v>169</v>
      </c>
      <c r="J2" s="115">
        <v>166</v>
      </c>
      <c r="K2" s="115">
        <v>170</v>
      </c>
      <c r="L2" s="115">
        <v>176</v>
      </c>
      <c r="M2" s="115">
        <v>160</v>
      </c>
      <c r="N2" s="115">
        <v>156</v>
      </c>
      <c r="O2" s="115">
        <v>156</v>
      </c>
      <c r="P2" s="115">
        <v>144</v>
      </c>
      <c r="Q2" s="115">
        <v>156</v>
      </c>
      <c r="R2" s="115">
        <v>151</v>
      </c>
      <c r="S2" s="115">
        <v>153</v>
      </c>
      <c r="T2" s="115">
        <v>160</v>
      </c>
      <c r="U2" s="115">
        <v>163</v>
      </c>
      <c r="V2" s="115">
        <v>161</v>
      </c>
      <c r="W2" s="116">
        <v>157</v>
      </c>
      <c r="X2" s="116">
        <v>147</v>
      </c>
      <c r="Y2" s="115">
        <v>151</v>
      </c>
      <c r="Z2" s="115">
        <v>162</v>
      </c>
      <c r="AA2" s="115">
        <v>168</v>
      </c>
      <c r="AB2" s="116">
        <v>161</v>
      </c>
      <c r="AC2" s="115">
        <v>140</v>
      </c>
      <c r="AD2" s="115">
        <v>148</v>
      </c>
      <c r="AE2" s="115">
        <v>152</v>
      </c>
      <c r="AF2" s="115">
        <v>150</v>
      </c>
      <c r="AG2" s="115">
        <v>155</v>
      </c>
      <c r="AH2" s="115">
        <v>154</v>
      </c>
      <c r="AI2" s="115">
        <v>153</v>
      </c>
      <c r="AJ2" s="115">
        <v>153</v>
      </c>
      <c r="AK2" s="115">
        <v>150</v>
      </c>
      <c r="AL2" s="115">
        <v>146</v>
      </c>
      <c r="AM2" s="115">
        <v>146</v>
      </c>
      <c r="AN2" s="117">
        <v>135</v>
      </c>
      <c r="AO2" s="118">
        <v>140</v>
      </c>
      <c r="AP2" s="118">
        <v>138</v>
      </c>
      <c r="AQ2" s="118">
        <v>138</v>
      </c>
      <c r="AR2" s="117">
        <v>149</v>
      </c>
      <c r="AS2" s="117">
        <v>150</v>
      </c>
      <c r="AT2" s="117">
        <v>144</v>
      </c>
      <c r="AU2" s="115">
        <v>138</v>
      </c>
      <c r="AV2" s="115">
        <v>143</v>
      </c>
      <c r="AW2" s="115">
        <v>144</v>
      </c>
      <c r="AX2" s="115">
        <v>148</v>
      </c>
      <c r="AY2" s="116">
        <v>153</v>
      </c>
      <c r="AZ2" s="116">
        <v>161</v>
      </c>
      <c r="BA2" s="115">
        <v>165</v>
      </c>
      <c r="BB2" s="115">
        <v>153</v>
      </c>
      <c r="BC2" s="115">
        <v>156</v>
      </c>
      <c r="BD2" s="115">
        <v>149</v>
      </c>
      <c r="BE2" s="115">
        <v>144</v>
      </c>
      <c r="BF2" s="115">
        <v>143</v>
      </c>
      <c r="BG2" s="115">
        <v>145</v>
      </c>
      <c r="BH2" s="115">
        <v>147</v>
      </c>
      <c r="BI2" s="115">
        <v>150</v>
      </c>
      <c r="BJ2" s="115">
        <v>145</v>
      </c>
      <c r="BK2" s="115">
        <v>147</v>
      </c>
      <c r="BL2" s="115">
        <v>145</v>
      </c>
      <c r="BM2" s="115">
        <v>136</v>
      </c>
      <c r="BN2" s="115">
        <v>128</v>
      </c>
      <c r="BO2" s="115">
        <v>132</v>
      </c>
      <c r="BP2" s="115">
        <v>131</v>
      </c>
      <c r="BQ2" s="116">
        <v>138</v>
      </c>
      <c r="BR2" s="115">
        <v>149</v>
      </c>
      <c r="BS2" s="115">
        <v>142</v>
      </c>
      <c r="BT2" s="115">
        <v>142</v>
      </c>
      <c r="BU2" s="119">
        <v>160</v>
      </c>
      <c r="BV2" s="115">
        <v>160</v>
      </c>
      <c r="BW2" s="119">
        <v>145</v>
      </c>
      <c r="BX2" s="119">
        <v>145</v>
      </c>
      <c r="BY2" s="115">
        <v>150</v>
      </c>
      <c r="BZ2" s="115">
        <v>153</v>
      </c>
      <c r="CA2" s="115">
        <v>136</v>
      </c>
      <c r="CB2" s="115">
        <v>129</v>
      </c>
      <c r="CC2" s="115">
        <v>129</v>
      </c>
      <c r="CD2" s="115">
        <v>134</v>
      </c>
      <c r="CE2" s="115">
        <v>133</v>
      </c>
      <c r="CF2" s="115">
        <v>138</v>
      </c>
      <c r="CG2" s="115">
        <v>137</v>
      </c>
      <c r="CH2" s="115">
        <v>137</v>
      </c>
      <c r="CI2" s="115">
        <v>139</v>
      </c>
      <c r="CJ2" s="115">
        <v>122</v>
      </c>
      <c r="CK2" s="115">
        <v>122</v>
      </c>
      <c r="CL2" s="115">
        <v>137</v>
      </c>
      <c r="CM2" s="115">
        <v>130</v>
      </c>
      <c r="CN2" s="115">
        <v>128</v>
      </c>
      <c r="CO2" s="115">
        <v>133</v>
      </c>
      <c r="CP2" s="115">
        <v>139</v>
      </c>
      <c r="CQ2" s="115">
        <v>136</v>
      </c>
      <c r="CR2" s="115">
        <v>133</v>
      </c>
      <c r="CS2" s="115">
        <v>137</v>
      </c>
      <c r="CT2" s="115">
        <v>149</v>
      </c>
      <c r="CU2" s="115">
        <v>142</v>
      </c>
      <c r="CV2" s="115">
        <v>160</v>
      </c>
      <c r="CW2" s="115">
        <v>151</v>
      </c>
      <c r="CX2" s="115">
        <v>133</v>
      </c>
      <c r="CY2" s="115">
        <v>129</v>
      </c>
      <c r="CZ2" s="115">
        <v>136</v>
      </c>
      <c r="DA2" s="115">
        <v>153</v>
      </c>
      <c r="DB2" s="115">
        <v>147</v>
      </c>
      <c r="DC2" s="115">
        <f>+[1]L1!C61+[1]L2!C64+[1]L7!C44</f>
        <v>151</v>
      </c>
      <c r="DD2" s="115">
        <f>+'L1'!C65+'L2'!C63+'L7'!C45</f>
        <v>155</v>
      </c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</row>
    <row r="3" spans="1:121 16384:16384" ht="18.75" x14ac:dyDescent="0.25">
      <c r="A3" s="114"/>
      <c r="B3" s="120" t="s">
        <v>36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6"/>
      <c r="X3" s="116"/>
      <c r="Y3" s="115"/>
      <c r="Z3" s="115"/>
      <c r="AA3" s="115"/>
      <c r="AB3" s="116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7"/>
      <c r="AO3" s="118"/>
      <c r="AP3" s="118"/>
      <c r="AQ3" s="118"/>
      <c r="AR3" s="117"/>
      <c r="AS3" s="117"/>
      <c r="AT3" s="117"/>
      <c r="AU3" s="115"/>
      <c r="AV3" s="115"/>
      <c r="AW3" s="115"/>
      <c r="AX3" s="115"/>
      <c r="AY3" s="116"/>
      <c r="AZ3" s="116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21">
        <v>62</v>
      </c>
      <c r="BQ3" s="115">
        <v>71</v>
      </c>
      <c r="BR3" s="115">
        <v>83</v>
      </c>
      <c r="BS3" s="115">
        <v>80</v>
      </c>
      <c r="BT3" s="115">
        <v>84</v>
      </c>
      <c r="BU3" s="115">
        <v>95</v>
      </c>
      <c r="BV3" s="115">
        <v>95</v>
      </c>
      <c r="BW3" s="115">
        <v>95</v>
      </c>
      <c r="BX3" s="115">
        <v>70</v>
      </c>
      <c r="BY3" s="119">
        <v>82</v>
      </c>
      <c r="BZ3" s="115">
        <v>0</v>
      </c>
      <c r="CA3" s="115">
        <v>0</v>
      </c>
      <c r="CB3" s="115">
        <v>0</v>
      </c>
      <c r="CC3" s="115">
        <v>0</v>
      </c>
      <c r="CD3" s="115">
        <v>0</v>
      </c>
      <c r="CE3" s="115">
        <v>0</v>
      </c>
      <c r="CF3" s="115">
        <v>0</v>
      </c>
      <c r="CG3" s="115">
        <v>0</v>
      </c>
      <c r="CH3" s="115">
        <v>0</v>
      </c>
      <c r="CI3" s="115">
        <v>0</v>
      </c>
      <c r="CJ3" s="115">
        <v>0</v>
      </c>
      <c r="CK3" s="115">
        <v>0</v>
      </c>
      <c r="CL3" s="115">
        <v>0</v>
      </c>
      <c r="CM3" s="115">
        <v>0</v>
      </c>
      <c r="CN3" s="115">
        <v>0</v>
      </c>
      <c r="CO3" s="115">
        <v>0</v>
      </c>
      <c r="CP3" s="115">
        <v>0</v>
      </c>
      <c r="CQ3" s="115">
        <v>0</v>
      </c>
      <c r="CR3" s="115">
        <v>0</v>
      </c>
      <c r="CS3" s="115">
        <v>0</v>
      </c>
      <c r="CT3" s="115">
        <v>0</v>
      </c>
      <c r="CU3" s="115">
        <v>0</v>
      </c>
      <c r="CV3" s="115">
        <v>0</v>
      </c>
      <c r="CW3" s="115">
        <v>0</v>
      </c>
      <c r="CX3" s="115">
        <v>0</v>
      </c>
      <c r="CY3" s="115">
        <v>0</v>
      </c>
      <c r="CZ3" s="115">
        <v>0</v>
      </c>
      <c r="DA3" s="115">
        <v>0</v>
      </c>
      <c r="DB3" s="115">
        <v>0</v>
      </c>
      <c r="DC3" s="115">
        <v>0</v>
      </c>
      <c r="DD3" s="115">
        <v>0</v>
      </c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</row>
    <row r="4" spans="1:121 16384:16384" ht="18.75" x14ac:dyDescent="0.25">
      <c r="A4" s="114"/>
      <c r="B4" s="114" t="s">
        <v>37</v>
      </c>
      <c r="C4" s="115">
        <v>159</v>
      </c>
      <c r="D4" s="115">
        <v>160</v>
      </c>
      <c r="E4" s="115">
        <v>160</v>
      </c>
      <c r="F4" s="115">
        <v>155</v>
      </c>
      <c r="G4" s="115">
        <v>161</v>
      </c>
      <c r="H4" s="115">
        <v>162</v>
      </c>
      <c r="I4" s="115">
        <v>151</v>
      </c>
      <c r="J4" s="115">
        <v>151</v>
      </c>
      <c r="K4" s="115">
        <v>158</v>
      </c>
      <c r="L4" s="116">
        <v>168</v>
      </c>
      <c r="M4" s="116">
        <v>173</v>
      </c>
      <c r="N4" s="116">
        <v>178</v>
      </c>
      <c r="O4" s="116">
        <v>189</v>
      </c>
      <c r="P4" s="116">
        <v>192</v>
      </c>
      <c r="Q4" s="122">
        <v>172</v>
      </c>
      <c r="R4" s="122">
        <v>166.35135135135135</v>
      </c>
      <c r="S4" s="123">
        <v>167</v>
      </c>
      <c r="T4" s="123">
        <v>158</v>
      </c>
      <c r="U4" s="123">
        <v>169</v>
      </c>
      <c r="V4" s="123">
        <v>169</v>
      </c>
      <c r="W4" s="123">
        <v>167</v>
      </c>
      <c r="X4" s="123">
        <v>171</v>
      </c>
      <c r="Y4" s="115">
        <v>171</v>
      </c>
      <c r="Z4" s="115">
        <v>168</v>
      </c>
      <c r="AA4" s="115">
        <v>165</v>
      </c>
      <c r="AB4" s="116">
        <v>181</v>
      </c>
      <c r="AC4" s="116">
        <v>196</v>
      </c>
      <c r="AD4" s="116">
        <v>183</v>
      </c>
      <c r="AE4" s="115">
        <v>167</v>
      </c>
      <c r="AF4" s="115">
        <v>168</v>
      </c>
      <c r="AG4" s="116">
        <v>176</v>
      </c>
      <c r="AH4" s="115">
        <v>172</v>
      </c>
      <c r="AI4" s="115">
        <v>174</v>
      </c>
      <c r="AJ4" s="115">
        <v>178</v>
      </c>
      <c r="AK4" s="124">
        <v>182</v>
      </c>
      <c r="AL4" s="124">
        <v>178</v>
      </c>
      <c r="AM4" s="124">
        <v>173</v>
      </c>
      <c r="AN4" s="118">
        <v>170</v>
      </c>
      <c r="AO4" s="118">
        <v>168</v>
      </c>
      <c r="AP4" s="118">
        <v>162</v>
      </c>
      <c r="AQ4" s="118">
        <v>157</v>
      </c>
      <c r="AR4" s="118">
        <v>155</v>
      </c>
      <c r="AS4" s="118">
        <v>156</v>
      </c>
      <c r="AT4" s="118">
        <v>158</v>
      </c>
      <c r="AU4" s="116">
        <v>168</v>
      </c>
      <c r="AV4" s="116">
        <v>173</v>
      </c>
      <c r="AW4" s="124">
        <v>175</v>
      </c>
      <c r="AX4" s="124">
        <v>175</v>
      </c>
      <c r="AY4" s="124">
        <v>171</v>
      </c>
      <c r="AZ4" s="115">
        <v>164</v>
      </c>
      <c r="BA4" s="115"/>
      <c r="BB4" s="115">
        <v>165</v>
      </c>
      <c r="BC4" s="115">
        <v>164</v>
      </c>
      <c r="BD4" s="115">
        <v>163</v>
      </c>
      <c r="BE4" s="115">
        <v>173</v>
      </c>
      <c r="BF4" s="115">
        <v>179</v>
      </c>
      <c r="BG4" s="124">
        <v>179</v>
      </c>
      <c r="BH4" s="115">
        <v>168</v>
      </c>
      <c r="BI4" s="115">
        <v>176</v>
      </c>
      <c r="BJ4" s="116">
        <v>185</v>
      </c>
      <c r="BK4" s="124">
        <v>191</v>
      </c>
      <c r="BL4" s="124">
        <v>202</v>
      </c>
      <c r="BM4" s="124">
        <v>193</v>
      </c>
      <c r="BN4" s="115">
        <v>185</v>
      </c>
      <c r="BO4" s="116">
        <v>163</v>
      </c>
      <c r="BP4" s="115">
        <v>172</v>
      </c>
      <c r="BQ4" s="115">
        <v>168</v>
      </c>
      <c r="BR4" s="115">
        <v>160</v>
      </c>
      <c r="BS4" s="115">
        <v>163</v>
      </c>
      <c r="BT4" s="115">
        <v>160</v>
      </c>
      <c r="BU4" s="115">
        <v>165</v>
      </c>
      <c r="BV4" s="116">
        <v>175</v>
      </c>
      <c r="BW4" s="116">
        <v>180</v>
      </c>
      <c r="BX4" s="116">
        <v>188</v>
      </c>
      <c r="BY4" s="115">
        <v>188</v>
      </c>
      <c r="BZ4" s="119">
        <v>199</v>
      </c>
      <c r="CA4" s="119">
        <v>200</v>
      </c>
      <c r="CB4" s="115">
        <v>195</v>
      </c>
      <c r="CC4" s="115">
        <v>195</v>
      </c>
      <c r="CD4" s="115">
        <v>193</v>
      </c>
      <c r="CE4" s="115">
        <v>190</v>
      </c>
      <c r="CF4" s="115">
        <v>182</v>
      </c>
      <c r="CG4" s="115">
        <v>182</v>
      </c>
      <c r="CH4" s="116">
        <v>175</v>
      </c>
      <c r="CI4" s="115">
        <v>181</v>
      </c>
      <c r="CJ4" s="115">
        <v>170</v>
      </c>
      <c r="CK4" s="115">
        <v>159</v>
      </c>
      <c r="CL4" s="115">
        <v>148</v>
      </c>
      <c r="CM4" s="115">
        <v>147</v>
      </c>
      <c r="CN4" s="115">
        <v>148</v>
      </c>
      <c r="CO4" s="115">
        <v>143</v>
      </c>
      <c r="CP4" s="115">
        <v>150</v>
      </c>
      <c r="CQ4" s="115">
        <v>147</v>
      </c>
      <c r="CR4" s="115">
        <v>147</v>
      </c>
      <c r="CS4" s="115">
        <v>158</v>
      </c>
      <c r="CT4" s="115">
        <v>161</v>
      </c>
      <c r="CU4" s="115">
        <v>168</v>
      </c>
      <c r="CV4" s="115">
        <v>171</v>
      </c>
      <c r="CW4" s="115">
        <v>184</v>
      </c>
      <c r="CX4" s="115">
        <v>173</v>
      </c>
      <c r="CY4" s="115">
        <v>178</v>
      </c>
      <c r="CZ4" s="115">
        <v>154</v>
      </c>
      <c r="DA4" s="115">
        <v>151</v>
      </c>
      <c r="DB4" s="115">
        <v>151</v>
      </c>
      <c r="DC4" s="115">
        <v>156</v>
      </c>
      <c r="DD4" s="115">
        <v>160</v>
      </c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</row>
    <row r="5" spans="1:121 16384:16384" ht="18.75" x14ac:dyDescent="0.25">
      <c r="A5" s="114"/>
      <c r="B5" s="114" t="s">
        <v>38</v>
      </c>
      <c r="C5" s="125">
        <v>5.0756569515077015</v>
      </c>
      <c r="D5" s="125">
        <v>5.1745333856279814</v>
      </c>
      <c r="E5" s="125">
        <v>5.4052450652419672</v>
      </c>
      <c r="F5" s="125">
        <v>5.3722862538685412</v>
      </c>
      <c r="G5" s="125">
        <v>5.4052450652419672</v>
      </c>
      <c r="H5" s="125">
        <v>5.2404510083748344</v>
      </c>
      <c r="I5" s="125">
        <v>5.570039122109101</v>
      </c>
      <c r="J5" s="125">
        <v>5.4711626879888211</v>
      </c>
      <c r="K5" s="125">
        <v>5.6029979334825271</v>
      </c>
      <c r="L5" s="125">
        <v>5.8007508017230869</v>
      </c>
      <c r="M5" s="125">
        <v>5.2734098197482613</v>
      </c>
      <c r="N5" s="125">
        <v>5.1415745742545544</v>
      </c>
      <c r="O5" s="125">
        <v>5.1415745742545544</v>
      </c>
      <c r="P5" s="125">
        <v>4.7460688377734348</v>
      </c>
      <c r="Q5" s="125">
        <v>5.1415745742545544</v>
      </c>
      <c r="R5" s="125">
        <v>4.9767805173874216</v>
      </c>
      <c r="S5" s="125">
        <v>5.0426981401342745</v>
      </c>
      <c r="T5" s="125">
        <v>5.2734098197482613</v>
      </c>
      <c r="U5" s="125">
        <v>5.3722862538685412</v>
      </c>
      <c r="V5" s="125">
        <v>5.3063686311216873</v>
      </c>
      <c r="W5" s="125">
        <v>5.1745333856279814</v>
      </c>
      <c r="X5" s="125">
        <v>4.8449452718937147</v>
      </c>
      <c r="Y5" s="125">
        <v>4.9767805173874216</v>
      </c>
      <c r="Z5" s="125">
        <v>5.3393274424951143</v>
      </c>
      <c r="AA5" s="125">
        <v>5.5370803107356741</v>
      </c>
      <c r="AB5" s="125">
        <v>5.3063686311216873</v>
      </c>
      <c r="AC5" s="125">
        <v>4.614233592279728</v>
      </c>
      <c r="AD5" s="125">
        <v>4.8779040832671416</v>
      </c>
      <c r="AE5" s="125">
        <v>5.0097393287608476</v>
      </c>
      <c r="AF5" s="125">
        <v>4.9438217060139946</v>
      </c>
      <c r="AG5" s="125">
        <v>5.1086157628811275</v>
      </c>
      <c r="AH5" s="125">
        <v>5.0756569515077015</v>
      </c>
      <c r="AI5" s="125">
        <v>5.0426981401342745</v>
      </c>
      <c r="AJ5" s="125">
        <v>5.0426981401342745</v>
      </c>
      <c r="AK5" s="125">
        <v>4.9438217060139946</v>
      </c>
      <c r="AL5" s="125">
        <v>4.8119864605202878</v>
      </c>
      <c r="AM5" s="125">
        <v>4.8119864605202878</v>
      </c>
      <c r="AN5" s="125">
        <v>4.4494395354125951</v>
      </c>
      <c r="AO5" s="125">
        <v>4.614233592279728</v>
      </c>
      <c r="AP5" s="125">
        <v>4.548315969532875</v>
      </c>
      <c r="AQ5" s="125">
        <v>4.548315969532875</v>
      </c>
      <c r="AR5" s="125">
        <v>4.9108628946405677</v>
      </c>
      <c r="AS5" s="125">
        <v>4.9438217060139946</v>
      </c>
      <c r="AT5" s="125">
        <v>4.7460688377734348</v>
      </c>
      <c r="AU5" s="125">
        <v>4.548315969532875</v>
      </c>
      <c r="AV5" s="125">
        <v>4.7131100264000079</v>
      </c>
      <c r="AW5" s="125">
        <v>4.7460688377734348</v>
      </c>
      <c r="AX5" s="125">
        <v>4.8779040832671416</v>
      </c>
      <c r="AY5" s="125">
        <v>5.0426981401342745</v>
      </c>
      <c r="AZ5" s="126">
        <v>5.3063686311216873</v>
      </c>
      <c r="BA5" s="126">
        <v>5.4382038766153942</v>
      </c>
      <c r="BB5" s="125">
        <v>5.0428477257745552</v>
      </c>
      <c r="BC5" s="125">
        <v>5.1417270929466055</v>
      </c>
      <c r="BD5" s="125">
        <v>4.9110085695451549</v>
      </c>
      <c r="BE5" s="125">
        <v>4.7462096242584044</v>
      </c>
      <c r="BF5" s="125">
        <v>4.7132498352010543</v>
      </c>
      <c r="BG5" s="125">
        <v>4.7791694133157545</v>
      </c>
      <c r="BH5" s="125">
        <v>4.8450889914304547</v>
      </c>
      <c r="BI5" s="125">
        <v>4.9439683586025049</v>
      </c>
      <c r="BJ5" s="125">
        <v>4.7791694133157545</v>
      </c>
      <c r="BK5" s="125">
        <v>4.8450889914304547</v>
      </c>
      <c r="BL5" s="125">
        <v>4.7791694133157545</v>
      </c>
      <c r="BM5" s="125">
        <v>4.4825313117996046</v>
      </c>
      <c r="BN5" s="125">
        <v>4.2188529993408039</v>
      </c>
      <c r="BO5" s="125">
        <v>4.3506921555702043</v>
      </c>
      <c r="BP5" s="125">
        <v>4.3177323665128542</v>
      </c>
      <c r="BQ5" s="125">
        <v>4.5484508899143048</v>
      </c>
      <c r="BR5" s="125">
        <v>4.9110085695451549</v>
      </c>
      <c r="BS5" s="125">
        <v>4.6802900461437051</v>
      </c>
      <c r="BT5" s="125">
        <v>4.6802900461437051</v>
      </c>
      <c r="BU5" s="127">
        <v>5.2735662491760049</v>
      </c>
      <c r="BV5" s="127">
        <v>5.2735662491760049</v>
      </c>
      <c r="BW5" s="125">
        <v>4.7791694133157545</v>
      </c>
      <c r="BX5" s="125">
        <v>4.7791694133157545</v>
      </c>
      <c r="BY5" s="125">
        <v>4.9439683586025049</v>
      </c>
      <c r="BZ5" s="125">
        <v>5.0428477257745552</v>
      </c>
      <c r="CA5" s="125">
        <v>4.4825313117996046</v>
      </c>
      <c r="CB5" s="125">
        <v>4.251812788398154</v>
      </c>
      <c r="CC5" s="125">
        <v>4.251812788398154</v>
      </c>
      <c r="CD5" s="125">
        <v>4.4166117336849045</v>
      </c>
      <c r="CE5" s="125">
        <v>4.3836519446275544</v>
      </c>
      <c r="CF5" s="125">
        <v>4.5484508899143048</v>
      </c>
      <c r="CG5" s="125">
        <v>4.5154911008569547</v>
      </c>
      <c r="CH5" s="125">
        <v>4.5154911008569547</v>
      </c>
      <c r="CI5" s="125">
        <v>4.5814106789716549</v>
      </c>
      <c r="CJ5" s="125">
        <v>4.0210942649967043</v>
      </c>
      <c r="CK5" s="125">
        <v>4.0210942649967043</v>
      </c>
      <c r="CL5" s="125">
        <v>4.5154911008569547</v>
      </c>
      <c r="CM5" s="125">
        <v>4.2847725774555041</v>
      </c>
      <c r="CN5" s="125">
        <v>4.2188529993408039</v>
      </c>
      <c r="CO5" s="125">
        <v>4.3836519446275544</v>
      </c>
      <c r="CP5" s="125">
        <v>4.5814106789716549</v>
      </c>
      <c r="CQ5" s="125">
        <v>4.4825313117996046</v>
      </c>
      <c r="CR5" s="125">
        <v>4.3836519446275544</v>
      </c>
      <c r="CS5" s="125">
        <v>4.5154911008569547</v>
      </c>
      <c r="CT5" s="125">
        <v>4.9110085695451549</v>
      </c>
      <c r="CU5" s="125">
        <v>4.6802900461437051</v>
      </c>
      <c r="CV5" s="125">
        <v>5.2735662491760049</v>
      </c>
      <c r="CW5" s="125">
        <v>4.976928147659855</v>
      </c>
      <c r="CX5" s="125">
        <v>4.3836519446275544</v>
      </c>
      <c r="CY5" s="125">
        <v>4.251812788398154</v>
      </c>
      <c r="CZ5" s="125">
        <v>4.4825313117996046</v>
      </c>
      <c r="DA5" s="125">
        <v>5.0428477257745552</v>
      </c>
      <c r="DB5" s="125">
        <v>4.8450889914304547</v>
      </c>
      <c r="DC5" s="125">
        <f>+DC2/30.34</f>
        <v>4.976928147659855</v>
      </c>
      <c r="DD5" s="125">
        <f>+DD2/30.34</f>
        <v>5.1087673038892554</v>
      </c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XFD5" s="125"/>
    </row>
    <row r="6" spans="1:121 16384:16384" ht="18.75" x14ac:dyDescent="0.25">
      <c r="A6" s="114"/>
      <c r="B6" s="114" t="s">
        <v>39</v>
      </c>
      <c r="C6" s="128">
        <v>150.09065217391304</v>
      </c>
      <c r="D6" s="128">
        <v>159.14652173913049</v>
      </c>
      <c r="E6" s="128">
        <v>162.95999999999995</v>
      </c>
      <c r="F6" s="128">
        <v>161.34239130434779</v>
      </c>
      <c r="G6" s="128">
        <v>158.50586956521741</v>
      </c>
      <c r="H6" s="128">
        <v>154.245</v>
      </c>
      <c r="I6" s="128">
        <v>174.26652173913044</v>
      </c>
      <c r="J6" s="128">
        <v>177.53369565217386</v>
      </c>
      <c r="K6" s="128">
        <v>177.27043478260867</v>
      </c>
      <c r="L6" s="128">
        <v>182.17550724637681</v>
      </c>
      <c r="M6" s="128">
        <v>166.63804347826087</v>
      </c>
      <c r="N6" s="128">
        <v>146.9954347826087</v>
      </c>
      <c r="O6" s="128">
        <v>143.44217391304349</v>
      </c>
      <c r="P6" s="128">
        <v>132.59065217391304</v>
      </c>
      <c r="Q6" s="128">
        <v>152.33673913043475</v>
      </c>
      <c r="R6" s="128">
        <v>161.71673913043483</v>
      </c>
      <c r="S6" s="128">
        <v>166.19065217391301</v>
      </c>
      <c r="T6" s="128">
        <v>167.01695652173913</v>
      </c>
      <c r="U6" s="128">
        <v>167.7626086956522</v>
      </c>
      <c r="V6" s="128">
        <v>151.18782608695651</v>
      </c>
      <c r="W6" s="128">
        <v>165.14521739130436</v>
      </c>
      <c r="X6" s="128">
        <v>148.66478260869565</v>
      </c>
      <c r="Y6" s="128">
        <v>154.45043478260868</v>
      </c>
      <c r="Z6" s="128">
        <v>164.67043478260874</v>
      </c>
      <c r="AA6" s="128">
        <v>173.73543478260871</v>
      </c>
      <c r="AB6" s="129">
        <v>157.77391304347827</v>
      </c>
      <c r="AC6" s="128">
        <v>135.75586956521741</v>
      </c>
      <c r="AD6" s="128">
        <v>147.48391304347825</v>
      </c>
      <c r="AE6" s="128">
        <v>157.08000000000004</v>
      </c>
      <c r="AF6" s="128">
        <v>156.79543478260868</v>
      </c>
      <c r="AG6" s="128">
        <v>156.49260869565217</v>
      </c>
      <c r="AH6" s="129">
        <v>147.38804347826087</v>
      </c>
      <c r="AI6" s="129">
        <v>144.14826086956521</v>
      </c>
      <c r="AJ6" s="129">
        <v>141.13065217391303</v>
      </c>
      <c r="AK6" s="129">
        <v>139.35630434782607</v>
      </c>
      <c r="AL6" s="128">
        <v>131.43565217391307</v>
      </c>
      <c r="AM6" s="128">
        <v>142.41043478260869</v>
      </c>
      <c r="AN6" s="130">
        <v>126.9495652173913</v>
      </c>
      <c r="AO6" s="130">
        <v>137.0530540135338</v>
      </c>
      <c r="AP6" s="130">
        <v>140.03347826086957</v>
      </c>
      <c r="AQ6" s="130">
        <v>141.59630434782605</v>
      </c>
      <c r="AR6" s="130">
        <v>154.48695652173907</v>
      </c>
      <c r="AS6" s="130">
        <v>154.4671739130435</v>
      </c>
      <c r="AT6" s="130">
        <v>147.94499999999999</v>
      </c>
      <c r="AU6" s="128">
        <v>146.98782608695652</v>
      </c>
      <c r="AV6" s="128">
        <v>146.52521739130435</v>
      </c>
      <c r="AW6" s="128">
        <v>150.13660418482996</v>
      </c>
      <c r="AX6" s="128">
        <v>148.32543478260868</v>
      </c>
      <c r="AY6" s="128">
        <v>153.24065217391302</v>
      </c>
      <c r="AZ6" s="128">
        <v>155.82608695652175</v>
      </c>
      <c r="BA6" s="128">
        <v>158.33239130434779</v>
      </c>
      <c r="BB6" s="128">
        <v>137.52260869565217</v>
      </c>
      <c r="BC6" s="128">
        <v>146.85391304347823</v>
      </c>
      <c r="BD6" s="128">
        <v>134.71620689655174</v>
      </c>
      <c r="BE6" s="128">
        <v>129.0571739130435</v>
      </c>
      <c r="BF6" s="128">
        <v>129.31586956521744</v>
      </c>
      <c r="BG6" s="128">
        <v>130.34913043478261</v>
      </c>
      <c r="BH6" s="128">
        <v>147.54934782608694</v>
      </c>
      <c r="BI6" s="128">
        <v>143.45130434782607</v>
      </c>
      <c r="BJ6" s="128">
        <v>135.7071739130435</v>
      </c>
      <c r="BK6" s="128">
        <v>132.38369565217394</v>
      </c>
      <c r="BL6" s="128">
        <v>128.20195652173916</v>
      </c>
      <c r="BM6" s="128">
        <v>131.97282608695656</v>
      </c>
      <c r="BN6" s="128">
        <v>127.19304347826085</v>
      </c>
      <c r="BO6" s="128">
        <v>134.04695652173916</v>
      </c>
      <c r="BP6" s="128">
        <v>136.1560869565217</v>
      </c>
      <c r="BQ6" s="128">
        <v>148.41065217391301</v>
      </c>
      <c r="BR6" s="129">
        <v>162.98974308300393</v>
      </c>
      <c r="BS6" s="129">
        <v>166.27739130434779</v>
      </c>
      <c r="BT6" s="128">
        <v>173.03664437012262</v>
      </c>
      <c r="BU6" s="128">
        <v>178.12717391304346</v>
      </c>
      <c r="BV6" s="128">
        <v>177.66456521739133</v>
      </c>
      <c r="BW6" s="128">
        <v>174.26499999999999</v>
      </c>
      <c r="BX6" s="128">
        <v>174.26499999999999</v>
      </c>
      <c r="BY6" s="131">
        <v>160.81739130434784</v>
      </c>
      <c r="BZ6" s="115">
        <v>164.83326086956521</v>
      </c>
      <c r="CA6" s="115">
        <v>145.75521739130437</v>
      </c>
      <c r="CB6" s="128">
        <v>140.86282608695649</v>
      </c>
      <c r="CC6" s="128">
        <v>133.31347826086952</v>
      </c>
      <c r="CD6" s="129">
        <v>148.97673913043479</v>
      </c>
      <c r="CE6" s="128">
        <v>153.5921739130435</v>
      </c>
      <c r="CF6" s="128">
        <v>158.34760869565221</v>
      </c>
      <c r="CG6" s="128">
        <v>156.66456521739133</v>
      </c>
      <c r="CH6" s="128">
        <v>145.29717391304345</v>
      </c>
      <c r="CI6" s="128">
        <v>144.68543478260867</v>
      </c>
      <c r="CJ6" s="128">
        <v>133.73804347826083</v>
      </c>
      <c r="CK6" s="128">
        <v>132.62260869565219</v>
      </c>
      <c r="CL6" s="128">
        <v>150.02673913043481</v>
      </c>
      <c r="CM6" s="128">
        <v>148.84434782608699</v>
      </c>
      <c r="CN6" s="128">
        <v>151.78586956521738</v>
      </c>
      <c r="CO6" s="128">
        <v>161.85369565217391</v>
      </c>
      <c r="CP6" s="128">
        <v>162.85499999999999</v>
      </c>
      <c r="CQ6" s="128">
        <v>157.0176086956522</v>
      </c>
      <c r="CR6" s="128">
        <v>170.82739130434783</v>
      </c>
      <c r="CS6" s="128">
        <v>177.44543478260871</v>
      </c>
      <c r="CT6" s="128">
        <v>182.61021739130433</v>
      </c>
      <c r="CU6" s="128">
        <v>167.39891304347827</v>
      </c>
      <c r="CV6" s="128">
        <v>174.81891304347829</v>
      </c>
      <c r="CW6" s="128">
        <v>152.74913043478261</v>
      </c>
      <c r="CX6" s="128">
        <v>140.25565217391303</v>
      </c>
      <c r="CY6" s="128">
        <v>139.33043478260871</v>
      </c>
      <c r="CZ6" s="128">
        <v>154.35152173913042</v>
      </c>
      <c r="DA6" s="128">
        <v>176.34978260869565</v>
      </c>
      <c r="DB6" s="128">
        <v>171.08608695652171</v>
      </c>
      <c r="DC6" s="128">
        <f>+[1]L1!H63+[1]L2!H66+[1]L7!H46</f>
        <v>169.65869565217389</v>
      </c>
      <c r="DD6" s="128">
        <f>+'L1'!H67+'L2'!H65</f>
        <v>125.24217391304349</v>
      </c>
      <c r="DE6" s="128"/>
      <c r="DF6" s="128"/>
      <c r="DG6" s="128"/>
      <c r="DH6" s="128"/>
      <c r="DI6" s="128"/>
      <c r="DJ6" s="128"/>
      <c r="DK6" s="128"/>
      <c r="DL6" s="128"/>
      <c r="DM6" s="128"/>
      <c r="DN6" s="128"/>
      <c r="DO6" s="128"/>
      <c r="DP6" s="128"/>
      <c r="DQ6" s="128"/>
    </row>
    <row r="7" spans="1:121 16384:16384" ht="18.75" x14ac:dyDescent="0.25">
      <c r="A7" s="114"/>
      <c r="B7" s="199" t="s">
        <v>106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9"/>
      <c r="AC7" s="128"/>
      <c r="AD7" s="128"/>
      <c r="AE7" s="128"/>
      <c r="AF7" s="128"/>
      <c r="AG7" s="128"/>
      <c r="AH7" s="129"/>
      <c r="AI7" s="129"/>
      <c r="AJ7" s="129"/>
      <c r="AK7" s="129"/>
      <c r="AL7" s="128"/>
      <c r="AM7" s="128"/>
      <c r="AN7" s="130"/>
      <c r="AO7" s="130"/>
      <c r="AP7" s="130"/>
      <c r="AQ7" s="130"/>
      <c r="AR7" s="130"/>
      <c r="AS7" s="130"/>
      <c r="AT7" s="130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9"/>
      <c r="BS7" s="129"/>
      <c r="BT7" s="128"/>
      <c r="BU7" s="128"/>
      <c r="BV7" s="128"/>
      <c r="BW7" s="128"/>
      <c r="BX7" s="128"/>
      <c r="BY7" s="131"/>
      <c r="BZ7" s="115"/>
      <c r="CA7" s="115"/>
      <c r="CB7" s="128"/>
      <c r="CC7" s="128"/>
      <c r="CD7" s="129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  <c r="CS7" s="128"/>
      <c r="CT7" s="128"/>
      <c r="CU7" s="128"/>
      <c r="CV7" s="128"/>
      <c r="CW7" s="128"/>
      <c r="CX7" s="128"/>
      <c r="CY7" s="128"/>
      <c r="CZ7" s="128"/>
      <c r="DA7" s="128"/>
      <c r="DB7" s="128"/>
      <c r="DC7" s="128"/>
      <c r="DD7" s="128">
        <f>+'L7'!H47</f>
        <v>44.513913043478269</v>
      </c>
      <c r="DE7" s="128"/>
      <c r="DF7" s="128"/>
      <c r="DG7" s="128"/>
      <c r="DH7" s="128"/>
      <c r="DI7" s="128"/>
      <c r="DJ7" s="128"/>
      <c r="DK7" s="128"/>
      <c r="DL7" s="128"/>
      <c r="DM7" s="128"/>
      <c r="DN7" s="128"/>
      <c r="DO7" s="128"/>
      <c r="DP7" s="128"/>
      <c r="DQ7" s="128"/>
    </row>
    <row r="8" spans="1:121 16384:16384" ht="18.75" x14ac:dyDescent="0.25">
      <c r="A8" s="114"/>
      <c r="B8" s="114" t="s">
        <v>40</v>
      </c>
      <c r="C8" s="128">
        <v>2.3586956521739131</v>
      </c>
      <c r="D8" s="132">
        <v>0</v>
      </c>
      <c r="E8" s="132">
        <v>0</v>
      </c>
      <c r="F8" s="132">
        <v>0</v>
      </c>
      <c r="G8" s="132">
        <v>0</v>
      </c>
      <c r="H8" s="132">
        <v>0</v>
      </c>
      <c r="I8" s="132">
        <v>0</v>
      </c>
      <c r="J8" s="132">
        <v>0</v>
      </c>
      <c r="K8" s="132">
        <v>0</v>
      </c>
      <c r="L8" s="132">
        <v>0</v>
      </c>
      <c r="M8" s="132">
        <v>0</v>
      </c>
      <c r="N8" s="129">
        <v>10.576086956521738</v>
      </c>
      <c r="O8" s="128">
        <v>10.576086956521738</v>
      </c>
      <c r="P8" s="129">
        <v>0</v>
      </c>
      <c r="Q8" s="128">
        <v>0</v>
      </c>
      <c r="R8" s="128">
        <v>0</v>
      </c>
      <c r="S8" s="128">
        <v>0</v>
      </c>
      <c r="T8" s="128">
        <v>0</v>
      </c>
      <c r="U8" s="128">
        <v>0</v>
      </c>
      <c r="V8" s="128">
        <v>0</v>
      </c>
      <c r="W8" s="128">
        <v>0</v>
      </c>
      <c r="X8" s="128">
        <v>0</v>
      </c>
      <c r="Y8" s="128">
        <v>0</v>
      </c>
      <c r="Z8" s="128">
        <v>0</v>
      </c>
      <c r="AA8" s="128">
        <v>0</v>
      </c>
      <c r="AB8" s="128">
        <v>0</v>
      </c>
      <c r="AC8" s="128">
        <v>0</v>
      </c>
      <c r="AD8" s="128">
        <v>0</v>
      </c>
      <c r="AE8" s="128">
        <v>0</v>
      </c>
      <c r="AF8" s="128">
        <v>0</v>
      </c>
      <c r="AG8" s="128">
        <v>0</v>
      </c>
      <c r="AH8" s="128">
        <v>0</v>
      </c>
      <c r="AI8" s="128">
        <v>0</v>
      </c>
      <c r="AJ8" s="128">
        <v>0</v>
      </c>
      <c r="AK8" s="128">
        <v>0</v>
      </c>
      <c r="AL8" s="128">
        <v>0</v>
      </c>
      <c r="AM8" s="128">
        <v>0</v>
      </c>
      <c r="AN8" s="130">
        <v>0</v>
      </c>
      <c r="AO8" s="130">
        <v>0</v>
      </c>
      <c r="AP8" s="130">
        <v>0</v>
      </c>
      <c r="AQ8" s="130">
        <v>0</v>
      </c>
      <c r="AR8" s="130">
        <v>0</v>
      </c>
      <c r="AS8" s="130">
        <v>0</v>
      </c>
      <c r="AT8" s="130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8">
        <v>0</v>
      </c>
      <c r="BB8" s="128">
        <v>0</v>
      </c>
      <c r="BC8" s="128">
        <v>0</v>
      </c>
      <c r="BD8" s="128">
        <v>0</v>
      </c>
      <c r="BE8" s="128">
        <v>0</v>
      </c>
      <c r="BF8" s="128">
        <v>0</v>
      </c>
      <c r="BG8" s="128">
        <v>0</v>
      </c>
      <c r="BH8" s="128">
        <v>0</v>
      </c>
      <c r="BI8" s="128">
        <v>0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0</v>
      </c>
      <c r="BU8" s="128">
        <v>0</v>
      </c>
      <c r="BV8" s="128">
        <v>0</v>
      </c>
      <c r="BW8" s="128">
        <v>0</v>
      </c>
      <c r="BX8" s="128">
        <v>0</v>
      </c>
      <c r="BY8" s="128">
        <v>0</v>
      </c>
      <c r="BZ8" s="115">
        <v>0</v>
      </c>
      <c r="CA8" s="115">
        <v>0</v>
      </c>
      <c r="CB8" s="128">
        <v>0</v>
      </c>
      <c r="CC8" s="128">
        <v>0</v>
      </c>
      <c r="CD8" s="128">
        <v>0</v>
      </c>
      <c r="CE8" s="128">
        <v>0</v>
      </c>
      <c r="CF8" s="128">
        <v>0</v>
      </c>
      <c r="CG8" s="128">
        <v>0</v>
      </c>
      <c r="CH8" s="128">
        <v>0</v>
      </c>
      <c r="CI8" s="128">
        <v>0</v>
      </c>
      <c r="CJ8" s="128">
        <v>0</v>
      </c>
      <c r="CK8" s="128">
        <v>0</v>
      </c>
      <c r="CL8" s="128">
        <v>0</v>
      </c>
      <c r="CM8" s="128">
        <v>0</v>
      </c>
      <c r="CN8" s="128">
        <v>0</v>
      </c>
      <c r="CO8" s="128">
        <v>0</v>
      </c>
      <c r="CP8" s="128">
        <v>0</v>
      </c>
      <c r="CQ8" s="128">
        <v>0</v>
      </c>
      <c r="CR8" s="128">
        <v>0</v>
      </c>
      <c r="CS8" s="128">
        <v>0</v>
      </c>
      <c r="CT8" s="128">
        <v>0</v>
      </c>
      <c r="CU8" s="128">
        <v>0</v>
      </c>
      <c r="CV8" s="128">
        <v>0</v>
      </c>
      <c r="CW8" s="128">
        <v>0</v>
      </c>
      <c r="CX8" s="128">
        <v>0</v>
      </c>
      <c r="CY8" s="128">
        <v>0</v>
      </c>
      <c r="CZ8" s="128">
        <v>0</v>
      </c>
      <c r="DA8" s="128">
        <v>0</v>
      </c>
      <c r="DB8" s="128">
        <v>0</v>
      </c>
      <c r="DC8" s="128">
        <v>0</v>
      </c>
      <c r="DD8" s="128">
        <v>0</v>
      </c>
      <c r="DE8" s="128"/>
      <c r="DF8" s="128"/>
      <c r="DG8" s="128"/>
      <c r="DH8" s="128"/>
      <c r="DI8" s="128"/>
      <c r="DJ8" s="128"/>
      <c r="DK8" s="128"/>
      <c r="DL8" s="128"/>
      <c r="DM8" s="128"/>
      <c r="DN8" s="128"/>
      <c r="DO8" s="128"/>
      <c r="DP8" s="128"/>
      <c r="DQ8" s="128"/>
    </row>
    <row r="9" spans="1:121 16384:16384" ht="18.75" x14ac:dyDescent="0.25">
      <c r="A9" s="114"/>
      <c r="B9" s="114" t="s">
        <v>41</v>
      </c>
      <c r="C9" s="128">
        <v>23.434782608695649</v>
      </c>
      <c r="D9" s="128">
        <v>23.89130434782609</v>
      </c>
      <c r="E9" s="128">
        <v>24.956521739130434</v>
      </c>
      <c r="F9" s="128">
        <v>24.804347826086961</v>
      </c>
      <c r="G9" s="128">
        <v>0</v>
      </c>
      <c r="H9" s="132">
        <v>0</v>
      </c>
      <c r="I9" s="128">
        <v>0</v>
      </c>
      <c r="J9" s="132">
        <v>0</v>
      </c>
      <c r="K9" s="132">
        <v>0</v>
      </c>
      <c r="L9" s="132">
        <v>0</v>
      </c>
      <c r="M9" s="129">
        <v>15.166666666666666</v>
      </c>
      <c r="N9" s="128">
        <v>14.388888888888889</v>
      </c>
      <c r="O9" s="128">
        <v>16.333333333333332</v>
      </c>
      <c r="P9" s="128">
        <v>56</v>
      </c>
      <c r="Q9" s="128">
        <v>61.933333333333337</v>
      </c>
      <c r="R9" s="128">
        <v>29.994444444444447</v>
      </c>
      <c r="S9" s="128">
        <v>30.6</v>
      </c>
      <c r="T9" s="128">
        <v>12.638888888888889</v>
      </c>
      <c r="U9" s="128">
        <v>12.638888888888889</v>
      </c>
      <c r="V9" s="128">
        <v>0</v>
      </c>
      <c r="W9" s="128">
        <v>0</v>
      </c>
      <c r="X9" s="128">
        <v>0</v>
      </c>
      <c r="Y9" s="128">
        <v>0</v>
      </c>
      <c r="Z9" s="128">
        <v>0</v>
      </c>
      <c r="AA9" s="128">
        <v>0</v>
      </c>
      <c r="AB9" s="128">
        <v>0</v>
      </c>
      <c r="AC9" s="128">
        <v>42.608695652173914</v>
      </c>
      <c r="AD9" s="128">
        <v>45.043478260869563</v>
      </c>
      <c r="AE9" s="128">
        <v>0</v>
      </c>
      <c r="AF9" s="128">
        <v>0</v>
      </c>
      <c r="AG9" s="128">
        <v>0</v>
      </c>
      <c r="AH9" s="128">
        <v>0</v>
      </c>
      <c r="AI9" s="128">
        <v>0</v>
      </c>
      <c r="AJ9" s="128">
        <v>0</v>
      </c>
      <c r="AK9" s="128">
        <v>0</v>
      </c>
      <c r="AL9" s="128">
        <v>0</v>
      </c>
      <c r="AM9" s="128">
        <v>0</v>
      </c>
      <c r="AN9" s="130">
        <v>0</v>
      </c>
      <c r="AO9" s="130">
        <v>0</v>
      </c>
      <c r="AP9" s="130">
        <v>0</v>
      </c>
      <c r="AQ9" s="130">
        <v>0</v>
      </c>
      <c r="AR9" s="130">
        <v>0</v>
      </c>
      <c r="AS9" s="130">
        <v>0</v>
      </c>
      <c r="AT9" s="130">
        <v>0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8">
        <v>0</v>
      </c>
      <c r="BB9" s="128">
        <v>0</v>
      </c>
      <c r="BC9" s="128">
        <v>0</v>
      </c>
      <c r="BD9" s="128">
        <v>26.075000000000003</v>
      </c>
      <c r="BE9" s="128">
        <v>0</v>
      </c>
      <c r="BF9" s="128">
        <v>0</v>
      </c>
      <c r="BG9" s="128">
        <v>0</v>
      </c>
      <c r="BH9" s="128">
        <v>0</v>
      </c>
      <c r="BI9" s="128">
        <v>0</v>
      </c>
      <c r="BJ9" s="128">
        <v>0</v>
      </c>
      <c r="BK9" s="129">
        <v>11.184782608695652</v>
      </c>
      <c r="BL9" s="129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28">
        <v>0</v>
      </c>
      <c r="BU9" s="128">
        <v>0</v>
      </c>
      <c r="BV9" s="128">
        <v>0</v>
      </c>
      <c r="BW9" s="128">
        <v>0</v>
      </c>
      <c r="BX9" s="128">
        <v>0</v>
      </c>
      <c r="BY9" s="128">
        <v>0</v>
      </c>
      <c r="BZ9" s="115">
        <v>0</v>
      </c>
      <c r="CA9" s="115">
        <v>0</v>
      </c>
      <c r="CB9" s="128">
        <v>0</v>
      </c>
      <c r="CC9" s="128">
        <v>14.608695652173914</v>
      </c>
      <c r="CD9" s="128">
        <v>14.913043478260871</v>
      </c>
      <c r="CE9" s="129">
        <v>0</v>
      </c>
      <c r="CF9" s="128">
        <v>0</v>
      </c>
      <c r="CG9" s="128">
        <v>0</v>
      </c>
      <c r="CH9" s="128">
        <v>0</v>
      </c>
      <c r="CI9" s="128">
        <v>0</v>
      </c>
      <c r="CJ9" s="129">
        <v>18.565217391304351</v>
      </c>
      <c r="CK9" s="128">
        <v>18.565217391304348</v>
      </c>
      <c r="CL9" s="128">
        <v>20.84782608695652</v>
      </c>
      <c r="CM9" s="128">
        <v>19.782608695652176</v>
      </c>
      <c r="CN9" s="128">
        <v>19.478260869565215</v>
      </c>
      <c r="CO9" s="128">
        <v>20.239130434782609</v>
      </c>
      <c r="CP9" s="128">
        <v>21.152173913043477</v>
      </c>
      <c r="CQ9" s="129">
        <v>0</v>
      </c>
      <c r="CR9" s="128">
        <v>0</v>
      </c>
      <c r="CS9" s="128">
        <v>20.847826086956523</v>
      </c>
      <c r="CT9" s="128">
        <v>22.673913043478262</v>
      </c>
      <c r="CU9" s="128">
        <v>21.608695652173914</v>
      </c>
      <c r="CV9" s="128">
        <v>24.347826086956523</v>
      </c>
      <c r="CW9" s="129">
        <v>0</v>
      </c>
      <c r="CX9" s="128">
        <v>0</v>
      </c>
      <c r="CY9" s="128">
        <v>0</v>
      </c>
      <c r="CZ9" s="128">
        <v>0</v>
      </c>
      <c r="DA9" s="128">
        <v>0</v>
      </c>
      <c r="DB9" s="128">
        <v>0</v>
      </c>
      <c r="DC9" s="128">
        <v>0</v>
      </c>
      <c r="DD9" s="128">
        <v>0</v>
      </c>
      <c r="DE9" s="128"/>
      <c r="DF9" s="128"/>
      <c r="DG9" s="128"/>
      <c r="DH9" s="128"/>
      <c r="DI9" s="128"/>
      <c r="DJ9" s="128"/>
      <c r="DK9" s="128"/>
      <c r="DL9" s="128"/>
      <c r="DM9" s="128"/>
      <c r="DN9" s="128"/>
      <c r="DO9" s="128"/>
      <c r="DP9" s="128"/>
      <c r="DQ9" s="128"/>
    </row>
    <row r="10" spans="1:121 16384:16384" ht="18.75" x14ac:dyDescent="0.25">
      <c r="A10" s="114"/>
      <c r="B10" s="114" t="s">
        <v>7</v>
      </c>
      <c r="C10" s="128">
        <v>0</v>
      </c>
      <c r="D10" s="128">
        <v>0</v>
      </c>
      <c r="E10" s="128">
        <v>0</v>
      </c>
      <c r="F10" s="128">
        <v>0</v>
      </c>
      <c r="G10" s="128">
        <v>0</v>
      </c>
      <c r="H10" s="128">
        <v>24.195652173913047</v>
      </c>
      <c r="I10" s="128">
        <v>38.576086956521742</v>
      </c>
      <c r="J10" s="128">
        <v>37.891304347826086</v>
      </c>
      <c r="K10" s="128">
        <v>38.804347826086953</v>
      </c>
      <c r="L10" s="128">
        <v>40.173913043478258</v>
      </c>
      <c r="M10" s="128">
        <v>27.619565217391305</v>
      </c>
      <c r="N10" s="129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8">
        <v>0</v>
      </c>
      <c r="V10" s="128">
        <v>0</v>
      </c>
      <c r="W10" s="128">
        <v>0</v>
      </c>
      <c r="X10" s="128">
        <v>0</v>
      </c>
      <c r="Y10" s="128">
        <v>0</v>
      </c>
      <c r="Z10" s="128">
        <v>0</v>
      </c>
      <c r="AA10" s="129">
        <v>51.130434782608702</v>
      </c>
      <c r="AB10" s="128">
        <v>49</v>
      </c>
      <c r="AC10" s="128">
        <v>0</v>
      </c>
      <c r="AD10" s="128">
        <v>0</v>
      </c>
      <c r="AE10" s="128">
        <v>23.130434782608695</v>
      </c>
      <c r="AF10" s="128">
        <v>22.826086956521738</v>
      </c>
      <c r="AG10" s="128">
        <v>23.586956521739133</v>
      </c>
      <c r="AH10" s="128">
        <v>25.108695652173914</v>
      </c>
      <c r="AI10" s="128">
        <v>25.108695652173914</v>
      </c>
      <c r="AJ10" s="128">
        <v>24.804347826086961</v>
      </c>
      <c r="AK10" s="128">
        <v>24.347826086956523</v>
      </c>
      <c r="AL10" s="128">
        <v>24.652173913043484</v>
      </c>
      <c r="AM10" s="128">
        <v>24.195652173913043</v>
      </c>
      <c r="AN10" s="130">
        <v>31.043478260869566</v>
      </c>
      <c r="AO10" s="130">
        <v>31.195652173913047</v>
      </c>
      <c r="AP10" s="130">
        <v>30.739130434782609</v>
      </c>
      <c r="AQ10" s="130">
        <v>29.521739130434785</v>
      </c>
      <c r="AR10" s="130">
        <v>31.804347826086957</v>
      </c>
      <c r="AS10" s="133">
        <v>39.413043478260867</v>
      </c>
      <c r="AT10" s="133">
        <v>37.891304347826093</v>
      </c>
      <c r="AU10" s="128">
        <v>31.043478260869566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8">
        <v>25.108695652173914</v>
      </c>
      <c r="BB10" s="128">
        <v>23.282608695652172</v>
      </c>
      <c r="BC10" s="128">
        <v>23.739130434782609</v>
      </c>
      <c r="BD10" s="128">
        <v>22.673913043478262</v>
      </c>
      <c r="BE10" s="128">
        <v>0</v>
      </c>
      <c r="BF10" s="128">
        <v>0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9">
        <v>31.043478260869566</v>
      </c>
      <c r="BM10" s="128">
        <v>29.065217391304344</v>
      </c>
      <c r="BN10" s="128">
        <v>28</v>
      </c>
      <c r="BO10" s="128">
        <v>28.913043478260867</v>
      </c>
      <c r="BP10" s="128">
        <v>28.304347826086953</v>
      </c>
      <c r="BQ10" s="128">
        <v>29.521739130434781</v>
      </c>
      <c r="BR10" s="128">
        <v>31.195652173913043</v>
      </c>
      <c r="BS10" s="129">
        <v>40.630434782608695</v>
      </c>
      <c r="BT10" s="128">
        <v>40.782608695652172</v>
      </c>
      <c r="BU10" s="128">
        <v>46.869565217391305</v>
      </c>
      <c r="BV10" s="128">
        <v>45.347826086956516</v>
      </c>
      <c r="BW10" s="128">
        <v>42.608695652173914</v>
      </c>
      <c r="BX10" s="128">
        <v>42.608695652173914</v>
      </c>
      <c r="BY10" s="128">
        <v>41.54347826086957</v>
      </c>
      <c r="BZ10" s="115">
        <v>42.456521739130437</v>
      </c>
      <c r="CA10" s="115">
        <v>37.434782608695656</v>
      </c>
      <c r="CB10" s="128">
        <v>35.304347826086953</v>
      </c>
      <c r="CC10" s="128">
        <v>35.760869565217391</v>
      </c>
      <c r="CD10" s="129">
        <v>20.39130434782609</v>
      </c>
      <c r="CE10" s="128">
        <v>20.239130434782609</v>
      </c>
      <c r="CF10" s="128">
        <v>21</v>
      </c>
      <c r="CG10" s="128">
        <v>20.847826086956523</v>
      </c>
      <c r="CH10" s="128">
        <v>20.84782608695652</v>
      </c>
      <c r="CI10" s="129">
        <v>0</v>
      </c>
      <c r="CJ10" s="129">
        <v>18.565217391304351</v>
      </c>
      <c r="CK10" s="128">
        <v>18.565217391304348</v>
      </c>
      <c r="CL10" s="128">
        <v>20.84782608695652</v>
      </c>
      <c r="CM10" s="128">
        <v>19.782608695652176</v>
      </c>
      <c r="CN10" s="128">
        <v>19.478260869565215</v>
      </c>
      <c r="CO10" s="128">
        <v>20.239130434782609</v>
      </c>
      <c r="CP10" s="128">
        <v>21.152173913043477</v>
      </c>
      <c r="CQ10" s="128">
        <v>41.391304347826093</v>
      </c>
      <c r="CR10" s="128">
        <v>40.478260869565219</v>
      </c>
      <c r="CS10" s="128">
        <v>20.847826086956523</v>
      </c>
      <c r="CT10" s="128">
        <v>22.673913043478262</v>
      </c>
      <c r="CU10" s="129">
        <v>0</v>
      </c>
      <c r="CV10" s="128">
        <v>0</v>
      </c>
      <c r="CW10" s="129">
        <v>45.956521739130437</v>
      </c>
      <c r="CX10" s="128">
        <v>40.478260869565219</v>
      </c>
      <c r="CY10" s="128">
        <v>39.260869565217391</v>
      </c>
      <c r="CZ10" s="128">
        <v>41.391304347826086</v>
      </c>
      <c r="DA10" s="128">
        <v>46.565217391304344</v>
      </c>
      <c r="DB10" s="128">
        <v>44.739130434782609</v>
      </c>
      <c r="DC10" s="128">
        <f>+[1]L1!J63+[1]L2!I66+[1]L7!I46</f>
        <v>45.956521739130437</v>
      </c>
      <c r="DD10" s="128">
        <f>+'L1'!J67+'L2'!I65+'L7'!I47</f>
        <v>35.380434782608695</v>
      </c>
      <c r="DE10" s="128"/>
      <c r="DF10" s="128"/>
      <c r="DG10" s="128"/>
      <c r="DH10" s="128"/>
      <c r="DI10" s="128"/>
      <c r="DJ10" s="128"/>
      <c r="DK10" s="128"/>
      <c r="DL10" s="128"/>
      <c r="DM10" s="128"/>
      <c r="DN10" s="128"/>
      <c r="DO10" s="128"/>
      <c r="DP10" s="128"/>
      <c r="DQ10" s="128"/>
    </row>
    <row r="11" spans="1:121 16384:16384" ht="18.75" x14ac:dyDescent="0.25">
      <c r="A11" s="114"/>
      <c r="B11" s="114" t="s">
        <v>42</v>
      </c>
      <c r="C11" s="128">
        <v>0</v>
      </c>
      <c r="D11" s="128">
        <v>0</v>
      </c>
      <c r="E11" s="128">
        <v>0</v>
      </c>
      <c r="F11" s="128">
        <v>0</v>
      </c>
      <c r="G11" s="128">
        <v>24.956521739130434</v>
      </c>
      <c r="H11" s="128">
        <v>0</v>
      </c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8">
        <v>0</v>
      </c>
      <c r="O11" s="128">
        <v>0</v>
      </c>
      <c r="P11" s="128">
        <v>0</v>
      </c>
      <c r="Q11" s="128">
        <v>0</v>
      </c>
      <c r="R11" s="128">
        <v>0</v>
      </c>
      <c r="S11" s="128">
        <v>0</v>
      </c>
      <c r="T11" s="128">
        <v>0</v>
      </c>
      <c r="U11" s="128">
        <v>0</v>
      </c>
      <c r="V11" s="129">
        <v>49</v>
      </c>
      <c r="W11" s="129">
        <v>47.782608695652172</v>
      </c>
      <c r="X11" s="128">
        <v>44.739130434782609</v>
      </c>
      <c r="Y11" s="128">
        <v>45.95652173913043</v>
      </c>
      <c r="Z11" s="128">
        <v>49.304347826086953</v>
      </c>
      <c r="AA11" s="128">
        <v>0</v>
      </c>
      <c r="AB11" s="128">
        <v>0</v>
      </c>
      <c r="AC11" s="128">
        <v>0</v>
      </c>
      <c r="AD11" s="128">
        <v>0</v>
      </c>
      <c r="AE11" s="128">
        <v>0</v>
      </c>
      <c r="AF11" s="128">
        <v>0</v>
      </c>
      <c r="AG11" s="128">
        <v>0</v>
      </c>
      <c r="AH11" s="128">
        <v>0</v>
      </c>
      <c r="AI11" s="128">
        <v>0</v>
      </c>
      <c r="AJ11" s="128">
        <v>0</v>
      </c>
      <c r="AK11" s="128">
        <v>0</v>
      </c>
      <c r="AL11" s="128">
        <v>0</v>
      </c>
      <c r="AM11" s="128">
        <v>0</v>
      </c>
      <c r="AN11" s="130">
        <v>0</v>
      </c>
      <c r="AO11" s="130">
        <v>0</v>
      </c>
      <c r="AP11" s="130">
        <v>0</v>
      </c>
      <c r="AQ11" s="130">
        <v>0</v>
      </c>
      <c r="AR11" s="130">
        <v>0</v>
      </c>
      <c r="AS11" s="130">
        <v>0</v>
      </c>
      <c r="AT11" s="130">
        <v>0</v>
      </c>
      <c r="AU11" s="129">
        <v>5.4782608695652177</v>
      </c>
      <c r="AV11" s="129">
        <v>29.521739130434781</v>
      </c>
      <c r="AW11" s="128">
        <v>29.141304347826086</v>
      </c>
      <c r="AX11" s="128">
        <v>40.554347826086953</v>
      </c>
      <c r="AY11" s="128">
        <v>41.543478260869563</v>
      </c>
      <c r="AZ11" s="128">
        <v>43.978260869565219</v>
      </c>
      <c r="BA11" s="128">
        <v>0</v>
      </c>
      <c r="BB11" s="128">
        <v>26.774999999999999</v>
      </c>
      <c r="BC11" s="128">
        <v>27.3</v>
      </c>
      <c r="BD11" s="128">
        <v>0</v>
      </c>
      <c r="BE11" s="128">
        <v>43.826086956521735</v>
      </c>
      <c r="BF11" s="128">
        <v>43.521739130434781</v>
      </c>
      <c r="BG11" s="128">
        <v>44.130434782608695</v>
      </c>
      <c r="BH11" s="128">
        <v>44.739130434782609</v>
      </c>
      <c r="BI11" s="128">
        <v>22.826086956521742</v>
      </c>
      <c r="BJ11" s="128">
        <v>22.065217391304348</v>
      </c>
      <c r="BK11" s="128">
        <v>22.369565217391305</v>
      </c>
      <c r="BL11" s="128">
        <v>22.065217391304348</v>
      </c>
      <c r="BM11" s="128">
        <v>20.695652173913047</v>
      </c>
      <c r="BN11" s="128">
        <v>19.478260869565219</v>
      </c>
      <c r="BO11" s="128">
        <v>20.086956521739129</v>
      </c>
      <c r="BP11" s="128">
        <v>22.924999999999997</v>
      </c>
      <c r="BQ11" s="128">
        <v>24.15</v>
      </c>
      <c r="BR11" s="128">
        <v>26.074999999999999</v>
      </c>
      <c r="BS11" s="129">
        <v>0</v>
      </c>
      <c r="BT11" s="128">
        <v>0</v>
      </c>
      <c r="BU11" s="128">
        <v>0</v>
      </c>
      <c r="BV11" s="128">
        <v>0</v>
      </c>
      <c r="BW11" s="128">
        <v>0</v>
      </c>
      <c r="BX11" s="128">
        <v>0</v>
      </c>
      <c r="BY11" s="128">
        <v>0</v>
      </c>
      <c r="BZ11" s="115">
        <v>0</v>
      </c>
      <c r="CA11" s="115">
        <v>0</v>
      </c>
      <c r="CB11" s="128">
        <v>0</v>
      </c>
      <c r="CC11" s="128">
        <v>0</v>
      </c>
      <c r="CD11" s="128">
        <v>0</v>
      </c>
      <c r="CE11" s="128">
        <v>0</v>
      </c>
      <c r="CF11" s="128">
        <v>0</v>
      </c>
      <c r="CG11" s="128">
        <v>0</v>
      </c>
      <c r="CH11" s="128">
        <v>0</v>
      </c>
      <c r="CI11" s="128">
        <v>21.152173913043477</v>
      </c>
      <c r="CJ11" s="128">
        <v>0</v>
      </c>
      <c r="CK11" s="128">
        <v>0</v>
      </c>
      <c r="CL11" s="128">
        <v>0</v>
      </c>
      <c r="CM11" s="128">
        <v>0</v>
      </c>
      <c r="CN11" s="128">
        <v>0</v>
      </c>
      <c r="CO11" s="128">
        <v>0</v>
      </c>
      <c r="CP11" s="128">
        <v>0</v>
      </c>
      <c r="CQ11" s="128">
        <v>0</v>
      </c>
      <c r="CR11" s="128">
        <v>0</v>
      </c>
      <c r="CS11" s="128">
        <v>0</v>
      </c>
      <c r="CT11" s="132">
        <v>0</v>
      </c>
      <c r="CU11" s="128">
        <v>0</v>
      </c>
      <c r="CV11" s="128">
        <v>0</v>
      </c>
      <c r="CW11" s="128">
        <v>0</v>
      </c>
      <c r="CX11" s="128">
        <v>0</v>
      </c>
      <c r="CY11" s="128">
        <v>0</v>
      </c>
      <c r="CZ11" s="128">
        <v>0</v>
      </c>
      <c r="DA11" s="128">
        <v>0</v>
      </c>
      <c r="DB11" s="128">
        <v>0</v>
      </c>
      <c r="DC11" s="128">
        <v>0</v>
      </c>
      <c r="DD11" s="128">
        <v>0</v>
      </c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</row>
    <row r="12" spans="1:121 16384:16384" ht="18.75" x14ac:dyDescent="0.25">
      <c r="A12" s="114"/>
      <c r="B12" s="114" t="s">
        <v>43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9"/>
      <c r="W12" s="129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30"/>
      <c r="AO12" s="130"/>
      <c r="AP12" s="130"/>
      <c r="AQ12" s="130"/>
      <c r="AR12" s="130"/>
      <c r="AS12" s="130"/>
      <c r="AT12" s="130"/>
      <c r="AU12" s="129"/>
      <c r="AV12" s="129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9"/>
      <c r="BT12" s="128"/>
      <c r="BU12" s="128"/>
      <c r="BV12" s="128"/>
      <c r="BW12" s="128"/>
      <c r="BX12" s="128"/>
      <c r="BY12" s="128">
        <v>7.5326086956521738</v>
      </c>
      <c r="BZ12" s="115">
        <v>7.608695652173914</v>
      </c>
      <c r="CA12" s="115">
        <v>7.3804347826086953</v>
      </c>
      <c r="CB12" s="128">
        <v>6.8478260869565215</v>
      </c>
      <c r="CC12" s="128">
        <v>6.8478260869565215</v>
      </c>
      <c r="CD12" s="128">
        <v>5.9347826086956523</v>
      </c>
      <c r="CE12" s="129">
        <v>0</v>
      </c>
      <c r="CF12" s="128">
        <v>0</v>
      </c>
      <c r="CG12" s="128">
        <v>7.2282608695652169</v>
      </c>
      <c r="CH12" s="128">
        <v>7</v>
      </c>
      <c r="CI12" s="129">
        <v>0</v>
      </c>
      <c r="CJ12" s="128">
        <v>0</v>
      </c>
      <c r="CK12" s="128">
        <v>0</v>
      </c>
      <c r="CL12" s="128">
        <v>0</v>
      </c>
      <c r="CM12" s="128">
        <v>0</v>
      </c>
      <c r="CN12" s="128">
        <v>0</v>
      </c>
      <c r="CO12" s="128">
        <v>0</v>
      </c>
      <c r="CP12" s="128">
        <v>0</v>
      </c>
      <c r="CQ12" s="128">
        <v>0</v>
      </c>
      <c r="CR12" s="128">
        <v>0</v>
      </c>
      <c r="CS12" s="128">
        <v>0</v>
      </c>
      <c r="CT12" s="132">
        <v>0</v>
      </c>
      <c r="CU12" s="128">
        <v>0</v>
      </c>
      <c r="CV12" s="128">
        <v>0</v>
      </c>
      <c r="CW12" s="128">
        <v>0</v>
      </c>
      <c r="CX12" s="128">
        <v>0</v>
      </c>
      <c r="CY12" s="128">
        <v>0</v>
      </c>
      <c r="CZ12" s="128">
        <v>0</v>
      </c>
      <c r="DA12" s="128">
        <v>0</v>
      </c>
      <c r="DB12" s="128">
        <v>0</v>
      </c>
      <c r="DC12" s="128">
        <v>0</v>
      </c>
      <c r="DD12" s="128">
        <v>0</v>
      </c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</row>
    <row r="13" spans="1:121 16384:16384" ht="18.75" x14ac:dyDescent="0.25">
      <c r="A13" s="114"/>
      <c r="B13" s="114" t="s">
        <v>44</v>
      </c>
      <c r="C13" s="134">
        <v>0.27391304347826084</v>
      </c>
      <c r="D13" s="134">
        <v>0.21000000000000005</v>
      </c>
      <c r="E13" s="134">
        <v>0.35</v>
      </c>
      <c r="F13" s="134">
        <v>0.31111111111111112</v>
      </c>
      <c r="G13" s="134">
        <v>0.5444444444444444</v>
      </c>
      <c r="H13" s="134">
        <v>0.62222222222222223</v>
      </c>
      <c r="I13" s="134">
        <v>0.62222222222222223</v>
      </c>
      <c r="J13" s="134">
        <v>0.69999999999999984</v>
      </c>
      <c r="K13" s="134">
        <v>0.93333333333333335</v>
      </c>
      <c r="L13" s="134">
        <v>1.088888888888889</v>
      </c>
      <c r="M13" s="134">
        <v>1.4000000000000004</v>
      </c>
      <c r="N13" s="134">
        <v>0.77777777777777768</v>
      </c>
      <c r="O13" s="134">
        <v>0.3888888888888889</v>
      </c>
      <c r="P13" s="134">
        <v>0.21000000000000005</v>
      </c>
      <c r="Q13" s="134">
        <v>0.3888888888888889</v>
      </c>
      <c r="R13" s="134">
        <v>0.77777777777777768</v>
      </c>
      <c r="S13" s="134">
        <v>0.77777777777777768</v>
      </c>
      <c r="T13" s="134">
        <v>1.6333333333333337</v>
      </c>
      <c r="U13" s="134">
        <v>1.0111111111111111</v>
      </c>
      <c r="V13" s="134">
        <v>1.0500000000000003</v>
      </c>
      <c r="W13" s="134">
        <v>1.6800000000000004</v>
      </c>
      <c r="X13" s="134">
        <v>1.2600000000000002</v>
      </c>
      <c r="Y13" s="134">
        <v>0.84000000000000008</v>
      </c>
      <c r="Z13" s="134">
        <v>1.2600000000000002</v>
      </c>
      <c r="AA13" s="134">
        <v>1.8200000000000007</v>
      </c>
      <c r="AB13" s="134">
        <v>1.0500000000000003</v>
      </c>
      <c r="AC13" s="134">
        <v>0.48999999999999994</v>
      </c>
      <c r="AD13" s="134">
        <v>1.1900000000000002</v>
      </c>
      <c r="AE13" s="134">
        <v>1.6100000000000005</v>
      </c>
      <c r="AF13" s="134">
        <v>1.8200000000000007</v>
      </c>
      <c r="AG13" s="134">
        <v>1.8900000000000006</v>
      </c>
      <c r="AH13" s="134">
        <v>1.2600000000000002</v>
      </c>
      <c r="AI13" s="134">
        <v>1.0500000000000003</v>
      </c>
      <c r="AJ13" s="134">
        <v>1.1200000000000003</v>
      </c>
      <c r="AK13" s="134">
        <v>0.76999999999999991</v>
      </c>
      <c r="AL13" s="134">
        <v>0.76999999999999991</v>
      </c>
      <c r="AM13" s="134">
        <v>1.1200000000000003</v>
      </c>
      <c r="AN13" s="135">
        <v>1.1900000000000002</v>
      </c>
      <c r="AO13" s="135">
        <v>1.4700000000000002</v>
      </c>
      <c r="AP13" s="135">
        <v>1.4700000000000002</v>
      </c>
      <c r="AQ13" s="135">
        <v>1.6100000000000005</v>
      </c>
      <c r="AR13" s="135">
        <v>1.6100000000000005</v>
      </c>
      <c r="AS13" s="135">
        <v>1.8200000000000007</v>
      </c>
      <c r="AT13" s="135">
        <v>1.5400000000000005</v>
      </c>
      <c r="AU13" s="134">
        <v>1.2600000000000002</v>
      </c>
      <c r="AV13" s="134">
        <v>1.4700000000000002</v>
      </c>
      <c r="AW13" s="134">
        <v>1.8900000000000006</v>
      </c>
      <c r="AX13" s="134">
        <v>1.8900000000000006</v>
      </c>
      <c r="AY13" s="134">
        <v>2.100000000000001</v>
      </c>
      <c r="AZ13" s="134">
        <v>2.5200000000000014</v>
      </c>
      <c r="BA13" s="134">
        <v>2.100000000000001</v>
      </c>
      <c r="BB13" s="134">
        <v>1.6800000000000004</v>
      </c>
      <c r="BC13" s="134">
        <v>1.8900000000000006</v>
      </c>
      <c r="BD13" s="134">
        <v>1.6800000000000004</v>
      </c>
      <c r="BE13" s="134">
        <v>1.1200000000000003</v>
      </c>
      <c r="BF13" s="134">
        <v>0</v>
      </c>
      <c r="BG13" s="134">
        <v>0</v>
      </c>
      <c r="BH13" s="134">
        <v>0</v>
      </c>
      <c r="BI13" s="134">
        <v>0</v>
      </c>
      <c r="BJ13" s="134">
        <v>0</v>
      </c>
      <c r="BK13" s="136">
        <v>1.4000000000000004</v>
      </c>
      <c r="BL13" s="134">
        <v>1.0080000000000002</v>
      </c>
      <c r="BM13" s="134">
        <v>1.2880000000000005</v>
      </c>
      <c r="BN13" s="134">
        <v>1.6800000000000008</v>
      </c>
      <c r="BO13" s="134">
        <v>1.848000000000001</v>
      </c>
      <c r="BP13" s="134">
        <v>1.6240000000000006</v>
      </c>
      <c r="BQ13" s="134">
        <v>2.1280000000000014</v>
      </c>
      <c r="BR13" s="134">
        <v>2.072000000000001</v>
      </c>
      <c r="BS13" s="134">
        <v>1.5680000000000007</v>
      </c>
      <c r="BT13" s="134">
        <v>1.848000000000001</v>
      </c>
      <c r="BU13" s="134">
        <v>1.6800000000000008</v>
      </c>
      <c r="BV13" s="134">
        <v>1.6240000000000006</v>
      </c>
      <c r="BW13" s="134">
        <v>1.7920000000000007</v>
      </c>
      <c r="BX13" s="134">
        <v>1.7920000000000007</v>
      </c>
      <c r="BY13" s="134">
        <v>1.4560000000000004</v>
      </c>
      <c r="BZ13" s="125">
        <v>1.1760000000000002</v>
      </c>
      <c r="CA13" s="125">
        <v>1.1200000000000003</v>
      </c>
      <c r="CB13" s="134">
        <v>1.1200000000000003</v>
      </c>
      <c r="CC13" s="134">
        <v>1.2320000000000002</v>
      </c>
      <c r="CD13" s="134">
        <v>1.3440000000000003</v>
      </c>
      <c r="CE13" s="134">
        <v>1.5120000000000005</v>
      </c>
      <c r="CF13" s="134">
        <v>1.4000000000000006</v>
      </c>
      <c r="CG13" s="134">
        <v>1.7920000000000007</v>
      </c>
      <c r="CH13" s="134">
        <v>1.7920000000000007</v>
      </c>
      <c r="CI13" s="134">
        <v>1.9040000000000008</v>
      </c>
      <c r="CJ13" s="134">
        <v>1.6240000000000006</v>
      </c>
      <c r="CK13" s="134">
        <v>1.9600000000000011</v>
      </c>
      <c r="CL13" s="134">
        <v>1.9600000000000011</v>
      </c>
      <c r="CM13" s="134">
        <v>1.9040000000000008</v>
      </c>
      <c r="CN13" s="134">
        <v>2.072000000000001</v>
      </c>
      <c r="CO13" s="134">
        <v>1.9600000000000011</v>
      </c>
      <c r="CP13" s="134">
        <v>2.2400000000000011</v>
      </c>
      <c r="CQ13" s="134">
        <v>2.4640000000000004</v>
      </c>
      <c r="CR13" s="134">
        <v>2.5759999999999996</v>
      </c>
      <c r="CS13" s="134">
        <v>2.4640000000000004</v>
      </c>
      <c r="CT13" s="134">
        <v>2.4640000000000004</v>
      </c>
      <c r="CU13" s="134">
        <v>2.072000000000001</v>
      </c>
      <c r="CV13" s="134">
        <v>2.2960000000000007</v>
      </c>
      <c r="CW13" s="134">
        <v>1.9040000000000008</v>
      </c>
      <c r="CX13" s="134">
        <v>1.5680000000000007</v>
      </c>
      <c r="CY13" s="134">
        <v>2.2960000000000007</v>
      </c>
      <c r="CZ13" s="134">
        <v>2.2960000000000007</v>
      </c>
      <c r="DA13" s="134">
        <v>2.855999999999999</v>
      </c>
      <c r="DB13" s="134">
        <v>2.6319999999999992</v>
      </c>
      <c r="DC13" s="134">
        <f>+[1]L1!I63</f>
        <v>2.1840000000000011</v>
      </c>
      <c r="DD13" s="134">
        <f>+'L1'!I67</f>
        <v>2.3520000000000003</v>
      </c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</row>
    <row r="14" spans="1:121 16384:16384" ht="18.75" x14ac:dyDescent="0.25">
      <c r="A14" s="114"/>
      <c r="B14" s="114" t="s">
        <v>45</v>
      </c>
      <c r="C14" s="134">
        <v>3.2340000000000027</v>
      </c>
      <c r="D14" s="134">
        <v>3.2970000000000024</v>
      </c>
      <c r="E14" s="134">
        <v>3.4440000000000026</v>
      </c>
      <c r="F14" s="134">
        <v>3.4230000000000027</v>
      </c>
      <c r="G14" s="134">
        <v>3.4440000000000026</v>
      </c>
      <c r="H14" s="134">
        <v>3.3390000000000022</v>
      </c>
      <c r="I14" s="134">
        <v>3.5490000000000013</v>
      </c>
      <c r="J14" s="134">
        <v>3.4860000000000024</v>
      </c>
      <c r="K14" s="134">
        <v>3.5700000000000021</v>
      </c>
      <c r="L14" s="134">
        <v>3.675000000000002</v>
      </c>
      <c r="M14" s="134">
        <v>3.3600000000000021</v>
      </c>
      <c r="N14" s="134">
        <v>3.5962500000000026</v>
      </c>
      <c r="O14" s="134">
        <v>3.2760000000000025</v>
      </c>
      <c r="P14" s="134">
        <v>3.1570000000000027</v>
      </c>
      <c r="Q14" s="134">
        <v>3.2760000000000025</v>
      </c>
      <c r="R14" s="134">
        <v>3.171000000000002</v>
      </c>
      <c r="S14" s="134">
        <v>3.213000000000001</v>
      </c>
      <c r="T14" s="134">
        <v>3.3600000000000025</v>
      </c>
      <c r="U14" s="134">
        <v>3.4230000000000027</v>
      </c>
      <c r="V14" s="134">
        <v>3.3810000000000029</v>
      </c>
      <c r="W14" s="134">
        <v>3.2970000000000024</v>
      </c>
      <c r="X14" s="134">
        <v>3.0870000000000024</v>
      </c>
      <c r="Y14" s="134">
        <v>3.1710000000000025</v>
      </c>
      <c r="Z14" s="134">
        <v>3.6487500000000033</v>
      </c>
      <c r="AA14" s="134">
        <v>3.5280000000000027</v>
      </c>
      <c r="AB14" s="134">
        <v>3.3810000000000024</v>
      </c>
      <c r="AC14" s="134">
        <v>2.9400000000000022</v>
      </c>
      <c r="AD14" s="134">
        <v>3.1080000000000023</v>
      </c>
      <c r="AE14" s="134">
        <v>3.1920000000000024</v>
      </c>
      <c r="AF14" s="134">
        <v>3.1500000000000026</v>
      </c>
      <c r="AG14" s="134">
        <v>3.2550000000000021</v>
      </c>
      <c r="AH14" s="134">
        <v>3.2340000000000022</v>
      </c>
      <c r="AI14" s="134">
        <v>3.2130000000000023</v>
      </c>
      <c r="AJ14" s="134">
        <v>3.2130000000000027</v>
      </c>
      <c r="AK14" s="134">
        <v>3.1500000000000021</v>
      </c>
      <c r="AL14" s="134">
        <v>3.0660000000000025</v>
      </c>
      <c r="AM14" s="134">
        <v>3.0660000000000025</v>
      </c>
      <c r="AN14" s="135">
        <v>2.8350000000000017</v>
      </c>
      <c r="AO14" s="135">
        <v>2.9400000000000022</v>
      </c>
      <c r="AP14" s="135">
        <v>2.8980000000000019</v>
      </c>
      <c r="AQ14" s="135">
        <v>2.8980000000000024</v>
      </c>
      <c r="AR14" s="135">
        <v>3.1290000000000022</v>
      </c>
      <c r="AS14" s="135">
        <v>3.1500000000000026</v>
      </c>
      <c r="AT14" s="135">
        <v>3.0240000000000022</v>
      </c>
      <c r="AU14" s="134">
        <v>2.8980000000000024</v>
      </c>
      <c r="AV14" s="134">
        <v>3.0030000000000023</v>
      </c>
      <c r="AW14" s="134">
        <v>3.0030000000000023</v>
      </c>
      <c r="AX14" s="134">
        <v>3.1080000000000023</v>
      </c>
      <c r="AY14" s="134">
        <v>3.2130000000000023</v>
      </c>
      <c r="AZ14" s="134">
        <v>3.3810000000000024</v>
      </c>
      <c r="BA14" s="134">
        <v>3.4650000000000025</v>
      </c>
      <c r="BB14" s="134">
        <v>3.2130000000000023</v>
      </c>
      <c r="BC14" s="134">
        <v>3.2760000000000025</v>
      </c>
      <c r="BD14" s="134">
        <v>3.1290000000000022</v>
      </c>
      <c r="BE14" s="134">
        <v>3.0240000000000022</v>
      </c>
      <c r="BF14" s="134">
        <v>3.0030000000000019</v>
      </c>
      <c r="BG14" s="134">
        <v>3.0450000000000026</v>
      </c>
      <c r="BH14" s="134">
        <v>3.0870000000000015</v>
      </c>
      <c r="BI14" s="134">
        <v>3.1500000000000021</v>
      </c>
      <c r="BJ14" s="134">
        <v>3.0450000000000017</v>
      </c>
      <c r="BK14" s="134">
        <v>3.0870000000000024</v>
      </c>
      <c r="BL14" s="134">
        <v>3.0450000000000021</v>
      </c>
      <c r="BM14" s="134">
        <v>2.8560000000000021</v>
      </c>
      <c r="BN14" s="134">
        <v>2.6880000000000024</v>
      </c>
      <c r="BO14" s="134">
        <v>2.772000000000002</v>
      </c>
      <c r="BP14" s="134">
        <v>2.7510000000000021</v>
      </c>
      <c r="BQ14" s="134">
        <v>2.8980000000000019</v>
      </c>
      <c r="BR14" s="134">
        <v>3.1290000000000022</v>
      </c>
      <c r="BS14" s="136">
        <v>4.9699999999999989</v>
      </c>
      <c r="BT14" s="134">
        <v>4.969999999999998</v>
      </c>
      <c r="BU14" s="134">
        <v>5.5999999999999952</v>
      </c>
      <c r="BV14" s="134">
        <v>5.5999999999999961</v>
      </c>
      <c r="BW14" s="134">
        <v>5.0749999999999975</v>
      </c>
      <c r="BX14" s="134">
        <v>5.0749999999999975</v>
      </c>
      <c r="BY14" s="134">
        <v>5.2499999999999973</v>
      </c>
      <c r="BZ14" s="125">
        <v>5.102999999999998</v>
      </c>
      <c r="CA14" s="125">
        <v>4.5149999999999988</v>
      </c>
      <c r="CB14" s="134">
        <v>4.5150000000000006</v>
      </c>
      <c r="CC14" s="134">
        <v>4.5150000000000006</v>
      </c>
      <c r="CD14" s="134">
        <v>4.6899999999999995</v>
      </c>
      <c r="CE14" s="134">
        <v>4.6550000000000002</v>
      </c>
      <c r="CF14" s="134">
        <v>4.83</v>
      </c>
      <c r="CG14" s="134">
        <v>4.7949999999999999</v>
      </c>
      <c r="CH14" s="134">
        <v>4.7949999999999999</v>
      </c>
      <c r="CI14" s="134">
        <v>4.8650000000000002</v>
      </c>
      <c r="CJ14" s="134">
        <v>4.2700000000000014</v>
      </c>
      <c r="CK14" s="134">
        <v>4.2699999999999996</v>
      </c>
      <c r="CL14" s="134">
        <v>4.7949999999999982</v>
      </c>
      <c r="CM14" s="134">
        <v>4.55</v>
      </c>
      <c r="CN14" s="134">
        <v>4.4800000000000004</v>
      </c>
      <c r="CO14" s="134">
        <v>4.6549999999999994</v>
      </c>
      <c r="CP14" s="134">
        <v>4.8649999999999984</v>
      </c>
      <c r="CQ14" s="134">
        <v>4.76</v>
      </c>
      <c r="CR14" s="134">
        <v>4.6549999999999994</v>
      </c>
      <c r="CS14" s="134">
        <v>4.7949999999999999</v>
      </c>
      <c r="CT14" s="134">
        <v>5.2149999999999981</v>
      </c>
      <c r="CU14" s="134">
        <v>4.9699999999999989</v>
      </c>
      <c r="CV14" s="134">
        <v>5.5999999999999979</v>
      </c>
      <c r="CW14" s="134">
        <v>5.2849999999999984</v>
      </c>
      <c r="CX14" s="134">
        <v>4.6549999999999994</v>
      </c>
      <c r="CY14" s="134">
        <v>4.5149999999999988</v>
      </c>
      <c r="CZ14" s="134">
        <v>4.76</v>
      </c>
      <c r="DA14" s="134">
        <v>5.3549999999999978</v>
      </c>
      <c r="DB14" s="134">
        <v>5.1449999999999987</v>
      </c>
      <c r="DC14" s="134">
        <f>+[1]L1!K63+[1]L2!J66+[1]L7!J46</f>
        <v>5.2849999999999975</v>
      </c>
      <c r="DD14" s="134">
        <f>+'L1'!K67+'L2'!J65+'L7'!J47</f>
        <v>5.4249999999999972</v>
      </c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</row>
    <row r="15" spans="1:121 16384:16384" ht="18.75" x14ac:dyDescent="0.25">
      <c r="A15" s="114"/>
      <c r="B15" s="114" t="s">
        <v>46</v>
      </c>
      <c r="C15" s="128">
        <v>67.375</v>
      </c>
      <c r="D15" s="132">
        <v>0</v>
      </c>
      <c r="E15" s="128">
        <v>71.75</v>
      </c>
      <c r="F15" s="128">
        <v>71.3125</v>
      </c>
      <c r="G15" s="128">
        <v>71.75</v>
      </c>
      <c r="H15" s="128">
        <v>69.5625</v>
      </c>
      <c r="I15" s="128">
        <v>73.9375</v>
      </c>
      <c r="J15" s="128">
        <v>72.625</v>
      </c>
      <c r="K15" s="128">
        <v>74.375</v>
      </c>
      <c r="L15" s="128">
        <v>76.5625</v>
      </c>
      <c r="M15" s="128">
        <v>70</v>
      </c>
      <c r="N15" s="128">
        <v>68.25</v>
      </c>
      <c r="O15" s="128">
        <v>68.25</v>
      </c>
      <c r="P15" s="128">
        <v>126</v>
      </c>
      <c r="Q15" s="128">
        <v>68.25</v>
      </c>
      <c r="R15" s="128">
        <v>66.0625</v>
      </c>
      <c r="S15" s="128">
        <v>66.9375</v>
      </c>
      <c r="T15" s="128">
        <v>70</v>
      </c>
      <c r="U15" s="128">
        <v>71.3125</v>
      </c>
      <c r="V15" s="128">
        <v>70.4375</v>
      </c>
      <c r="W15" s="128">
        <v>68.6875</v>
      </c>
      <c r="X15" s="128">
        <v>64.3125</v>
      </c>
      <c r="Y15" s="128">
        <v>66.0625</v>
      </c>
      <c r="Z15" s="128">
        <v>0</v>
      </c>
      <c r="AA15" s="128">
        <v>73.5</v>
      </c>
      <c r="AB15" s="128">
        <v>70.4375</v>
      </c>
      <c r="AC15" s="128">
        <v>122.5</v>
      </c>
      <c r="AD15" s="128">
        <v>129.5</v>
      </c>
      <c r="AE15" s="128">
        <v>133</v>
      </c>
      <c r="AF15" s="128">
        <v>0</v>
      </c>
      <c r="AG15" s="128">
        <v>0</v>
      </c>
      <c r="AH15" s="128">
        <v>0</v>
      </c>
      <c r="AI15" s="128">
        <v>0</v>
      </c>
      <c r="AJ15" s="128">
        <v>0</v>
      </c>
      <c r="AK15" s="128">
        <v>0</v>
      </c>
      <c r="AL15" s="129">
        <v>63.875</v>
      </c>
      <c r="AM15" s="129">
        <v>63.875</v>
      </c>
      <c r="AN15" s="130">
        <v>59.0625</v>
      </c>
      <c r="AO15" s="130">
        <v>122.5</v>
      </c>
      <c r="AP15" s="130">
        <v>120.75</v>
      </c>
      <c r="AQ15" s="130">
        <v>120.75</v>
      </c>
      <c r="AR15" s="130">
        <v>130.375</v>
      </c>
      <c r="AS15" s="130">
        <v>131.25</v>
      </c>
      <c r="AT15" s="130">
        <v>126</v>
      </c>
      <c r="AU15" s="128">
        <v>120.75</v>
      </c>
      <c r="AV15" s="128">
        <v>125.125</v>
      </c>
      <c r="AW15" s="128">
        <v>0</v>
      </c>
      <c r="AX15" s="128">
        <v>0</v>
      </c>
      <c r="AY15" s="128">
        <v>98</v>
      </c>
      <c r="AZ15" s="128">
        <v>140.875</v>
      </c>
      <c r="BA15" s="128">
        <v>72.1875</v>
      </c>
      <c r="BB15" s="128">
        <v>133.875</v>
      </c>
      <c r="BC15" s="128">
        <v>136.5</v>
      </c>
      <c r="BD15" s="128">
        <v>130.375</v>
      </c>
      <c r="BE15" s="128">
        <v>126</v>
      </c>
      <c r="BF15" s="128">
        <v>125.125</v>
      </c>
      <c r="BG15" s="128">
        <v>126.875</v>
      </c>
      <c r="BH15" s="128">
        <v>128.625</v>
      </c>
      <c r="BI15" s="128">
        <v>131.25</v>
      </c>
      <c r="BJ15" s="128">
        <v>126.875</v>
      </c>
      <c r="BK15" s="128">
        <v>128.625</v>
      </c>
      <c r="BL15" s="128">
        <v>126.875</v>
      </c>
      <c r="BM15" s="128">
        <v>119</v>
      </c>
      <c r="BN15" s="128">
        <v>112</v>
      </c>
      <c r="BO15" s="128">
        <v>115.5</v>
      </c>
      <c r="BP15" s="128">
        <v>114.625</v>
      </c>
      <c r="BQ15" s="128">
        <v>120.75</v>
      </c>
      <c r="BR15" s="128">
        <v>130.375</v>
      </c>
      <c r="BS15" s="129">
        <v>62.125</v>
      </c>
      <c r="BT15" s="128">
        <v>62.125</v>
      </c>
      <c r="BU15" s="128">
        <v>70</v>
      </c>
      <c r="BV15" s="128">
        <v>0</v>
      </c>
      <c r="BW15" s="119">
        <v>63.4375</v>
      </c>
      <c r="BX15" s="119">
        <v>63.4375</v>
      </c>
      <c r="BY15" s="128">
        <v>65.625</v>
      </c>
      <c r="BZ15" s="115">
        <v>135.97499999999999</v>
      </c>
      <c r="CA15" s="115">
        <v>121.04166666666666</v>
      </c>
      <c r="CB15" s="128">
        <v>114.97499999999999</v>
      </c>
      <c r="CC15" s="128">
        <v>86.1</v>
      </c>
      <c r="CD15" s="128">
        <v>58.625</v>
      </c>
      <c r="CE15" s="128">
        <v>58.1875</v>
      </c>
      <c r="CF15" s="128">
        <v>60.375</v>
      </c>
      <c r="CG15" s="129">
        <v>0</v>
      </c>
      <c r="CH15" s="128">
        <v>75.75</v>
      </c>
      <c r="CI15" s="128">
        <v>104.25</v>
      </c>
      <c r="CJ15" s="128">
        <v>122</v>
      </c>
      <c r="CK15" s="128">
        <v>61</v>
      </c>
      <c r="CL15" s="128">
        <v>68.5</v>
      </c>
      <c r="CM15" s="128">
        <v>65</v>
      </c>
      <c r="CN15" s="128">
        <v>64</v>
      </c>
      <c r="CO15" s="128">
        <v>66.5</v>
      </c>
      <c r="CP15" s="128">
        <v>104.25</v>
      </c>
      <c r="CQ15" s="128">
        <v>89.25</v>
      </c>
      <c r="CR15" s="128">
        <v>87.28125</v>
      </c>
      <c r="CS15" s="128">
        <v>89.90625</v>
      </c>
      <c r="CT15" s="128">
        <v>97.78125</v>
      </c>
      <c r="CU15" s="128">
        <v>93.1875</v>
      </c>
      <c r="CV15" s="128">
        <v>105</v>
      </c>
      <c r="CW15" s="128">
        <v>99.09375</v>
      </c>
      <c r="CX15" s="128">
        <v>87.28125</v>
      </c>
      <c r="CY15" s="128">
        <v>84.65625</v>
      </c>
      <c r="CZ15" s="128">
        <v>119</v>
      </c>
      <c r="DA15" s="128">
        <v>100.40625</v>
      </c>
      <c r="DB15" s="128">
        <v>96.46875</v>
      </c>
      <c r="DC15" s="128">
        <f>+[1]L1!L63+[1]L2!K66+[1]L7!K46</f>
        <v>99.09375</v>
      </c>
      <c r="DD15" s="128">
        <f>+'L1'!L67+'L2'!K65+'L7'!K47</f>
        <v>101.71875</v>
      </c>
      <c r="DE15" s="128"/>
      <c r="DF15" s="128"/>
      <c r="DG15" s="128"/>
      <c r="DH15" s="128"/>
      <c r="DI15" s="128"/>
      <c r="DJ15" s="128"/>
      <c r="DK15" s="128"/>
      <c r="DL15" s="128"/>
      <c r="DM15" s="128"/>
      <c r="DN15" s="128"/>
      <c r="DO15" s="128"/>
      <c r="DP15" s="128"/>
      <c r="DQ15" s="128"/>
    </row>
    <row r="16" spans="1:121 16384:16384" ht="18.75" x14ac:dyDescent="0.25">
      <c r="A16" s="114"/>
      <c r="B16" s="114" t="s">
        <v>47</v>
      </c>
      <c r="C16" s="115">
        <v>0</v>
      </c>
      <c r="D16" s="132">
        <v>0</v>
      </c>
      <c r="E16" s="132">
        <v>0</v>
      </c>
      <c r="F16" s="132">
        <v>0</v>
      </c>
      <c r="G16" s="132">
        <v>0</v>
      </c>
      <c r="H16" s="132">
        <v>0</v>
      </c>
      <c r="I16" s="115">
        <v>2366</v>
      </c>
      <c r="J16" s="115">
        <v>2324</v>
      </c>
      <c r="K16" s="115">
        <v>2366</v>
      </c>
      <c r="L16" s="116">
        <v>9800</v>
      </c>
      <c r="M16" s="115">
        <v>8960</v>
      </c>
      <c r="N16" s="116">
        <v>4165</v>
      </c>
      <c r="O16" s="116">
        <v>8736</v>
      </c>
      <c r="P16" s="116">
        <v>1456</v>
      </c>
      <c r="Q16" s="115">
        <v>1596</v>
      </c>
      <c r="R16" s="116">
        <v>0</v>
      </c>
      <c r="S16" s="115">
        <v>0</v>
      </c>
      <c r="T16" s="115">
        <v>0</v>
      </c>
      <c r="U16" s="115">
        <v>0</v>
      </c>
      <c r="V16" s="115">
        <v>0</v>
      </c>
      <c r="W16" s="115">
        <v>0</v>
      </c>
      <c r="X16" s="115">
        <v>0</v>
      </c>
      <c r="Y16" s="115">
        <v>0</v>
      </c>
      <c r="Z16" s="115">
        <v>328</v>
      </c>
      <c r="AA16" s="115">
        <v>0</v>
      </c>
      <c r="AB16" s="115">
        <v>0</v>
      </c>
      <c r="AC16" s="115">
        <v>0</v>
      </c>
      <c r="AD16" s="115">
        <v>0</v>
      </c>
      <c r="AE16" s="115">
        <v>0</v>
      </c>
      <c r="AF16" s="115">
        <v>0</v>
      </c>
      <c r="AG16" s="115">
        <v>0</v>
      </c>
      <c r="AH16" s="115">
        <v>0</v>
      </c>
      <c r="AI16" s="115">
        <v>0</v>
      </c>
      <c r="AJ16" s="115">
        <v>0</v>
      </c>
      <c r="AK16" s="115">
        <v>0</v>
      </c>
      <c r="AL16" s="115">
        <v>0</v>
      </c>
      <c r="AM16" s="115">
        <v>0</v>
      </c>
      <c r="AN16" s="118">
        <v>1890</v>
      </c>
      <c r="AO16" s="118">
        <v>0</v>
      </c>
      <c r="AP16" s="118">
        <v>0</v>
      </c>
      <c r="AQ16" s="118">
        <v>0</v>
      </c>
      <c r="AR16" s="118">
        <v>0</v>
      </c>
      <c r="AS16" s="118">
        <v>0</v>
      </c>
      <c r="AT16" s="118">
        <v>0</v>
      </c>
      <c r="AU16" s="115">
        <v>0</v>
      </c>
      <c r="AV16" s="115">
        <v>0</v>
      </c>
      <c r="AW16" s="115">
        <v>0</v>
      </c>
      <c r="AX16" s="115">
        <v>0</v>
      </c>
      <c r="AY16" s="115">
        <v>0</v>
      </c>
      <c r="AZ16" s="115">
        <v>0</v>
      </c>
      <c r="BA16" s="115">
        <v>0</v>
      </c>
      <c r="BB16" s="115">
        <v>0</v>
      </c>
      <c r="BC16" s="115">
        <v>0</v>
      </c>
      <c r="BD16" s="115">
        <v>0</v>
      </c>
      <c r="BE16" s="115">
        <v>0</v>
      </c>
      <c r="BF16" s="115">
        <v>0</v>
      </c>
      <c r="BG16" s="115">
        <v>0</v>
      </c>
      <c r="BH16" s="115">
        <v>0</v>
      </c>
      <c r="BI16" s="115">
        <v>0</v>
      </c>
      <c r="BJ16" s="115">
        <v>0</v>
      </c>
      <c r="BK16" s="115">
        <v>0</v>
      </c>
      <c r="BL16" s="115">
        <v>0</v>
      </c>
      <c r="BM16" s="115">
        <v>0</v>
      </c>
      <c r="BN16" s="115">
        <v>0</v>
      </c>
      <c r="BO16" s="115">
        <v>0</v>
      </c>
      <c r="BP16" s="115">
        <v>0</v>
      </c>
      <c r="BQ16" s="115">
        <v>0</v>
      </c>
      <c r="BR16" s="115">
        <v>0</v>
      </c>
      <c r="BS16" s="115">
        <v>0</v>
      </c>
      <c r="BT16" s="115">
        <v>0</v>
      </c>
      <c r="BU16" s="115">
        <v>0</v>
      </c>
      <c r="BV16" s="115">
        <v>0</v>
      </c>
      <c r="BW16" s="115">
        <v>0</v>
      </c>
      <c r="BX16" s="115">
        <v>0</v>
      </c>
      <c r="BY16" s="115">
        <v>0</v>
      </c>
      <c r="BZ16" s="115">
        <v>0</v>
      </c>
      <c r="CA16" s="115">
        <v>0</v>
      </c>
      <c r="CB16" s="115">
        <v>0</v>
      </c>
      <c r="CC16" s="115">
        <v>0</v>
      </c>
      <c r="CD16" s="115">
        <v>0</v>
      </c>
      <c r="CE16" s="115">
        <v>0</v>
      </c>
      <c r="CF16" s="115">
        <v>0</v>
      </c>
      <c r="CG16" s="115">
        <v>0</v>
      </c>
      <c r="CH16" s="115">
        <v>0</v>
      </c>
      <c r="CI16" s="115">
        <v>0</v>
      </c>
      <c r="CJ16" s="115">
        <v>0</v>
      </c>
      <c r="CK16" s="115">
        <v>0</v>
      </c>
      <c r="CL16" s="115">
        <v>0</v>
      </c>
      <c r="CM16" s="115">
        <v>0</v>
      </c>
      <c r="CN16" s="115">
        <v>0</v>
      </c>
      <c r="CO16" s="115">
        <v>0</v>
      </c>
      <c r="CP16" s="115">
        <v>0</v>
      </c>
      <c r="CQ16" s="115">
        <v>0</v>
      </c>
      <c r="CR16" s="115">
        <v>0</v>
      </c>
      <c r="CS16" s="115">
        <v>0</v>
      </c>
      <c r="CT16" s="115">
        <v>0</v>
      </c>
      <c r="CU16" s="115">
        <v>0</v>
      </c>
      <c r="CV16" s="115">
        <v>0</v>
      </c>
      <c r="CW16" s="126">
        <v>2.1139999999999999</v>
      </c>
      <c r="CX16" s="115">
        <v>0</v>
      </c>
      <c r="CY16" s="115">
        <v>0</v>
      </c>
      <c r="CZ16" s="115">
        <v>0</v>
      </c>
      <c r="DA16" s="115">
        <v>0</v>
      </c>
      <c r="DB16" s="115">
        <v>0</v>
      </c>
      <c r="DC16" s="115">
        <v>0</v>
      </c>
      <c r="DD16" s="115">
        <v>0</v>
      </c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</row>
    <row r="17" spans="1:121 16384:16384" ht="18.75" x14ac:dyDescent="0.25">
      <c r="A17" s="114"/>
      <c r="B17" s="114" t="s">
        <v>48</v>
      </c>
      <c r="C17" s="115"/>
      <c r="D17" s="132"/>
      <c r="E17" s="132"/>
      <c r="F17" s="132"/>
      <c r="G17" s="132"/>
      <c r="H17" s="132"/>
      <c r="I17" s="115"/>
      <c r="J17" s="115"/>
      <c r="K17" s="115"/>
      <c r="L17" s="116"/>
      <c r="M17" s="115"/>
      <c r="N17" s="116"/>
      <c r="O17" s="116"/>
      <c r="P17" s="116"/>
      <c r="Q17" s="115"/>
      <c r="R17" s="116"/>
      <c r="S17" s="115"/>
      <c r="T17" s="115"/>
      <c r="U17" s="115"/>
      <c r="V17" s="115"/>
      <c r="W17" s="126">
        <v>1.7171875000000001</v>
      </c>
      <c r="X17" s="125">
        <v>1.09375</v>
      </c>
      <c r="Y17" s="125">
        <v>1.1375</v>
      </c>
      <c r="Z17" s="125">
        <v>1.2578125</v>
      </c>
      <c r="AA17" s="125">
        <v>0</v>
      </c>
      <c r="AB17" s="125">
        <v>0</v>
      </c>
      <c r="AC17" s="125">
        <v>0</v>
      </c>
      <c r="AD17" s="125">
        <v>1.5696969696969696</v>
      </c>
      <c r="AE17" s="125">
        <v>1.6625000000000001</v>
      </c>
      <c r="AF17" s="125">
        <v>0</v>
      </c>
      <c r="AG17" s="125">
        <v>0</v>
      </c>
      <c r="AH17" s="125">
        <v>0</v>
      </c>
      <c r="AI17" s="125">
        <v>0</v>
      </c>
      <c r="AJ17" s="125">
        <v>0</v>
      </c>
      <c r="AK17" s="125">
        <v>0</v>
      </c>
      <c r="AL17" s="125">
        <v>0</v>
      </c>
      <c r="AM17" s="125">
        <v>0</v>
      </c>
      <c r="AN17" s="137">
        <v>0</v>
      </c>
      <c r="AO17" s="137">
        <v>0</v>
      </c>
      <c r="AP17" s="137">
        <v>0</v>
      </c>
      <c r="AQ17" s="137">
        <v>0</v>
      </c>
      <c r="AR17" s="137">
        <v>0</v>
      </c>
      <c r="AS17" s="137">
        <v>0</v>
      </c>
      <c r="AT17" s="137">
        <v>0</v>
      </c>
      <c r="AU17" s="125">
        <v>0</v>
      </c>
      <c r="AV17" s="125">
        <v>0</v>
      </c>
      <c r="AW17" s="125">
        <v>0</v>
      </c>
      <c r="AX17" s="125">
        <v>0</v>
      </c>
      <c r="AY17" s="125">
        <v>0</v>
      </c>
      <c r="AZ17" s="125">
        <v>0</v>
      </c>
      <c r="BA17" s="125">
        <v>0</v>
      </c>
      <c r="BB17" s="125">
        <v>0</v>
      </c>
      <c r="BC17" s="125">
        <v>0</v>
      </c>
      <c r="BD17" s="125">
        <v>0</v>
      </c>
      <c r="BE17" s="125">
        <v>0</v>
      </c>
      <c r="BF17" s="126">
        <v>3.1281249999999998</v>
      </c>
      <c r="BG17" s="125">
        <v>3.171875</v>
      </c>
      <c r="BH17" s="125">
        <v>3.2156249999999997</v>
      </c>
      <c r="BI17" s="125">
        <v>3.28125</v>
      </c>
      <c r="BJ17" s="125">
        <v>3.1718750000000004</v>
      </c>
      <c r="BK17" s="126">
        <v>1.6078125000000001</v>
      </c>
      <c r="BL17" s="126">
        <v>0.83125000000000004</v>
      </c>
      <c r="BM17" s="125">
        <v>0.77656250000000004</v>
      </c>
      <c r="BN17" s="125">
        <v>0.72187500000000004</v>
      </c>
      <c r="BO17" s="125">
        <v>0.80937500000000007</v>
      </c>
      <c r="BP17" s="125">
        <v>0.79843750000000002</v>
      </c>
      <c r="BQ17" s="125">
        <v>0.84218749999999998</v>
      </c>
      <c r="BR17" s="125">
        <v>0.99531250000000004</v>
      </c>
      <c r="BS17" s="125">
        <v>0</v>
      </c>
      <c r="BT17" s="125">
        <v>0</v>
      </c>
      <c r="BU17" s="125">
        <v>0</v>
      </c>
      <c r="BV17" s="125">
        <v>0</v>
      </c>
      <c r="BW17" s="125">
        <v>0</v>
      </c>
      <c r="BX17" s="125">
        <v>0</v>
      </c>
      <c r="BY17" s="125">
        <v>0</v>
      </c>
      <c r="BZ17" s="115">
        <v>0</v>
      </c>
      <c r="CA17" s="115">
        <v>0</v>
      </c>
      <c r="CB17" s="125">
        <v>0</v>
      </c>
      <c r="CC17" s="125">
        <v>0</v>
      </c>
      <c r="CD17" s="125">
        <v>0</v>
      </c>
      <c r="CE17" s="126">
        <v>0.55781250000000004</v>
      </c>
      <c r="CF17" s="125">
        <v>0.53593749999999996</v>
      </c>
      <c r="CG17" s="125">
        <v>0.56874999999999998</v>
      </c>
      <c r="CH17" s="125">
        <v>0.546875</v>
      </c>
      <c r="CI17" s="125">
        <v>1.5203125</v>
      </c>
      <c r="CJ17" s="125">
        <v>18.565217391304351</v>
      </c>
      <c r="CK17" s="125">
        <v>0</v>
      </c>
      <c r="CL17" s="125">
        <v>0</v>
      </c>
      <c r="CM17" s="125">
        <v>0</v>
      </c>
      <c r="CN17" s="125">
        <v>0</v>
      </c>
      <c r="CO17" s="125">
        <v>0</v>
      </c>
      <c r="CP17" s="125">
        <v>0</v>
      </c>
      <c r="CQ17" s="125">
        <v>0</v>
      </c>
      <c r="CR17" s="125">
        <v>0</v>
      </c>
      <c r="CS17" s="125">
        <v>0</v>
      </c>
      <c r="CT17" s="125">
        <v>0</v>
      </c>
      <c r="CU17" s="125">
        <v>0</v>
      </c>
      <c r="CV17" s="125">
        <v>0</v>
      </c>
      <c r="CW17" s="125">
        <v>0</v>
      </c>
      <c r="CX17" s="125">
        <v>0</v>
      </c>
      <c r="CY17" s="125">
        <v>0</v>
      </c>
      <c r="CZ17" s="125">
        <v>0</v>
      </c>
      <c r="DA17" s="125">
        <v>0</v>
      </c>
      <c r="DB17" s="125">
        <v>0</v>
      </c>
      <c r="DC17" s="125">
        <v>0</v>
      </c>
      <c r="DD17" s="125">
        <v>0</v>
      </c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</row>
    <row r="18" spans="1:121 16384:16384" ht="18.75" x14ac:dyDescent="0.25">
      <c r="A18" s="114"/>
      <c r="B18" s="114"/>
      <c r="C18" s="114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8"/>
      <c r="AO18" s="138"/>
      <c r="AP18" s="138"/>
      <c r="AQ18" s="138"/>
      <c r="AR18" s="138"/>
      <c r="AS18" s="138"/>
      <c r="AT18" s="138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  <c r="DA18" s="132"/>
      <c r="DB18" s="132"/>
      <c r="DC18" s="132"/>
      <c r="DD18" s="132"/>
      <c r="DE18" s="132"/>
      <c r="DF18" s="132"/>
      <c r="DG18" s="132"/>
      <c r="DH18" s="132"/>
      <c r="DI18" s="132"/>
      <c r="DJ18" s="132"/>
      <c r="DK18" s="132"/>
      <c r="DL18" s="132"/>
      <c r="DM18" s="132"/>
      <c r="DN18" s="132"/>
      <c r="DO18" s="132"/>
      <c r="DP18" s="132"/>
      <c r="DQ18" s="132"/>
    </row>
    <row r="19" spans="1:121 16384:16384" ht="18.75" x14ac:dyDescent="0.25">
      <c r="A19" s="114"/>
      <c r="B19" s="109" t="s">
        <v>49</v>
      </c>
      <c r="C19" s="110">
        <v>40661</v>
      </c>
      <c r="D19" s="110">
        <v>40681</v>
      </c>
      <c r="E19" s="110">
        <v>40698</v>
      </c>
      <c r="F19" s="110">
        <v>40721</v>
      </c>
      <c r="G19" s="110">
        <v>40743</v>
      </c>
      <c r="H19" s="110">
        <v>40763</v>
      </c>
      <c r="I19" s="110">
        <v>40789</v>
      </c>
      <c r="J19" s="110">
        <v>40817</v>
      </c>
      <c r="K19" s="110">
        <v>40835</v>
      </c>
      <c r="L19" s="110">
        <v>40845</v>
      </c>
      <c r="M19" s="110">
        <v>40882</v>
      </c>
      <c r="N19" s="110">
        <v>40907</v>
      </c>
      <c r="O19" s="110">
        <v>40924</v>
      </c>
      <c r="P19" s="110">
        <v>40936</v>
      </c>
      <c r="Q19" s="110">
        <v>40971</v>
      </c>
      <c r="R19" s="110">
        <v>41006</v>
      </c>
      <c r="S19" s="110">
        <v>41027</v>
      </c>
      <c r="T19" s="110">
        <v>41047</v>
      </c>
      <c r="U19" s="110">
        <v>41062</v>
      </c>
      <c r="V19" s="110">
        <v>41092</v>
      </c>
      <c r="W19" s="110">
        <v>41118</v>
      </c>
      <c r="X19" s="110">
        <v>41153</v>
      </c>
      <c r="Y19" s="110">
        <v>41181</v>
      </c>
      <c r="Z19" s="110">
        <v>41202</v>
      </c>
      <c r="AA19" s="110">
        <v>41238</v>
      </c>
      <c r="AB19" s="110">
        <v>41265</v>
      </c>
      <c r="AC19" s="110">
        <v>41300</v>
      </c>
      <c r="AD19" s="110">
        <v>41324</v>
      </c>
      <c r="AE19" s="110">
        <v>41349</v>
      </c>
      <c r="AF19" s="110">
        <v>41363</v>
      </c>
      <c r="AG19" s="110">
        <v>41378</v>
      </c>
      <c r="AH19" s="110">
        <v>41395</v>
      </c>
      <c r="AI19" s="110">
        <v>41415</v>
      </c>
      <c r="AJ19" s="110">
        <v>41426</v>
      </c>
      <c r="AK19" s="110">
        <v>41441</v>
      </c>
      <c r="AL19" s="110">
        <v>41455</v>
      </c>
      <c r="AM19" s="110">
        <v>41470</v>
      </c>
      <c r="AN19" s="112">
        <v>41489</v>
      </c>
      <c r="AO19" s="112">
        <v>41517</v>
      </c>
      <c r="AP19" s="112">
        <v>41532</v>
      </c>
      <c r="AQ19" s="112">
        <v>41546</v>
      </c>
      <c r="AR19" s="112">
        <v>41567</v>
      </c>
      <c r="AS19" s="112">
        <v>41587</v>
      </c>
      <c r="AT19" s="112">
        <v>41624</v>
      </c>
      <c r="AU19" s="110">
        <v>41664</v>
      </c>
      <c r="AV19" s="110">
        <v>41692</v>
      </c>
      <c r="AW19" s="110">
        <v>41713</v>
      </c>
      <c r="AX19" s="110">
        <v>41727</v>
      </c>
      <c r="AY19" s="110">
        <v>41748</v>
      </c>
      <c r="AZ19" s="110">
        <v>41769</v>
      </c>
      <c r="BA19" s="110">
        <v>41797</v>
      </c>
      <c r="BB19" s="110">
        <v>41897</v>
      </c>
      <c r="BC19" s="110">
        <v>41937</v>
      </c>
      <c r="BD19" s="110">
        <v>41966</v>
      </c>
      <c r="BE19" s="110">
        <v>41998</v>
      </c>
      <c r="BF19" s="110">
        <v>42037</v>
      </c>
      <c r="BG19" s="110">
        <v>42061</v>
      </c>
      <c r="BH19" s="110">
        <v>42082</v>
      </c>
      <c r="BI19" s="110">
        <v>42130</v>
      </c>
      <c r="BJ19" s="110">
        <v>42155</v>
      </c>
      <c r="BK19" s="110">
        <v>42181</v>
      </c>
      <c r="BL19" s="110">
        <v>42214</v>
      </c>
      <c r="BM19" s="110">
        <v>42240</v>
      </c>
      <c r="BN19" s="110">
        <v>42275</v>
      </c>
      <c r="BO19" s="110">
        <v>42305</v>
      </c>
      <c r="BP19" s="110">
        <v>42334</v>
      </c>
      <c r="BQ19" s="110">
        <v>42359</v>
      </c>
      <c r="BR19" s="110">
        <v>42394</v>
      </c>
      <c r="BS19" s="110">
        <v>42429</v>
      </c>
      <c r="BT19" s="110">
        <v>42453</v>
      </c>
      <c r="BU19" s="110">
        <v>42487</v>
      </c>
      <c r="BV19" s="110">
        <v>42520</v>
      </c>
      <c r="BW19" s="110">
        <v>42547</v>
      </c>
      <c r="BX19" s="110">
        <v>42577</v>
      </c>
      <c r="BY19" s="110">
        <v>42609</v>
      </c>
      <c r="BZ19" s="110">
        <v>42641</v>
      </c>
      <c r="CA19" s="110">
        <v>42674</v>
      </c>
      <c r="CB19" s="110">
        <v>42703</v>
      </c>
      <c r="CC19" s="110">
        <v>42731</v>
      </c>
      <c r="CD19" s="110">
        <v>42766</v>
      </c>
      <c r="CE19" s="110">
        <v>42793</v>
      </c>
      <c r="CF19" s="110">
        <v>42810</v>
      </c>
      <c r="CG19" s="110">
        <v>42826</v>
      </c>
      <c r="CH19" s="110">
        <v>42849</v>
      </c>
      <c r="CI19" s="110">
        <v>42879</v>
      </c>
      <c r="CJ19" s="110">
        <v>42915</v>
      </c>
      <c r="CK19" s="110">
        <v>42947</v>
      </c>
      <c r="CL19" s="110">
        <v>42978</v>
      </c>
      <c r="CM19" s="110">
        <v>43008</v>
      </c>
      <c r="CN19" s="110">
        <v>43038</v>
      </c>
      <c r="CO19" s="110" t="s">
        <v>34</v>
      </c>
      <c r="CP19" s="110">
        <v>43100</v>
      </c>
      <c r="CQ19" s="110">
        <v>43129</v>
      </c>
      <c r="CR19" s="110">
        <v>43157</v>
      </c>
      <c r="CS19" s="110">
        <v>43185</v>
      </c>
      <c r="CT19" s="110">
        <v>43222</v>
      </c>
      <c r="CU19" s="110">
        <v>43249</v>
      </c>
      <c r="CV19" s="110">
        <v>43281</v>
      </c>
      <c r="CW19" s="110">
        <v>43312</v>
      </c>
      <c r="CX19" s="110">
        <v>43339</v>
      </c>
      <c r="CY19" s="110">
        <v>43367</v>
      </c>
      <c r="CZ19" s="110">
        <v>43402</v>
      </c>
      <c r="DA19" s="110">
        <v>43437</v>
      </c>
      <c r="DB19" s="110">
        <v>43460</v>
      </c>
      <c r="DC19" s="110">
        <f>+DC1</f>
        <v>43493</v>
      </c>
      <c r="DD19" s="110">
        <f>+DD1</f>
        <v>43521</v>
      </c>
      <c r="DE19" s="110"/>
      <c r="DF19" s="110"/>
      <c r="DG19" s="110"/>
      <c r="DH19" s="110"/>
      <c r="DI19" s="110"/>
      <c r="DJ19" s="110"/>
      <c r="DK19" s="110"/>
      <c r="DL19" s="110"/>
      <c r="DM19" s="110"/>
      <c r="DN19" s="110"/>
      <c r="DO19" s="110"/>
      <c r="DP19" s="110"/>
      <c r="DQ19" s="110"/>
    </row>
    <row r="20" spans="1:121 16384:16384" ht="18.75" x14ac:dyDescent="0.25">
      <c r="A20" s="114"/>
      <c r="B20" s="114" t="s">
        <v>50</v>
      </c>
      <c r="C20" s="115">
        <v>19961.269999999997</v>
      </c>
      <c r="D20" s="115">
        <v>20586.79</v>
      </c>
      <c r="E20" s="115">
        <v>21144.270000000004</v>
      </c>
      <c r="F20" s="115">
        <v>21345.38</v>
      </c>
      <c r="G20" s="115">
        <v>21634.759999999995</v>
      </c>
      <c r="H20" s="115">
        <v>21171.5</v>
      </c>
      <c r="I20" s="115">
        <v>23296.909999999996</v>
      </c>
      <c r="J20" s="115">
        <v>23893.729999999996</v>
      </c>
      <c r="K20" s="115">
        <v>23982.350000000002</v>
      </c>
      <c r="L20" s="115">
        <v>24803.800000000003</v>
      </c>
      <c r="M20" s="115">
        <v>22814.820000000003</v>
      </c>
      <c r="N20" s="115">
        <v>20651.89</v>
      </c>
      <c r="O20" s="115">
        <v>20205.850000000002</v>
      </c>
      <c r="P20" s="115">
        <v>18363.240000000002</v>
      </c>
      <c r="Q20" s="115">
        <v>20852.510000000002</v>
      </c>
      <c r="R20" s="115">
        <v>22156.750000000004</v>
      </c>
      <c r="S20" s="115">
        <v>22766.03</v>
      </c>
      <c r="T20" s="115">
        <v>22818.950000000004</v>
      </c>
      <c r="U20" s="115">
        <v>22744.609999999997</v>
      </c>
      <c r="V20" s="115">
        <v>21656.53</v>
      </c>
      <c r="W20" s="116">
        <v>23392.04</v>
      </c>
      <c r="X20" s="115">
        <v>21446.950000000004</v>
      </c>
      <c r="Y20" s="115">
        <v>22516.13</v>
      </c>
      <c r="Z20" s="115">
        <v>23680.51</v>
      </c>
      <c r="AA20" s="115">
        <v>24913.700000000004</v>
      </c>
      <c r="AB20" s="115">
        <v>22923.53</v>
      </c>
      <c r="AC20" s="115">
        <v>20128.360000000004</v>
      </c>
      <c r="AD20" s="115">
        <v>21670.95</v>
      </c>
      <c r="AE20" s="115">
        <v>22724.59</v>
      </c>
      <c r="AF20" s="115">
        <v>22779.750000000004</v>
      </c>
      <c r="AG20" s="115">
        <v>22566.879999999997</v>
      </c>
      <c r="AH20" s="115">
        <v>22173.41</v>
      </c>
      <c r="AI20" s="115">
        <v>21998.34</v>
      </c>
      <c r="AJ20" s="115">
        <v>21078.890000000003</v>
      </c>
      <c r="AK20" s="115">
        <v>20684.3</v>
      </c>
      <c r="AL20" s="115">
        <v>19850.460000000003</v>
      </c>
      <c r="AM20" s="115">
        <v>21283.71</v>
      </c>
      <c r="AN20" s="118">
        <v>19347.159999999996</v>
      </c>
      <c r="AO20" s="118">
        <v>20066.270000000004</v>
      </c>
      <c r="AP20" s="118">
        <v>20554.59</v>
      </c>
      <c r="AQ20" s="118">
        <v>20547.03</v>
      </c>
      <c r="AR20" s="118">
        <v>22466.010000000002</v>
      </c>
      <c r="AS20" s="118">
        <v>22464.82</v>
      </c>
      <c r="AT20" s="118">
        <v>21558.600000000002</v>
      </c>
      <c r="AU20" s="115">
        <v>21444.500000000004</v>
      </c>
      <c r="AV20" s="115">
        <v>21265.09</v>
      </c>
      <c r="AW20" s="115">
        <v>22502.62</v>
      </c>
      <c r="AX20" s="115">
        <v>22898.960000000006</v>
      </c>
      <c r="AY20" s="115">
        <v>23554.719999999998</v>
      </c>
      <c r="AZ20" s="115">
        <v>23747.85</v>
      </c>
      <c r="BA20" s="115">
        <v>24345.93</v>
      </c>
      <c r="BB20" s="115">
        <v>21434.35</v>
      </c>
      <c r="BC20" s="115">
        <v>22650.32</v>
      </c>
      <c r="BD20" s="115">
        <v>20874.489999999994</v>
      </c>
      <c r="BE20" s="115">
        <v>20128.430000000004</v>
      </c>
      <c r="BF20" s="115">
        <v>20420.82</v>
      </c>
      <c r="BG20" s="115">
        <v>20351.170000000002</v>
      </c>
      <c r="BH20" s="115">
        <v>22554.279999999992</v>
      </c>
      <c r="BI20" s="115">
        <v>22416.519999999997</v>
      </c>
      <c r="BJ20" s="115">
        <v>21049.49</v>
      </c>
      <c r="BK20" s="115">
        <v>20653.359999999997</v>
      </c>
      <c r="BL20" s="115">
        <v>20132</v>
      </c>
      <c r="BM20" s="115">
        <v>20593.93</v>
      </c>
      <c r="BN20" s="115">
        <v>20240.080000000002</v>
      </c>
      <c r="BO20" s="115">
        <v>21035.840000000004</v>
      </c>
      <c r="BP20" s="115">
        <v>21392.350000000002</v>
      </c>
      <c r="BQ20" s="115">
        <v>23439.989999999998</v>
      </c>
      <c r="BR20" s="115">
        <v>24800.299999999996</v>
      </c>
      <c r="BS20" s="115">
        <v>22645.840000000004</v>
      </c>
      <c r="BT20" s="115">
        <v>24360.140000000003</v>
      </c>
      <c r="BU20" s="115">
        <v>24280.759999999995</v>
      </c>
      <c r="BV20" s="115">
        <v>24826.549999999996</v>
      </c>
      <c r="BW20" s="115">
        <v>23685.690000000002</v>
      </c>
      <c r="BX20" s="139">
        <v>23685.690000000002</v>
      </c>
      <c r="BY20" s="115">
        <v>21963.969999999994</v>
      </c>
      <c r="BZ20" s="115">
        <v>22824.550000000003</v>
      </c>
      <c r="CA20" s="115">
        <v>19919.34</v>
      </c>
      <c r="CB20" s="115">
        <v>19211.990000000005</v>
      </c>
      <c r="CC20" s="115">
        <v>18292.68</v>
      </c>
      <c r="CD20" s="115">
        <v>19223.82</v>
      </c>
      <c r="CE20" s="115">
        <v>20435.939999999995</v>
      </c>
      <c r="CF20" s="115">
        <v>20859.16</v>
      </c>
      <c r="CG20" s="115">
        <v>20756.960000000006</v>
      </c>
      <c r="CH20" s="115">
        <v>19306.349999999999</v>
      </c>
      <c r="CI20" s="115">
        <v>19238.940000000002</v>
      </c>
      <c r="CJ20" s="115">
        <v>17814.719999999998</v>
      </c>
      <c r="CK20" s="115">
        <v>17662.400000000005</v>
      </c>
      <c r="CL20" s="115">
        <v>20309.100000000002</v>
      </c>
      <c r="CM20" s="115">
        <v>19736.849999999999</v>
      </c>
      <c r="CN20" s="115">
        <v>20184.5</v>
      </c>
      <c r="CO20" s="115">
        <v>21559.02</v>
      </c>
      <c r="CP20" s="115">
        <v>21572.670000000002</v>
      </c>
      <c r="CQ20" s="115">
        <v>20948.2</v>
      </c>
      <c r="CR20" s="115">
        <v>22698.200000000004</v>
      </c>
      <c r="CS20" s="115">
        <v>23626.82</v>
      </c>
      <c r="CT20" s="115">
        <v>24297.42</v>
      </c>
      <c r="CU20" s="115">
        <v>22521.59</v>
      </c>
      <c r="CV20" s="115">
        <v>23702.630000000005</v>
      </c>
      <c r="CW20" s="115">
        <v>20989.85</v>
      </c>
      <c r="CX20" s="115">
        <v>19143.669999999998</v>
      </c>
      <c r="CY20" s="115">
        <v>18780.579999999998</v>
      </c>
      <c r="CZ20" s="115">
        <v>20531.279999999992</v>
      </c>
      <c r="DA20" s="115">
        <v>23657.97</v>
      </c>
      <c r="DB20" s="115">
        <v>22841.14</v>
      </c>
      <c r="DC20" s="115">
        <f>+([1]L1!E61+[1]L2!E64+[1]L7!E44)*7</f>
        <v>22762.390000000007</v>
      </c>
      <c r="DD20" s="115">
        <f>+('L1'!E65+'L2'!E63+'L7'!E45)*7</f>
        <v>22526.279999999995</v>
      </c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</row>
    <row r="21" spans="1:121 16384:16384" ht="18.75" x14ac:dyDescent="0.25">
      <c r="A21" s="114"/>
      <c r="B21" s="114" t="s">
        <v>51</v>
      </c>
      <c r="C21" s="115">
        <v>8090.67</v>
      </c>
      <c r="D21" s="115">
        <v>8419.7400000000034</v>
      </c>
      <c r="E21" s="115">
        <v>8644.159999999998</v>
      </c>
      <c r="F21" s="115">
        <v>8562.7499999999982</v>
      </c>
      <c r="G21" s="115">
        <v>8439.27</v>
      </c>
      <c r="H21" s="115">
        <v>8076.5381159420294</v>
      </c>
      <c r="I21" s="115">
        <v>9580.7346376811602</v>
      </c>
      <c r="J21" s="115">
        <v>9703.2528985507233</v>
      </c>
      <c r="K21" s="115">
        <v>9728.1718840579706</v>
      </c>
      <c r="L21" s="115">
        <v>10009.348695652174</v>
      </c>
      <c r="M21" s="115">
        <v>9481.85</v>
      </c>
      <c r="N21" s="115">
        <v>7766.29</v>
      </c>
      <c r="O21" s="115">
        <v>7672.84</v>
      </c>
      <c r="P21" s="115">
        <v>8115.17</v>
      </c>
      <c r="Q21" s="115">
        <v>9237.09</v>
      </c>
      <c r="R21" s="115">
        <v>8518.7700000000023</v>
      </c>
      <c r="S21" s="115">
        <v>8746.369999999999</v>
      </c>
      <c r="T21" s="115">
        <v>8137.78</v>
      </c>
      <c r="U21" s="115">
        <v>8172.0800000000017</v>
      </c>
      <c r="V21" s="115">
        <v>9208.64</v>
      </c>
      <c r="W21" s="115">
        <v>9794.68</v>
      </c>
      <c r="X21" s="115">
        <v>8896.58</v>
      </c>
      <c r="Y21" s="115">
        <v>9218.7199999999993</v>
      </c>
      <c r="Z21" s="115">
        <v>9842.840000000002</v>
      </c>
      <c r="AA21" s="115">
        <v>10343.830000000002</v>
      </c>
      <c r="AB21" s="115">
        <v>9511.6</v>
      </c>
      <c r="AC21" s="115">
        <v>7778.6830434782614</v>
      </c>
      <c r="AD21" s="115">
        <v>8405.8252173913042</v>
      </c>
      <c r="AE21" s="115">
        <v>8289.6800000000021</v>
      </c>
      <c r="AF21" s="115">
        <v>8262.59</v>
      </c>
      <c r="AG21" s="115">
        <v>8283.66</v>
      </c>
      <c r="AH21" s="115">
        <v>7934.85</v>
      </c>
      <c r="AI21" s="115">
        <v>7785.82</v>
      </c>
      <c r="AJ21" s="115">
        <v>7633.0099999999993</v>
      </c>
      <c r="AK21" s="115">
        <v>7530.3899999999994</v>
      </c>
      <c r="AL21" s="115">
        <v>7180.0400000000009</v>
      </c>
      <c r="AM21" s="115">
        <v>7663.88</v>
      </c>
      <c r="AN21" s="115">
        <v>7267.6799999999994</v>
      </c>
      <c r="AO21" s="115">
        <v>7739.4404846225543</v>
      </c>
      <c r="AP21" s="115">
        <v>7855.54</v>
      </c>
      <c r="AQ21" s="115">
        <v>7871.4299999999985</v>
      </c>
      <c r="AR21" s="115">
        <v>8569.3999999999978</v>
      </c>
      <c r="AS21" s="115">
        <v>8918.4900000000016</v>
      </c>
      <c r="AT21" s="115">
        <v>8548.4699999999993</v>
      </c>
      <c r="AU21" s="115">
        <v>8441.44</v>
      </c>
      <c r="AV21" s="115">
        <v>8098.16</v>
      </c>
      <c r="AW21" s="115">
        <v>8246.7837925021777</v>
      </c>
      <c r="AX21" s="115">
        <v>8688.4699999999993</v>
      </c>
      <c r="AY21" s="115">
        <v>8960.07</v>
      </c>
      <c r="AZ21" s="115">
        <v>9191</v>
      </c>
      <c r="BA21" s="115">
        <v>8438.2899999999972</v>
      </c>
      <c r="BB21" s="115">
        <v>8468.0399999999991</v>
      </c>
      <c r="BC21" s="115">
        <v>8939.2799999999988</v>
      </c>
      <c r="BD21" s="115">
        <v>8282.94551724138</v>
      </c>
      <c r="BE21" s="115">
        <v>7952.630000000001</v>
      </c>
      <c r="BF21" s="115">
        <v>7950.5300000000025</v>
      </c>
      <c r="BG21" s="115">
        <v>8026.06</v>
      </c>
      <c r="BH21" s="115">
        <v>8845.27</v>
      </c>
      <c r="BI21" s="115">
        <v>7648.7599999999993</v>
      </c>
      <c r="BJ21" s="115">
        <v>7257.5300000000016</v>
      </c>
      <c r="BK21" s="115">
        <v>7633.1500000000015</v>
      </c>
      <c r="BL21" s="115">
        <v>8340.2900000000009</v>
      </c>
      <c r="BM21" s="115">
        <v>8359.7500000000018</v>
      </c>
      <c r="BN21" s="115">
        <v>8034.8799999999992</v>
      </c>
      <c r="BO21" s="115">
        <v>8420.1600000000017</v>
      </c>
      <c r="BP21" s="115">
        <v>8619.7299999999977</v>
      </c>
      <c r="BQ21" s="115">
        <v>9295.7899999999972</v>
      </c>
      <c r="BR21" s="115">
        <v>10131.978181818182</v>
      </c>
      <c r="BS21" s="115">
        <v>9517.7599999999984</v>
      </c>
      <c r="BT21" s="115">
        <v>9835.6856410256405</v>
      </c>
      <c r="BU21" s="115">
        <v>10349.849999999999</v>
      </c>
      <c r="BV21" s="115">
        <v>10258.570000000002</v>
      </c>
      <c r="BW21" s="115">
        <v>9976.1899999999987</v>
      </c>
      <c r="BX21" s="139">
        <v>9976.1899999999987</v>
      </c>
      <c r="BY21" s="115">
        <v>9655.1</v>
      </c>
      <c r="BZ21" s="115">
        <v>9885.33</v>
      </c>
      <c r="CA21" s="115">
        <v>8766.2400000000016</v>
      </c>
      <c r="CB21" s="115">
        <v>8418.6899999999987</v>
      </c>
      <c r="CC21" s="115">
        <v>8764.4199999999983</v>
      </c>
      <c r="CD21" s="115">
        <v>8749.93</v>
      </c>
      <c r="CE21" s="115">
        <v>7996.2400000000007</v>
      </c>
      <c r="CF21" s="115">
        <v>8249.9900000000016</v>
      </c>
      <c r="CG21" s="115">
        <v>8498.0700000000015</v>
      </c>
      <c r="CH21" s="115">
        <v>7964.6699999999992</v>
      </c>
      <c r="CI21" s="115">
        <v>7628.5299999999988</v>
      </c>
      <c r="CJ21" s="115">
        <v>7859.949999999998</v>
      </c>
      <c r="CK21" s="115">
        <v>7808.64</v>
      </c>
      <c r="CL21" s="115">
        <v>8819.2300000000014</v>
      </c>
      <c r="CM21" s="115">
        <v>8666.840000000002</v>
      </c>
      <c r="CN21" s="115">
        <v>8774.15</v>
      </c>
      <c r="CO21" s="115">
        <v>9307.2699999999986</v>
      </c>
      <c r="CP21" s="115">
        <v>9437.33</v>
      </c>
      <c r="CQ21" s="115">
        <v>9126.8100000000013</v>
      </c>
      <c r="CR21" s="115">
        <v>9720.0600000000013</v>
      </c>
      <c r="CS21" s="115">
        <v>10080.490000000002</v>
      </c>
      <c r="CT21" s="115">
        <v>10486.07</v>
      </c>
      <c r="CU21" s="115">
        <v>8694.35</v>
      </c>
      <c r="CV21" s="115">
        <v>9161.6700000000019</v>
      </c>
      <c r="CW21" s="115">
        <v>9140.4599999999991</v>
      </c>
      <c r="CX21" s="115">
        <v>8313.7599999999984</v>
      </c>
      <c r="CY21" s="115">
        <v>8215.2000000000007</v>
      </c>
      <c r="CZ21" s="115">
        <v>9004.1699999999983</v>
      </c>
      <c r="DA21" s="115">
        <v>10254.09</v>
      </c>
      <c r="DB21" s="115">
        <v>9927.9599999999991</v>
      </c>
      <c r="DC21" s="115">
        <f>+((DC6+DC9)*46)+(DC11*46)+(DC10*46)+(DC8*46)+(DC12*46)</f>
        <v>9918.2999999999993</v>
      </c>
      <c r="DD21" s="115">
        <f>+((DD6+DD9)*46)+(DD11*46)+(DD10*46)+(DD8*46)+(DD12*46)+(DD7*46)</f>
        <v>9436.2800000000007</v>
      </c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XFD21" s="115">
        <v>0</v>
      </c>
    </row>
    <row r="22" spans="1:121 16384:16384" ht="18.75" x14ac:dyDescent="0.25">
      <c r="A22" s="114"/>
      <c r="B22" s="114" t="s">
        <v>52</v>
      </c>
      <c r="C22" s="140">
        <v>2.4671961654597205</v>
      </c>
      <c r="D22" s="140">
        <v>2.4450624366073055</v>
      </c>
      <c r="E22" s="140">
        <v>2.4460757320549376</v>
      </c>
      <c r="F22" s="140">
        <v>2.4928183118741063</v>
      </c>
      <c r="G22" s="140">
        <v>2.5635819211851256</v>
      </c>
      <c r="H22" s="140">
        <v>2.621358272080736</v>
      </c>
      <c r="I22" s="140">
        <v>2.4316412969390604</v>
      </c>
      <c r="J22" s="140">
        <v>2.4624453520704135</v>
      </c>
      <c r="K22" s="140">
        <v>2.4652473543668618</v>
      </c>
      <c r="L22" s="140">
        <v>2.4780633340083549</v>
      </c>
      <c r="M22" s="140">
        <v>2.406157026318704</v>
      </c>
      <c r="N22" s="140">
        <v>2.659170594968769</v>
      </c>
      <c r="O22" s="140">
        <v>2.6334251724263771</v>
      </c>
      <c r="P22" s="140">
        <v>2.2628287515849945</v>
      </c>
      <c r="Q22" s="140">
        <v>2.2574761099004124</v>
      </c>
      <c r="R22" s="140">
        <v>2.6009329985432168</v>
      </c>
      <c r="S22" s="140">
        <v>2.6029118365676278</v>
      </c>
      <c r="T22" s="140">
        <v>2.8040755586904544</v>
      </c>
      <c r="U22" s="140">
        <v>2.7832094154731712</v>
      </c>
      <c r="V22" s="140">
        <v>2.3517620408659692</v>
      </c>
      <c r="W22" s="140">
        <v>2.3882393299219578</v>
      </c>
      <c r="X22" s="140">
        <v>2.4106960202684631</v>
      </c>
      <c r="Y22" s="140">
        <v>2.4424356092819832</v>
      </c>
      <c r="Z22" s="140">
        <v>2.4058615196427042</v>
      </c>
      <c r="AA22" s="140">
        <v>2.4085565984746462</v>
      </c>
      <c r="AB22" s="140">
        <v>2.4100603473653219</v>
      </c>
      <c r="AC22" s="140">
        <v>2.5876308222734252</v>
      </c>
      <c r="AD22" s="140">
        <v>2.5780871526050415</v>
      </c>
      <c r="AE22" s="140">
        <v>2.7413108829291355</v>
      </c>
      <c r="AF22" s="140">
        <v>2.7569745079932568</v>
      </c>
      <c r="AG22" s="140">
        <v>2.7242643952069492</v>
      </c>
      <c r="AH22" s="140">
        <v>2.7944334171408407</v>
      </c>
      <c r="AI22" s="140">
        <v>2.8254364986603853</v>
      </c>
      <c r="AJ22" s="140">
        <v>2.7615436112359353</v>
      </c>
      <c r="AK22" s="140">
        <v>2.746776727367374</v>
      </c>
      <c r="AL22" s="140">
        <v>2.7646726202082439</v>
      </c>
      <c r="AM22" s="140">
        <v>2.7771455189799421</v>
      </c>
      <c r="AN22" s="140">
        <v>2.6620819848975188</v>
      </c>
      <c r="AO22" s="140">
        <v>2.5927287689426062</v>
      </c>
      <c r="AP22" s="140">
        <v>2.6165725080643725</v>
      </c>
      <c r="AQ22" s="140">
        <v>2.6103300162740446</v>
      </c>
      <c r="AR22" s="140">
        <v>2.6216549583401414</v>
      </c>
      <c r="AS22" s="140">
        <v>2.5189039848673929</v>
      </c>
      <c r="AT22" s="140">
        <v>2.521924976048346</v>
      </c>
      <c r="AU22" s="140">
        <v>2.5403841050815976</v>
      </c>
      <c r="AV22" s="140">
        <v>2.6259162575202271</v>
      </c>
      <c r="AW22" s="140">
        <v>2.72865405062019</v>
      </c>
      <c r="AX22" s="140">
        <v>2.635557238501141</v>
      </c>
      <c r="AY22" s="140">
        <v>2.6288544620745147</v>
      </c>
      <c r="AZ22" s="140">
        <v>2.5838156892612338</v>
      </c>
      <c r="BA22" s="140">
        <v>2.8851734178370272</v>
      </c>
      <c r="BB22" s="140">
        <v>2.5312055682306651</v>
      </c>
      <c r="BC22" s="140">
        <v>2.5337969053436074</v>
      </c>
      <c r="BD22" s="140">
        <v>2.5201771467105103</v>
      </c>
      <c r="BE22" s="140">
        <v>2.5310406745944425</v>
      </c>
      <c r="BF22" s="140">
        <v>2.5684853714154898</v>
      </c>
      <c r="BG22" s="140">
        <v>2.5356364143801566</v>
      </c>
      <c r="BH22" s="140">
        <v>2.5498690260444272</v>
      </c>
      <c r="BI22" s="140">
        <v>2.9307391001940184</v>
      </c>
      <c r="BJ22" s="140">
        <v>2.9003655513652711</v>
      </c>
      <c r="BK22" s="140">
        <v>2.7057453344949325</v>
      </c>
      <c r="BL22" s="140">
        <v>2.4138249389409716</v>
      </c>
      <c r="BM22" s="140">
        <v>2.4634624241155532</v>
      </c>
      <c r="BN22" s="140">
        <v>2.51902704209646</v>
      </c>
      <c r="BO22" s="140">
        <v>2.498270816706571</v>
      </c>
      <c r="BP22" s="140">
        <v>2.4817888727373139</v>
      </c>
      <c r="BQ22" s="140">
        <v>2.5215705174062673</v>
      </c>
      <c r="BR22" s="140">
        <v>2.4477253656649296</v>
      </c>
      <c r="BS22" s="140">
        <v>2.3793245469522248</v>
      </c>
      <c r="BT22" s="140">
        <v>2.4767098999577004</v>
      </c>
      <c r="BU22" s="140">
        <v>2.3460011497751174</v>
      </c>
      <c r="BV22" s="140">
        <v>2.4200790168610236</v>
      </c>
      <c r="BW22" s="140">
        <v>2.3742220226358968</v>
      </c>
      <c r="BX22" s="141">
        <v>2.3742220226358968</v>
      </c>
      <c r="BY22" s="140">
        <v>2.2748568114260848</v>
      </c>
      <c r="BZ22" s="140">
        <v>2.3089315177136225</v>
      </c>
      <c r="CA22" s="140">
        <v>2.2722786508240702</v>
      </c>
      <c r="CB22" s="140">
        <v>2.282064074101791</v>
      </c>
      <c r="CC22" s="140">
        <v>2.0871523728894785</v>
      </c>
      <c r="CD22" s="140">
        <v>2.1970255762046094</v>
      </c>
      <c r="CE22" s="140">
        <v>2.5556936760277322</v>
      </c>
      <c r="CF22" s="140">
        <v>2.528386095013448</v>
      </c>
      <c r="CG22" s="140">
        <v>2.4425498966235866</v>
      </c>
      <c r="CH22" s="140">
        <v>2.423998734410842</v>
      </c>
      <c r="CI22" s="140">
        <v>2.5219721230695828</v>
      </c>
      <c r="CJ22" s="140">
        <v>2.2665182348488226</v>
      </c>
      <c r="CK22" s="140">
        <v>2.2619047619047623</v>
      </c>
      <c r="CL22" s="140">
        <v>2.3028200874679534</v>
      </c>
      <c r="CM22" s="140">
        <v>2.2772833004878357</v>
      </c>
      <c r="CN22" s="140">
        <v>2.3004507559136784</v>
      </c>
      <c r="CO22" s="140">
        <v>2.3163634449199395</v>
      </c>
      <c r="CP22" s="140">
        <v>2.2858870040572921</v>
      </c>
      <c r="CQ22" s="140">
        <v>2.2952378761034793</v>
      </c>
      <c r="CR22" s="140">
        <v>2.3351913465554741</v>
      </c>
      <c r="CS22" s="140">
        <v>2.3438166200254149</v>
      </c>
      <c r="CT22" s="140">
        <v>2.317114037957023</v>
      </c>
      <c r="CU22" s="140">
        <v>2.5903707580210136</v>
      </c>
      <c r="CV22" s="140">
        <v>2.5871516874107012</v>
      </c>
      <c r="CW22" s="140">
        <v>2.2963669224524805</v>
      </c>
      <c r="CX22" s="140">
        <v>2.3026488616462348</v>
      </c>
      <c r="CY22" s="140">
        <v>2.2860770279481932</v>
      </c>
      <c r="CZ22" s="140">
        <v>2.2801968421298127</v>
      </c>
      <c r="DA22" s="140">
        <v>2.3071740154416434</v>
      </c>
      <c r="DB22" s="140">
        <v>2.3006881574865332</v>
      </c>
      <c r="DC22" s="140">
        <f>+DC20/DC21</f>
        <v>2.2949890606253098</v>
      </c>
      <c r="DD22" s="140">
        <f>+DD20/DD21</f>
        <v>2.3871991929022869</v>
      </c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</row>
    <row r="23" spans="1:121 16384:16384" ht="18.75" x14ac:dyDescent="0.25">
      <c r="A23" s="114"/>
      <c r="B23" s="114" t="s">
        <v>53</v>
      </c>
      <c r="C23" s="115">
        <v>18477.899999999998</v>
      </c>
      <c r="D23" s="115">
        <v>19642</v>
      </c>
      <c r="E23" s="115">
        <v>20020</v>
      </c>
      <c r="F23" s="115">
        <v>19272.5</v>
      </c>
      <c r="G23" s="115">
        <v>18753.5</v>
      </c>
      <c r="H23" s="115">
        <v>18016.25</v>
      </c>
      <c r="I23" s="115">
        <v>19472.099999999999</v>
      </c>
      <c r="J23" s="115">
        <v>20755.849999999999</v>
      </c>
      <c r="K23" s="115">
        <v>21293</v>
      </c>
      <c r="L23" s="115">
        <v>21620.5</v>
      </c>
      <c r="M23" s="115">
        <v>20407.8</v>
      </c>
      <c r="N23" s="116">
        <v>18684.5</v>
      </c>
      <c r="O23" s="115">
        <v>18610.95</v>
      </c>
      <c r="P23" s="115">
        <v>15194</v>
      </c>
      <c r="Q23" s="115">
        <v>17335.45</v>
      </c>
      <c r="R23" s="115">
        <v>18679.25</v>
      </c>
      <c r="S23" s="115">
        <v>18872.55</v>
      </c>
      <c r="T23" s="115">
        <v>19253.45</v>
      </c>
      <c r="U23" s="115">
        <v>18233.75</v>
      </c>
      <c r="V23" s="115">
        <v>18861.599999999999</v>
      </c>
      <c r="W23" s="115">
        <v>20889.849999999999</v>
      </c>
      <c r="X23" s="115">
        <v>20007.55</v>
      </c>
      <c r="Y23" s="115">
        <v>19745.8</v>
      </c>
      <c r="Z23" s="115">
        <v>19210</v>
      </c>
      <c r="AA23" s="115">
        <v>21349</v>
      </c>
      <c r="AB23" s="115">
        <v>20238.75</v>
      </c>
      <c r="AC23" s="115">
        <v>19148</v>
      </c>
      <c r="AD23" s="115">
        <v>18470</v>
      </c>
      <c r="AE23" s="115">
        <v>20024.5</v>
      </c>
      <c r="AF23" s="115">
        <v>19069.3</v>
      </c>
      <c r="AG23" s="115">
        <v>20174.099999999999</v>
      </c>
      <c r="AH23" s="115">
        <v>19359</v>
      </c>
      <c r="AI23" s="115">
        <v>19269.849999999999</v>
      </c>
      <c r="AJ23" s="115">
        <v>18483.099999999999</v>
      </c>
      <c r="AK23" s="115">
        <v>18526</v>
      </c>
      <c r="AL23" s="116">
        <v>17615.05</v>
      </c>
      <c r="AM23" s="116">
        <v>18015</v>
      </c>
      <c r="AN23" s="118">
        <v>17078.2</v>
      </c>
      <c r="AO23" s="118">
        <v>16923.25</v>
      </c>
      <c r="AP23" s="118">
        <v>17671.349999999999</v>
      </c>
      <c r="AQ23" s="118">
        <v>17966.349999999999</v>
      </c>
      <c r="AR23" s="118">
        <v>18536.5</v>
      </c>
      <c r="AS23" s="117">
        <v>19105.8</v>
      </c>
      <c r="AT23" s="124">
        <v>20276.349999999999</v>
      </c>
      <c r="AU23" s="115">
        <v>19213.900000000001</v>
      </c>
      <c r="AV23" s="115">
        <v>19213.900000000001</v>
      </c>
      <c r="AW23" s="115">
        <v>20542.75</v>
      </c>
      <c r="AX23" s="115">
        <v>20557.900000000001</v>
      </c>
      <c r="AY23" s="115">
        <v>21067</v>
      </c>
      <c r="AZ23" s="115">
        <v>20677.099999999999</v>
      </c>
      <c r="BA23" s="115">
        <v>20677.099999999999</v>
      </c>
      <c r="BB23" s="115">
        <v>19452</v>
      </c>
      <c r="BC23" s="115">
        <v>20087.3</v>
      </c>
      <c r="BD23" s="115">
        <v>19159.5</v>
      </c>
      <c r="BE23" s="124">
        <v>17827</v>
      </c>
      <c r="BF23" s="115">
        <v>19127.900000000001</v>
      </c>
      <c r="BG23" s="115">
        <v>18756.3</v>
      </c>
      <c r="BH23" s="116">
        <v>20984.5</v>
      </c>
      <c r="BI23" s="115">
        <v>19881.8</v>
      </c>
      <c r="BJ23" s="115">
        <v>19881.8</v>
      </c>
      <c r="BK23" s="115">
        <v>18983.849999999999</v>
      </c>
      <c r="BL23" s="115">
        <v>18466.45</v>
      </c>
      <c r="BM23" s="115">
        <v>18757.05</v>
      </c>
      <c r="BN23" s="115">
        <v>17469.95</v>
      </c>
      <c r="BO23" s="115">
        <v>18516.45</v>
      </c>
      <c r="BP23" s="124">
        <v>19984</v>
      </c>
      <c r="BQ23" s="124">
        <v>20483.650000000001</v>
      </c>
      <c r="BR23" s="124">
        <v>22058.05</v>
      </c>
      <c r="BS23" s="115">
        <v>20275.75</v>
      </c>
      <c r="BT23" s="115">
        <v>21581.55</v>
      </c>
      <c r="BU23" s="115">
        <v>21082.75</v>
      </c>
      <c r="BV23" s="115">
        <v>22337</v>
      </c>
      <c r="BW23" s="115">
        <v>21836.9</v>
      </c>
      <c r="BX23" s="139">
        <v>19118</v>
      </c>
      <c r="BY23" s="115">
        <v>19785.55</v>
      </c>
      <c r="BZ23" s="115">
        <v>20581.900000000001</v>
      </c>
      <c r="CA23" s="116">
        <v>17685.599999999999</v>
      </c>
      <c r="CB23" s="115">
        <v>17734.099999999999</v>
      </c>
      <c r="CC23" s="124">
        <v>16253.3</v>
      </c>
      <c r="CD23" s="124">
        <v>16328.7</v>
      </c>
      <c r="CE23" s="115">
        <v>18091.8</v>
      </c>
      <c r="CF23" s="115">
        <v>17669.75</v>
      </c>
      <c r="CG23" s="115">
        <v>17539.5</v>
      </c>
      <c r="CH23" s="115">
        <v>16422</v>
      </c>
      <c r="CI23" s="115">
        <v>16750.8</v>
      </c>
      <c r="CJ23" s="115">
        <v>16041.9</v>
      </c>
      <c r="CK23" s="115">
        <v>15541</v>
      </c>
      <c r="CL23" s="115">
        <v>16820.599999999999</v>
      </c>
      <c r="CM23" s="115">
        <v>17983.2</v>
      </c>
      <c r="CN23" s="115">
        <v>18485.7</v>
      </c>
      <c r="CO23" s="115">
        <v>19385.099999999999</v>
      </c>
      <c r="CP23" s="115">
        <v>18969.25</v>
      </c>
      <c r="CQ23" s="115">
        <v>18784</v>
      </c>
      <c r="CR23" s="115">
        <v>20699.100000000002</v>
      </c>
      <c r="CS23" s="115">
        <v>21446.6</v>
      </c>
      <c r="CT23" s="115">
        <v>20788.849999999999</v>
      </c>
      <c r="CU23" s="115">
        <v>20934</v>
      </c>
      <c r="CV23" s="115">
        <v>20617.05</v>
      </c>
      <c r="CW23" s="116">
        <v>19312.5</v>
      </c>
      <c r="CX23" s="115">
        <v>18776.7</v>
      </c>
      <c r="CY23" s="115">
        <v>17333.3</v>
      </c>
      <c r="CZ23" s="115">
        <v>18326.849999999999</v>
      </c>
      <c r="DA23" s="115">
        <v>19724.5</v>
      </c>
      <c r="DB23" s="115">
        <v>20039</v>
      </c>
      <c r="DC23" s="115">
        <f>15694.95+4738</f>
        <v>20432.95</v>
      </c>
      <c r="DD23" s="115">
        <f>15221.15+4731.5</f>
        <v>19952.650000000001</v>
      </c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</row>
    <row r="24" spans="1:121 16384:16384" ht="18.75" x14ac:dyDescent="0.25">
      <c r="A24" s="114"/>
      <c r="B24" s="114" t="s">
        <v>54</v>
      </c>
      <c r="C24" s="115">
        <v>1483.369999999999</v>
      </c>
      <c r="D24" s="115">
        <v>944.79000000000087</v>
      </c>
      <c r="E24" s="115">
        <v>1124.2700000000041</v>
      </c>
      <c r="F24" s="115">
        <v>2072.880000000001</v>
      </c>
      <c r="G24" s="115">
        <v>2881.2599999999948</v>
      </c>
      <c r="H24" s="115">
        <v>3155.25</v>
      </c>
      <c r="I24" s="115">
        <v>3824.8099999999977</v>
      </c>
      <c r="J24" s="115">
        <v>3137.8799999999974</v>
      </c>
      <c r="K24" s="115">
        <v>2689.3500000000022</v>
      </c>
      <c r="L24" s="115">
        <v>3183.3000000000029</v>
      </c>
      <c r="M24" s="115">
        <v>2407.0200000000041</v>
      </c>
      <c r="N24" s="115">
        <v>1967.3899999999994</v>
      </c>
      <c r="O24" s="115">
        <v>1594.9000000000015</v>
      </c>
      <c r="P24" s="115">
        <v>3169.2400000000016</v>
      </c>
      <c r="Q24" s="115">
        <v>3517.0600000000013</v>
      </c>
      <c r="R24" s="115">
        <v>3477.5000000000036</v>
      </c>
      <c r="S24" s="115">
        <v>3893.4799999999996</v>
      </c>
      <c r="T24" s="115">
        <v>3565.5000000000036</v>
      </c>
      <c r="U24" s="115">
        <v>4510.8599999999969</v>
      </c>
      <c r="V24" s="115">
        <v>2794.9300000000003</v>
      </c>
      <c r="W24" s="115">
        <v>2502.1900000000023</v>
      </c>
      <c r="X24" s="115">
        <v>1439.4000000000051</v>
      </c>
      <c r="Y24" s="115">
        <v>2770.3300000000017</v>
      </c>
      <c r="Z24" s="115">
        <v>4470.5099999999984</v>
      </c>
      <c r="AA24" s="115">
        <v>3564.7000000000044</v>
      </c>
      <c r="AB24" s="115">
        <v>2684.7799999999988</v>
      </c>
      <c r="AC24" s="115">
        <v>980.36000000000422</v>
      </c>
      <c r="AD24" s="115">
        <v>3200.9500000000007</v>
      </c>
      <c r="AE24" s="115">
        <v>2700.09</v>
      </c>
      <c r="AF24" s="115">
        <v>3710.4500000000044</v>
      </c>
      <c r="AG24" s="115">
        <v>2392.7799999999988</v>
      </c>
      <c r="AH24" s="115">
        <v>2814.41</v>
      </c>
      <c r="AI24" s="115">
        <v>2728.4900000000016</v>
      </c>
      <c r="AJ24" s="115">
        <v>2595.7900000000045</v>
      </c>
      <c r="AK24" s="115">
        <v>2158.2999999999993</v>
      </c>
      <c r="AL24" s="115">
        <v>2235.4100000000035</v>
      </c>
      <c r="AM24" s="115">
        <v>3268.7099999999991</v>
      </c>
      <c r="AN24" s="115">
        <v>2268.9599999999955</v>
      </c>
      <c r="AO24" s="115">
        <v>3143.0200000000041</v>
      </c>
      <c r="AP24" s="115">
        <v>2883.2400000000016</v>
      </c>
      <c r="AQ24" s="115">
        <v>2580.6800000000003</v>
      </c>
      <c r="AR24" s="115">
        <v>3929.510000000002</v>
      </c>
      <c r="AS24" s="115">
        <v>3359.0200000000004</v>
      </c>
      <c r="AT24" s="124">
        <v>1282.2500000000036</v>
      </c>
      <c r="AU24" s="115">
        <v>2230.6000000000022</v>
      </c>
      <c r="AV24" s="115">
        <v>2230.6000000000022</v>
      </c>
      <c r="AW24" s="115">
        <v>1959.869999999999</v>
      </c>
      <c r="AX24" s="115">
        <v>2341.0600000000049</v>
      </c>
      <c r="AY24" s="115">
        <v>2487.7199999999975</v>
      </c>
      <c r="AZ24" s="115">
        <v>3070.75</v>
      </c>
      <c r="BA24" s="115">
        <v>3070.75</v>
      </c>
      <c r="BB24" s="115">
        <v>1982.3499999999985</v>
      </c>
      <c r="BC24" s="115">
        <v>2563.0200000000004</v>
      </c>
      <c r="BD24" s="116">
        <v>1714.9899999999943</v>
      </c>
      <c r="BE24" s="116">
        <v>2301.4300000000039</v>
      </c>
      <c r="BF24" s="116">
        <v>1292.9199999999983</v>
      </c>
      <c r="BG24" s="116">
        <v>1594.8700000000026</v>
      </c>
      <c r="BH24" s="116">
        <v>1569.7799999999916</v>
      </c>
      <c r="BI24" s="116">
        <v>2534.7199999999975</v>
      </c>
      <c r="BJ24" s="116">
        <v>2534.7199999999975</v>
      </c>
      <c r="BK24" s="115">
        <v>1669.5099999999984</v>
      </c>
      <c r="BL24" s="115">
        <v>1665.5499999999993</v>
      </c>
      <c r="BM24" s="115">
        <v>1836.880000000001</v>
      </c>
      <c r="BN24" s="115">
        <v>2770.130000000001</v>
      </c>
      <c r="BO24" s="115">
        <v>2519.3900000000031</v>
      </c>
      <c r="BP24" s="115">
        <v>1408.3500000000022</v>
      </c>
      <c r="BQ24" s="115">
        <v>2956.3399999999965</v>
      </c>
      <c r="BR24" s="115">
        <v>2742.2499999999964</v>
      </c>
      <c r="BS24" s="115">
        <v>2370.0900000000038</v>
      </c>
      <c r="BT24" s="115">
        <v>2778.5900000000038</v>
      </c>
      <c r="BU24" s="115">
        <v>3198.0099999999948</v>
      </c>
      <c r="BV24" s="115">
        <v>2489.5499999999956</v>
      </c>
      <c r="BW24" s="115">
        <v>1848.7900000000009</v>
      </c>
      <c r="BX24" s="139">
        <v>4567.6900000000023</v>
      </c>
      <c r="BY24" s="115">
        <v>2178.4199999999946</v>
      </c>
      <c r="BZ24" s="115">
        <v>2242.6500000000015</v>
      </c>
      <c r="CA24" s="115">
        <v>2233.7400000000016</v>
      </c>
      <c r="CB24" s="115">
        <v>1477.8900000000067</v>
      </c>
      <c r="CC24" s="115">
        <v>2039.380000000001</v>
      </c>
      <c r="CD24" s="115">
        <v>2895.119999999999</v>
      </c>
      <c r="CE24" s="115">
        <v>2344.1399999999958</v>
      </c>
      <c r="CF24" s="115">
        <v>3189.41</v>
      </c>
      <c r="CG24" s="115">
        <v>3217.4600000000064</v>
      </c>
      <c r="CH24" s="115">
        <v>2884.3499999999985</v>
      </c>
      <c r="CI24" s="115">
        <v>2488.1400000000031</v>
      </c>
      <c r="CJ24" s="115">
        <v>1772.8199999999979</v>
      </c>
      <c r="CK24" s="115">
        <v>2121.4000000000051</v>
      </c>
      <c r="CL24" s="115">
        <v>3488.5000000000036</v>
      </c>
      <c r="CM24" s="115">
        <v>1753.6499999999978</v>
      </c>
      <c r="CN24" s="115">
        <v>1698.7999999999993</v>
      </c>
      <c r="CO24" s="115">
        <v>2173.9200000000019</v>
      </c>
      <c r="CP24" s="115">
        <v>2603.4200000000019</v>
      </c>
      <c r="CQ24" s="115">
        <v>2164.2000000000007</v>
      </c>
      <c r="CR24" s="115">
        <v>1999.1000000000022</v>
      </c>
      <c r="CS24" s="115">
        <v>2180.2200000000012</v>
      </c>
      <c r="CT24" s="116">
        <v>3508.5699999999997</v>
      </c>
      <c r="CU24" s="115">
        <v>1587.5900000000001</v>
      </c>
      <c r="CV24" s="115">
        <v>3085.5800000000054</v>
      </c>
      <c r="CW24" s="115">
        <v>1677.3499999999985</v>
      </c>
      <c r="CX24" s="115">
        <v>366.96999999999753</v>
      </c>
      <c r="CY24" s="115">
        <v>1447.2799999999988</v>
      </c>
      <c r="CZ24" s="115">
        <v>2204.429999999993</v>
      </c>
      <c r="DA24" s="115">
        <v>3933.4700000000012</v>
      </c>
      <c r="DB24" s="115">
        <v>2802.1399999999994</v>
      </c>
      <c r="DC24" s="115">
        <f>+DC20-DC23</f>
        <v>2329.440000000006</v>
      </c>
      <c r="DD24" s="115">
        <f>+DD20-DD23</f>
        <v>2573.6299999999937</v>
      </c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</row>
    <row r="25" spans="1:121 16384:16384" ht="18.75" x14ac:dyDescent="0.25">
      <c r="A25" s="114"/>
      <c r="B25" s="114" t="s">
        <v>55</v>
      </c>
      <c r="C25" s="142">
        <v>8.0278061900973544E-2</v>
      </c>
      <c r="D25" s="142">
        <v>4.8100498930862483E-2</v>
      </c>
      <c r="E25" s="142">
        <v>5.615734265734286E-2</v>
      </c>
      <c r="F25" s="142">
        <v>0.10755636269295633</v>
      </c>
      <c r="G25" s="142">
        <v>0.15363852080944862</v>
      </c>
      <c r="H25" s="142">
        <v>0.17513355998057309</v>
      </c>
      <c r="I25" s="142">
        <v>0.19642514161287164</v>
      </c>
      <c r="J25" s="142">
        <v>0.15118051055485551</v>
      </c>
      <c r="K25" s="142">
        <v>0.12630207110317956</v>
      </c>
      <c r="L25" s="142">
        <v>0.14723526282925939</v>
      </c>
      <c r="M25" s="142">
        <v>0.11794607944021424</v>
      </c>
      <c r="N25" s="142">
        <v>0.1052952982418582</v>
      </c>
      <c r="O25" s="142">
        <v>8.5696861256410947E-2</v>
      </c>
      <c r="P25" s="142">
        <v>0.2085849677504279</v>
      </c>
      <c r="Q25" s="142">
        <v>0.20288253261380587</v>
      </c>
      <c r="R25" s="142">
        <v>0.1861691449067818</v>
      </c>
      <c r="S25" s="142">
        <v>0.20630386460759143</v>
      </c>
      <c r="T25" s="142">
        <v>0.18518758975664121</v>
      </c>
      <c r="U25" s="142">
        <v>0.24739069034071418</v>
      </c>
      <c r="V25" s="142">
        <v>0.14818096025787847</v>
      </c>
      <c r="W25" s="142">
        <v>0.11978018032680955</v>
      </c>
      <c r="X25" s="142">
        <v>7.1942841577304822E-2</v>
      </c>
      <c r="Y25" s="142">
        <v>0.14029970930527008</v>
      </c>
      <c r="Z25" s="142">
        <v>0.23271785528370631</v>
      </c>
      <c r="AA25" s="142">
        <v>0.16697269192936456</v>
      </c>
      <c r="AB25" s="142">
        <v>0.13265542585386939</v>
      </c>
      <c r="AC25" s="142">
        <v>5.1199080843952589E-2</v>
      </c>
      <c r="AD25" s="142">
        <v>0.17330536004331351</v>
      </c>
      <c r="AE25" s="142">
        <v>0.13483932183075734</v>
      </c>
      <c r="AF25" s="142">
        <v>0.19457714756178804</v>
      </c>
      <c r="AG25" s="142">
        <v>0.11860653015500067</v>
      </c>
      <c r="AH25" s="142">
        <v>0.14537992664910376</v>
      </c>
      <c r="AI25" s="142">
        <v>0.14159373321535984</v>
      </c>
      <c r="AJ25" s="142">
        <v>0.14044126796911799</v>
      </c>
      <c r="AK25" s="142">
        <v>0.11650113354204897</v>
      </c>
      <c r="AL25" s="142">
        <v>0.12690341497753363</v>
      </c>
      <c r="AM25" s="143">
        <v>0.18144379683596998</v>
      </c>
      <c r="AN25" s="144">
        <v>0.13285709266784529</v>
      </c>
      <c r="AO25" s="143">
        <v>0.18572200966126506</v>
      </c>
      <c r="AP25" s="143">
        <v>0.16315901162050447</v>
      </c>
      <c r="AQ25" s="144">
        <v>0.14363963743331287</v>
      </c>
      <c r="AR25" s="144">
        <v>0.21198769994335512</v>
      </c>
      <c r="AS25" s="144">
        <v>0.17581153367040378</v>
      </c>
      <c r="AT25" s="145">
        <v>6.3238699272798293E-2</v>
      </c>
      <c r="AU25" s="142">
        <v>0.1160930368118915</v>
      </c>
      <c r="AV25" s="142">
        <v>0.1160930368118915</v>
      </c>
      <c r="AW25" s="142">
        <v>9.5404461427997661E-2</v>
      </c>
      <c r="AX25" s="142">
        <v>0.11387641733834705</v>
      </c>
      <c r="AY25" s="142">
        <v>0.1180861062324962</v>
      </c>
      <c r="AZ25" s="146">
        <v>0.14850970397202704</v>
      </c>
      <c r="BA25" s="146">
        <v>0.14850970397202704</v>
      </c>
      <c r="BB25" s="142">
        <v>0.10190982932346281</v>
      </c>
      <c r="BC25" s="142">
        <v>0.12759405196318074</v>
      </c>
      <c r="BD25" s="142">
        <v>8.9511208538844658E-2</v>
      </c>
      <c r="BE25" s="142">
        <v>0.12909799741964459</v>
      </c>
      <c r="BF25" s="142">
        <v>6.7593410672368542E-2</v>
      </c>
      <c r="BG25" s="142">
        <v>8.5031162862611642E-2</v>
      </c>
      <c r="BH25" s="142">
        <v>7.4806642998403186E-2</v>
      </c>
      <c r="BI25" s="142">
        <v>0.12748946272470288</v>
      </c>
      <c r="BJ25" s="142">
        <v>0.12748946272470288</v>
      </c>
      <c r="BK25" s="142">
        <v>8.7943699513007026E-2</v>
      </c>
      <c r="BL25" s="142">
        <v>9.0193296491745803E-2</v>
      </c>
      <c r="BM25" s="142">
        <v>9.7930111611367512E-2</v>
      </c>
      <c r="BN25" s="147">
        <v>0.15856542233950302</v>
      </c>
      <c r="BO25" s="147">
        <v>0.13606225815423598</v>
      </c>
      <c r="BP25" s="145">
        <v>7.0473879103282733E-2</v>
      </c>
      <c r="BQ25" s="147">
        <v>0.14432681675384984</v>
      </c>
      <c r="BR25" s="147">
        <v>0.12431969281056106</v>
      </c>
      <c r="BS25" s="142">
        <v>0.11689283996892859</v>
      </c>
      <c r="BT25" s="142">
        <v>0.12874839851632547</v>
      </c>
      <c r="BU25" s="142">
        <v>0.15168846568877375</v>
      </c>
      <c r="BV25" s="142">
        <v>0.11145408962707595</v>
      </c>
      <c r="BW25" s="142">
        <v>8.4663574042103076E-2</v>
      </c>
      <c r="BX25" s="148">
        <v>0.2389209122293128</v>
      </c>
      <c r="BY25" s="142">
        <v>0.11010156402020639</v>
      </c>
      <c r="BZ25" s="142">
        <v>0.10896224352465037</v>
      </c>
      <c r="CA25" s="142">
        <v>0.12630275478355282</v>
      </c>
      <c r="CB25" s="142">
        <v>8.3336058779414052E-2</v>
      </c>
      <c r="CC25" s="142">
        <v>0.12547482665058796</v>
      </c>
      <c r="CD25" s="142">
        <v>0.17730254092487455</v>
      </c>
      <c r="CE25" s="142">
        <v>0.12956919709481621</v>
      </c>
      <c r="CF25" s="142">
        <v>0.18050113895216399</v>
      </c>
      <c r="CG25" s="142">
        <v>0.18344080504005281</v>
      </c>
      <c r="CH25" s="142">
        <v>0.17563938618925823</v>
      </c>
      <c r="CI25" s="142">
        <v>0.14853857726198172</v>
      </c>
      <c r="CJ25" s="142">
        <v>0.11051184710040568</v>
      </c>
      <c r="CK25" s="142">
        <v>0.13650344250691751</v>
      </c>
      <c r="CL25" s="142">
        <v>0.20739450435775203</v>
      </c>
      <c r="CM25" s="142">
        <v>9.7516014947284013E-2</v>
      </c>
      <c r="CN25" s="142">
        <v>9.189806174502449E-2</v>
      </c>
      <c r="CO25" s="142">
        <v>0.11214386307009001</v>
      </c>
      <c r="CP25" s="142">
        <v>0.13724422420496341</v>
      </c>
      <c r="CQ25" s="142">
        <v>0.11521507666098811</v>
      </c>
      <c r="CR25" s="142">
        <v>9.6579078317414857E-2</v>
      </c>
      <c r="CS25" s="142">
        <v>0.1016580716756969</v>
      </c>
      <c r="CT25" s="146">
        <v>0.16877172137948948</v>
      </c>
      <c r="CU25" s="142">
        <v>7.5837871405369267E-2</v>
      </c>
      <c r="CV25" s="142">
        <v>0.14966156651897364</v>
      </c>
      <c r="CW25" s="142">
        <v>8.6853074433656877E-2</v>
      </c>
      <c r="CX25" s="146">
        <v>1.9543902815723609E-2</v>
      </c>
      <c r="CY25" s="142">
        <v>8.3497083648237727E-2</v>
      </c>
      <c r="CZ25" s="142">
        <v>0.12028417322125697</v>
      </c>
      <c r="DA25" s="142">
        <v>0.19942051763035823</v>
      </c>
      <c r="DB25" s="142">
        <v>0.13983432307001345</v>
      </c>
      <c r="DC25" s="142">
        <f>+DC24/DC23</f>
        <v>0.114004096324809</v>
      </c>
      <c r="DD25" s="142">
        <f>+DD24/DD23</f>
        <v>0.12898687642994758</v>
      </c>
      <c r="DE25" s="142"/>
      <c r="DF25" s="142"/>
      <c r="DG25" s="142"/>
      <c r="DH25" s="142"/>
      <c r="DI25" s="142"/>
      <c r="DJ25" s="142"/>
      <c r="DK25" s="142"/>
      <c r="DL25" s="142"/>
      <c r="DM25" s="142"/>
      <c r="DN25" s="142"/>
      <c r="DO25" s="142"/>
      <c r="DP25" s="142"/>
      <c r="DQ25" s="142"/>
      <c r="XFD25" s="142" t="e">
        <v>#DIV/0!</v>
      </c>
    </row>
    <row r="26" spans="1:121 16384:16384" ht="18.75" x14ac:dyDescent="0.25">
      <c r="A26" s="114"/>
      <c r="B26" s="114" t="s">
        <v>56</v>
      </c>
      <c r="C26" s="115">
        <v>2639.7</v>
      </c>
      <c r="D26" s="115">
        <v>2806</v>
      </c>
      <c r="E26" s="115">
        <v>2860</v>
      </c>
      <c r="F26" s="115">
        <v>2753.2142857142858</v>
      </c>
      <c r="G26" s="115">
        <v>2679.0714285714284</v>
      </c>
      <c r="H26" s="115">
        <v>2573.75</v>
      </c>
      <c r="I26" s="115">
        <v>2781.7285714285713</v>
      </c>
      <c r="J26" s="115">
        <v>2965.1214285714282</v>
      </c>
      <c r="K26" s="115">
        <v>3041.8571428571427</v>
      </c>
      <c r="L26" s="115">
        <v>3088.6428571428573</v>
      </c>
      <c r="M26" s="115">
        <v>2915.4</v>
      </c>
      <c r="N26" s="115">
        <v>2669.2142857142858</v>
      </c>
      <c r="O26" s="115">
        <v>2658.707142857143</v>
      </c>
      <c r="P26" s="115">
        <v>2170.5714285714284</v>
      </c>
      <c r="Q26" s="115">
        <v>2476.4928571428572</v>
      </c>
      <c r="R26" s="115">
        <v>2668.4642857142858</v>
      </c>
      <c r="S26" s="115">
        <v>2696.0785714285712</v>
      </c>
      <c r="T26" s="115">
        <v>2750.4928571428572</v>
      </c>
      <c r="U26" s="115">
        <v>2604.8214285714284</v>
      </c>
      <c r="V26" s="115">
        <v>2694.5142857142855</v>
      </c>
      <c r="W26" s="115">
        <v>2984.2642857142855</v>
      </c>
      <c r="X26" s="115">
        <v>2858.2214285714285</v>
      </c>
      <c r="Y26" s="115">
        <v>2820.8285714285712</v>
      </c>
      <c r="Z26" s="115">
        <v>2744.2857142857142</v>
      </c>
      <c r="AA26" s="115">
        <v>3049.8571428571427</v>
      </c>
      <c r="AB26" s="115">
        <v>2891.25</v>
      </c>
      <c r="AC26" s="115">
        <v>2735.4285714285716</v>
      </c>
      <c r="AD26" s="115">
        <v>2638.5714285714284</v>
      </c>
      <c r="AE26" s="115">
        <v>2860.6428571428573</v>
      </c>
      <c r="AF26" s="115">
        <v>2724.1857142857143</v>
      </c>
      <c r="AG26" s="115">
        <v>2882.0142857142855</v>
      </c>
      <c r="AH26" s="115">
        <v>2765.5714285714284</v>
      </c>
      <c r="AI26" s="115">
        <v>2752.8357142857139</v>
      </c>
      <c r="AJ26" s="115">
        <v>2640.4428571428571</v>
      </c>
      <c r="AK26" s="115">
        <v>2646.5714285714284</v>
      </c>
      <c r="AL26" s="116">
        <v>2516.4357142857143</v>
      </c>
      <c r="AM26" s="116">
        <v>2573.5714285714284</v>
      </c>
      <c r="AN26" s="116">
        <v>2439.7428571428572</v>
      </c>
      <c r="AO26" s="116">
        <v>2417.6071428571427</v>
      </c>
      <c r="AP26" s="116">
        <v>2524.4785714285713</v>
      </c>
      <c r="AQ26" s="118">
        <v>2566.6214285714282</v>
      </c>
      <c r="AR26" s="118">
        <v>2648.0714285714284</v>
      </c>
      <c r="AS26" s="118">
        <v>2729.4</v>
      </c>
      <c r="AT26" s="118">
        <v>2896.6214285714282</v>
      </c>
      <c r="AU26" s="118">
        <v>2744.8428571428572</v>
      </c>
      <c r="AV26" s="118">
        <v>2744.8428571428572</v>
      </c>
      <c r="AW26" s="118">
        <v>2934.6785714285716</v>
      </c>
      <c r="AX26" s="118">
        <v>2936.8428571428572</v>
      </c>
      <c r="AY26" s="118">
        <v>3009.5714285714284</v>
      </c>
      <c r="AZ26" s="118">
        <v>2953.8714285714282</v>
      </c>
      <c r="BA26" s="118">
        <v>2953.8714285714282</v>
      </c>
      <c r="BB26" s="118">
        <v>2778.8571428571427</v>
      </c>
      <c r="BC26" s="118">
        <v>2869.6142857142854</v>
      </c>
      <c r="BD26" s="118">
        <v>2737.0714285714284</v>
      </c>
      <c r="BE26" s="118">
        <v>2546.7142857142858</v>
      </c>
      <c r="BF26" s="118">
        <v>2732.5571428571429</v>
      </c>
      <c r="BG26" s="118">
        <v>2679.4714285714285</v>
      </c>
      <c r="BH26" s="118">
        <v>2997.7857142857142</v>
      </c>
      <c r="BI26" s="118">
        <v>2840.2571428571428</v>
      </c>
      <c r="BJ26" s="118">
        <v>2840.2571428571428</v>
      </c>
      <c r="BK26" s="118">
        <v>2711.9785714285713</v>
      </c>
      <c r="BL26" s="118">
        <v>2638.0642857142857</v>
      </c>
      <c r="BM26" s="118">
        <v>2679.5785714285712</v>
      </c>
      <c r="BN26" s="118">
        <v>2495.707142857143</v>
      </c>
      <c r="BO26" s="118">
        <v>2645.207142857143</v>
      </c>
      <c r="BP26" s="118">
        <v>2854.8571428571427</v>
      </c>
      <c r="BQ26" s="118">
        <v>2926.2357142857145</v>
      </c>
      <c r="BR26" s="118">
        <v>3151.15</v>
      </c>
      <c r="BS26" s="118">
        <v>2896.5357142857142</v>
      </c>
      <c r="BT26" s="118">
        <v>3083.0785714285712</v>
      </c>
      <c r="BU26" s="118">
        <v>3011.8214285714284</v>
      </c>
      <c r="BV26" s="118">
        <v>3191</v>
      </c>
      <c r="BW26" s="118">
        <v>3119.5571428571429</v>
      </c>
      <c r="BX26" s="149">
        <v>2731.1428571428573</v>
      </c>
      <c r="BY26" s="118">
        <v>2826.5071428571428</v>
      </c>
      <c r="BZ26" s="118">
        <v>2940.2714285714287</v>
      </c>
      <c r="CA26" s="117">
        <v>2526.5142857142855</v>
      </c>
      <c r="CB26" s="117">
        <v>2533.4428571428571</v>
      </c>
      <c r="CC26" s="117">
        <v>2321.9</v>
      </c>
      <c r="CD26" s="117">
        <v>2332.6714285714288</v>
      </c>
      <c r="CE26" s="117">
        <v>2584.542857142857</v>
      </c>
      <c r="CF26" s="117">
        <v>2524.25</v>
      </c>
      <c r="CG26" s="117">
        <v>2505.6428571428573</v>
      </c>
      <c r="CH26" s="117">
        <v>2346</v>
      </c>
      <c r="CI26" s="117">
        <v>2392.9714285714285</v>
      </c>
      <c r="CJ26" s="117">
        <v>2291.6999999999998</v>
      </c>
      <c r="CK26" s="117">
        <v>2220.1428571428573</v>
      </c>
      <c r="CL26" s="117">
        <v>2402.9428571428571</v>
      </c>
      <c r="CM26" s="118">
        <v>2569.0285714285715</v>
      </c>
      <c r="CN26" s="118">
        <v>2640.8142857142857</v>
      </c>
      <c r="CO26" s="118">
        <v>2769.2999999999997</v>
      </c>
      <c r="CP26" s="118">
        <v>2709.8928571428573</v>
      </c>
      <c r="CQ26" s="118">
        <v>2683.4285714285716</v>
      </c>
      <c r="CR26" s="118">
        <v>2957.014285714286</v>
      </c>
      <c r="CS26" s="118">
        <v>3063.7999999999997</v>
      </c>
      <c r="CT26" s="118">
        <v>2969.8357142857139</v>
      </c>
      <c r="CU26" s="118">
        <v>2990.5714285714284</v>
      </c>
      <c r="CV26" s="118">
        <v>2945.292857142857</v>
      </c>
      <c r="CW26" s="117">
        <v>2758.9285714285716</v>
      </c>
      <c r="CX26" s="117">
        <v>2682.3857142857146</v>
      </c>
      <c r="CY26" s="117">
        <v>2476.1857142857143</v>
      </c>
      <c r="CZ26" s="117">
        <v>2618.1214285714282</v>
      </c>
      <c r="DA26" s="117">
        <v>2817.7857142857142</v>
      </c>
      <c r="DB26" s="117">
        <v>2862.7142857142858</v>
      </c>
      <c r="DC26" s="117">
        <f>+DC23/7</f>
        <v>2918.9928571428572</v>
      </c>
      <c r="DD26" s="117">
        <f>+DD23/7</f>
        <v>2850.3785714285718</v>
      </c>
      <c r="DE26" s="118"/>
      <c r="DF26" s="118"/>
      <c r="DG26" s="118"/>
      <c r="DH26" s="118"/>
      <c r="DI26" s="118"/>
      <c r="DJ26" s="118"/>
      <c r="DK26" s="118"/>
      <c r="DL26" s="118"/>
      <c r="DM26" s="118"/>
      <c r="DN26" s="118"/>
      <c r="DO26" s="118"/>
      <c r="DP26" s="118"/>
      <c r="DQ26" s="118"/>
    </row>
    <row r="27" spans="1:121 16384:16384" ht="18.75" x14ac:dyDescent="0.25">
      <c r="A27" s="114"/>
      <c r="B27" s="114" t="s">
        <v>57</v>
      </c>
      <c r="C27" s="150">
        <v>1215.3000000000002</v>
      </c>
      <c r="D27" s="150">
        <v>1049</v>
      </c>
      <c r="E27" s="150">
        <v>995</v>
      </c>
      <c r="F27" s="150">
        <v>1101.7857142857142</v>
      </c>
      <c r="G27" s="150">
        <v>1175.9285714285716</v>
      </c>
      <c r="H27" s="150">
        <v>1281.25</v>
      </c>
      <c r="I27" s="150">
        <v>1073.2714285714287</v>
      </c>
      <c r="J27" s="150">
        <v>889.87857142857183</v>
      </c>
      <c r="K27" s="150">
        <v>813.14285714285734</v>
      </c>
      <c r="L27" s="150">
        <v>766.35714285714266</v>
      </c>
      <c r="M27" s="150">
        <v>939.59999999999991</v>
      </c>
      <c r="N27" s="150">
        <v>1185.7857142857142</v>
      </c>
      <c r="O27" s="150">
        <v>1196.292857142857</v>
      </c>
      <c r="P27" s="150">
        <v>1684.4285714285716</v>
      </c>
      <c r="Q27" s="150">
        <v>1378.5071428571428</v>
      </c>
      <c r="R27" s="150">
        <v>1186.5357142857142</v>
      </c>
      <c r="S27" s="150">
        <v>1158.9214285714288</v>
      </c>
      <c r="T27" s="150">
        <v>1104.5071428571428</v>
      </c>
      <c r="U27" s="150">
        <v>1250.1785714285716</v>
      </c>
      <c r="V27" s="150">
        <v>1160.4857142857145</v>
      </c>
      <c r="W27" s="150">
        <v>870.73571428571449</v>
      </c>
      <c r="X27" s="150">
        <v>996.77857142857147</v>
      </c>
      <c r="Y27" s="150">
        <v>1034.1714285714288</v>
      </c>
      <c r="Z27" s="150">
        <v>1110.7142857142858</v>
      </c>
      <c r="AA27" s="150">
        <v>805.14285714285734</v>
      </c>
      <c r="AB27" s="150">
        <v>963.75</v>
      </c>
      <c r="AC27" s="150">
        <v>1119.5714285714284</v>
      </c>
      <c r="AD27" s="150">
        <v>1216.4285714285716</v>
      </c>
      <c r="AE27" s="150">
        <v>994.35714285714266</v>
      </c>
      <c r="AF27" s="150">
        <v>1130.8142857142857</v>
      </c>
      <c r="AG27" s="150">
        <v>972.98571428571449</v>
      </c>
      <c r="AH27" s="150">
        <v>1089.4285714285716</v>
      </c>
      <c r="AI27" s="115">
        <v>1102.1642857142861</v>
      </c>
      <c r="AJ27" s="115">
        <v>1214.5571428571429</v>
      </c>
      <c r="AK27" s="115">
        <v>1208.4285714285716</v>
      </c>
      <c r="AL27" s="115">
        <v>1338.5642857142857</v>
      </c>
      <c r="AM27" s="115">
        <v>1281.4285714285716</v>
      </c>
      <c r="AN27" s="115">
        <v>1415.2571428571428</v>
      </c>
      <c r="AO27" s="115">
        <v>1437.3928571428573</v>
      </c>
      <c r="AP27" s="115">
        <v>666.52142857142871</v>
      </c>
      <c r="AQ27" s="115">
        <v>624.37857142857183</v>
      </c>
      <c r="AR27" s="115">
        <v>542.92857142857156</v>
      </c>
      <c r="AS27" s="115">
        <v>461.59999999999991</v>
      </c>
      <c r="AT27" s="115">
        <v>294.37857142857183</v>
      </c>
      <c r="AU27" s="115">
        <v>446.15714285714284</v>
      </c>
      <c r="AV27" s="115">
        <v>446.15714285714284</v>
      </c>
      <c r="AW27" s="115">
        <v>256.32142857142844</v>
      </c>
      <c r="AX27" s="115">
        <v>254.15714285714284</v>
      </c>
      <c r="AY27" s="115">
        <v>181.42857142857156</v>
      </c>
      <c r="AZ27" s="115">
        <v>237.12857142857183</v>
      </c>
      <c r="BA27" s="115">
        <v>237.12857142857183</v>
      </c>
      <c r="BB27" s="115">
        <v>412.14285714285734</v>
      </c>
      <c r="BC27" s="115">
        <v>321.38571428571458</v>
      </c>
      <c r="BD27" s="115">
        <v>453.92857142857156</v>
      </c>
      <c r="BE27" s="115">
        <v>644.28571428571422</v>
      </c>
      <c r="BF27" s="115">
        <v>458.44285714285706</v>
      </c>
      <c r="BG27" s="115">
        <v>511.52857142857147</v>
      </c>
      <c r="BH27" s="115">
        <v>193.21428571428578</v>
      </c>
      <c r="BI27" s="115">
        <v>350.74285714285725</v>
      </c>
      <c r="BJ27" s="115">
        <v>350.74285714285725</v>
      </c>
      <c r="BK27" s="115">
        <v>479.02142857142871</v>
      </c>
      <c r="BL27" s="115">
        <v>552.93571428571431</v>
      </c>
      <c r="BM27" s="115">
        <v>511.42142857142881</v>
      </c>
      <c r="BN27" s="115">
        <v>695.29285714285697</v>
      </c>
      <c r="BO27" s="115">
        <v>545.79285714285697</v>
      </c>
      <c r="BP27" s="115">
        <v>336.14285714285734</v>
      </c>
      <c r="BQ27" s="115">
        <v>264.76428571428551</v>
      </c>
      <c r="BR27" s="115">
        <v>39.849999999999909</v>
      </c>
      <c r="BS27" s="115">
        <v>294.46428571428578</v>
      </c>
      <c r="BT27" s="115">
        <v>107.92142857142881</v>
      </c>
      <c r="BU27" s="115">
        <v>179.17857142857156</v>
      </c>
      <c r="BV27" s="115">
        <v>0</v>
      </c>
      <c r="BW27" s="115">
        <v>71.442857142857065</v>
      </c>
      <c r="BX27" s="139">
        <v>459.85714285714266</v>
      </c>
      <c r="BY27" s="115">
        <v>364.49285714285725</v>
      </c>
      <c r="BZ27" s="115">
        <v>250.72857142857129</v>
      </c>
      <c r="CA27" s="115">
        <v>664.48571428571449</v>
      </c>
      <c r="CB27" s="115">
        <v>657.55714285714294</v>
      </c>
      <c r="CC27" s="115">
        <v>869.09999999999991</v>
      </c>
      <c r="CD27" s="115">
        <v>858.32857142857119</v>
      </c>
      <c r="CE27" s="115">
        <v>606.45714285714303</v>
      </c>
      <c r="CF27" s="115">
        <v>666.75</v>
      </c>
      <c r="CG27" s="115">
        <v>685.35714285714266</v>
      </c>
      <c r="CH27" s="115">
        <v>845</v>
      </c>
      <c r="CI27" s="115">
        <v>798.02857142857147</v>
      </c>
      <c r="CJ27" s="115">
        <v>899.30000000000018</v>
      </c>
      <c r="CK27" s="115">
        <v>970.85714285714266</v>
      </c>
      <c r="CL27" s="115">
        <v>788.05714285714294</v>
      </c>
      <c r="CM27" s="115">
        <v>621.97142857142853</v>
      </c>
      <c r="CN27" s="115">
        <v>550.18571428571431</v>
      </c>
      <c r="CO27" s="115">
        <v>421.70000000000027</v>
      </c>
      <c r="CP27" s="115">
        <v>481.10714285714266</v>
      </c>
      <c r="CQ27" s="115">
        <v>507.57142857142844</v>
      </c>
      <c r="CR27" s="115">
        <v>233.98571428571404</v>
      </c>
      <c r="CS27" s="115">
        <v>127.20000000000027</v>
      </c>
      <c r="CT27" s="115">
        <v>221.16428571428605</v>
      </c>
      <c r="CU27" s="115">
        <v>200.42857142857156</v>
      </c>
      <c r="CV27" s="115">
        <v>245.70714285714303</v>
      </c>
      <c r="CW27" s="115">
        <v>432.07142857142844</v>
      </c>
      <c r="CX27" s="115">
        <v>508.61428571428542</v>
      </c>
      <c r="CY27" s="115">
        <v>714.81428571428569</v>
      </c>
      <c r="CZ27" s="115">
        <v>572.87857142857183</v>
      </c>
      <c r="DA27" s="115">
        <v>373.21428571428578</v>
      </c>
      <c r="DB27" s="115">
        <v>328.28571428571422</v>
      </c>
      <c r="DC27" s="115">
        <f>3191-DC26</f>
        <v>272.00714285714275</v>
      </c>
      <c r="DD27" s="115">
        <f>3191-DD26</f>
        <v>340.62142857142817</v>
      </c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</row>
    <row r="28" spans="1:121 16384:16384" ht="18.75" x14ac:dyDescent="0.25">
      <c r="A28" s="114"/>
      <c r="B28" s="114" t="s">
        <v>58</v>
      </c>
      <c r="C28" s="140">
        <v>2.2838528823941648</v>
      </c>
      <c r="D28" s="140">
        <v>2.3328511331703821</v>
      </c>
      <c r="E28" s="140">
        <v>2.3160145115314852</v>
      </c>
      <c r="F28" s="140">
        <v>2.2507372047531464</v>
      </c>
      <c r="G28" s="140">
        <v>2.2221708749690432</v>
      </c>
      <c r="H28" s="140">
        <v>2.230689652097138</v>
      </c>
      <c r="I28" s="151">
        <v>2.0324224327658511</v>
      </c>
      <c r="J28" s="140">
        <v>2.1390610156208636</v>
      </c>
      <c r="K28" s="140">
        <v>2.1887976748122511</v>
      </c>
      <c r="L28" s="140">
        <v>2.1600306530824964</v>
      </c>
      <c r="M28" s="140">
        <v>2.1523015023439518</v>
      </c>
      <c r="N28" s="140">
        <v>2.4058462921163128</v>
      </c>
      <c r="O28" s="140">
        <v>2.4255621125945543</v>
      </c>
      <c r="P28" s="151">
        <v>1.8722959592959851</v>
      </c>
      <c r="Q28" s="140">
        <v>1.8767219979452403</v>
      </c>
      <c r="R28" s="140">
        <v>2.1927167889261003</v>
      </c>
      <c r="S28" s="140">
        <v>2.1577580184693765</v>
      </c>
      <c r="T28" s="140">
        <v>2.365933952503017</v>
      </c>
      <c r="U28" s="140">
        <v>2.2312250981390291</v>
      </c>
      <c r="V28" s="140">
        <v>2.0482503388122457</v>
      </c>
      <c r="W28" s="140">
        <v>2.1327751391571748</v>
      </c>
      <c r="X28" s="140">
        <v>2.248903511236902</v>
      </c>
      <c r="Y28" s="140">
        <v>2.1419242584653837</v>
      </c>
      <c r="Z28" s="140">
        <v>1.9516724847706552</v>
      </c>
      <c r="AA28" s="140">
        <v>2.0639356988658935</v>
      </c>
      <c r="AB28" s="140">
        <v>2.1277965852222547</v>
      </c>
      <c r="AC28" s="140">
        <v>2.4615992055433993</v>
      </c>
      <c r="AD28" s="140">
        <v>2.1972857539062716</v>
      </c>
      <c r="AE28" s="140">
        <v>2.4155938468071136</v>
      </c>
      <c r="AF28" s="140">
        <v>2.3079082950987524</v>
      </c>
      <c r="AG28" s="140">
        <v>2.4354089858830514</v>
      </c>
      <c r="AH28" s="140">
        <v>2.439743662451086</v>
      </c>
      <c r="AI28" s="140">
        <v>2.4749930000950444</v>
      </c>
      <c r="AJ28" s="140">
        <v>2.4214693810174492</v>
      </c>
      <c r="AK28" s="140">
        <v>2.4601647457834193</v>
      </c>
      <c r="AL28" s="140">
        <v>2.4533359145631497</v>
      </c>
      <c r="AM28" s="140">
        <v>2.3506370141494908</v>
      </c>
      <c r="AN28" s="140">
        <v>2.3498833190234025</v>
      </c>
      <c r="AO28" s="140">
        <v>2.1866244767466974</v>
      </c>
      <c r="AP28" s="140">
        <v>2.2495398152132124</v>
      </c>
      <c r="AQ28" s="140">
        <v>2.2824759922911086</v>
      </c>
      <c r="AR28" s="140">
        <v>2.1631036011856146</v>
      </c>
      <c r="AS28" s="140">
        <v>2.1422684781840866</v>
      </c>
      <c r="AT28" s="152">
        <v>2.3719273741382962</v>
      </c>
      <c r="AU28" s="152">
        <v>2.2761400898424915</v>
      </c>
      <c r="AV28" s="152">
        <v>2.2761400898424915</v>
      </c>
      <c r="AW28" s="153">
        <v>2.4910014033200536</v>
      </c>
      <c r="AX28" s="153">
        <v>2.3661127908596109</v>
      </c>
      <c r="AY28" s="153">
        <v>2.3512093097486964</v>
      </c>
      <c r="AZ28" s="154">
        <v>2.2497116744641494</v>
      </c>
      <c r="BA28" s="154">
        <v>2.2497116744641494</v>
      </c>
      <c r="BB28" s="153">
        <v>2.2971077132370659</v>
      </c>
      <c r="BC28" s="153">
        <v>2.2470825390859219</v>
      </c>
      <c r="BD28" s="153">
        <v>2.3131264065565214</v>
      </c>
      <c r="BE28" s="153">
        <v>2.2416483603537443</v>
      </c>
      <c r="BF28" s="153">
        <v>2.4058647662482873</v>
      </c>
      <c r="BG28" s="153">
        <v>2.336924966920257</v>
      </c>
      <c r="BH28" s="153">
        <v>2.3723979030600533</v>
      </c>
      <c r="BI28" s="153">
        <v>2.5993494370329309</v>
      </c>
      <c r="BJ28" s="153">
        <v>2.5993494370329309</v>
      </c>
      <c r="BK28" s="153">
        <v>2.4870269809973595</v>
      </c>
      <c r="BL28" s="153">
        <v>2.2141256479091251</v>
      </c>
      <c r="BM28" s="153">
        <v>2.2437333652322131</v>
      </c>
      <c r="BN28" s="153">
        <v>2.1742639591381581</v>
      </c>
      <c r="BO28" s="153">
        <v>2.1990615380230301</v>
      </c>
      <c r="BP28" s="153">
        <v>2.3184020845200495</v>
      </c>
      <c r="BQ28" s="153">
        <v>2.2035405274860995</v>
      </c>
      <c r="BR28" s="153">
        <v>2.1770723943704433</v>
      </c>
      <c r="BS28" s="153">
        <v>2.1303069209561918</v>
      </c>
      <c r="BT28" s="153">
        <v>2.1942090046047396</v>
      </c>
      <c r="BU28" s="153">
        <v>2.0370101982154334</v>
      </c>
      <c r="BV28" s="153">
        <v>2.1773989942067944</v>
      </c>
      <c r="BW28" s="153">
        <v>2.1889017751265767</v>
      </c>
      <c r="BX28" s="155">
        <v>1.9163628599695879</v>
      </c>
      <c r="BY28" s="153">
        <v>2.0492330478192873</v>
      </c>
      <c r="BZ28" s="153">
        <v>2.082065039811519</v>
      </c>
      <c r="CA28" s="153">
        <v>2.0174670098012371</v>
      </c>
      <c r="CB28" s="153">
        <v>2.1065153842224862</v>
      </c>
      <c r="CC28" s="152">
        <v>1.854463843585771</v>
      </c>
      <c r="CD28" s="152">
        <v>1.8661520720737195</v>
      </c>
      <c r="CE28" s="153">
        <v>2.2625383930447307</v>
      </c>
      <c r="CF28" s="153">
        <v>2.1417904748975447</v>
      </c>
      <c r="CG28" s="153">
        <v>2.0639392238472967</v>
      </c>
      <c r="CH28" s="153">
        <v>2.061855670103093</v>
      </c>
      <c r="CI28" s="153">
        <v>2.1958096776180995</v>
      </c>
      <c r="CJ28" s="153">
        <v>2.0409671817250752</v>
      </c>
      <c r="CK28" s="153">
        <v>1.9902313334972543</v>
      </c>
      <c r="CL28" s="153">
        <v>1.9072640128446583</v>
      </c>
      <c r="CM28" s="153">
        <v>2.0749431165222845</v>
      </c>
      <c r="CN28" s="153">
        <v>2.1068365596667484</v>
      </c>
      <c r="CO28" s="153">
        <v>2.0827911944103912</v>
      </c>
      <c r="CP28" s="153">
        <v>2.0100229620030241</v>
      </c>
      <c r="CQ28" s="153">
        <v>2.0581123086817845</v>
      </c>
      <c r="CR28" s="153">
        <v>2.1295238918278283</v>
      </c>
      <c r="CS28" s="153">
        <v>2.1275354670259081</v>
      </c>
      <c r="CT28" s="153">
        <v>1.9825206202132923</v>
      </c>
      <c r="CU28" s="153">
        <v>2.4077705636419053</v>
      </c>
      <c r="CV28" s="153">
        <v>2.250359377711705</v>
      </c>
      <c r="CW28" s="153">
        <v>2.112858652627986</v>
      </c>
      <c r="CX28" s="153">
        <v>2.2585087854352306</v>
      </c>
      <c r="CY28" s="153">
        <v>2.1099060278508128</v>
      </c>
      <c r="CZ28" s="153">
        <v>2.0353736102272615</v>
      </c>
      <c r="DA28" s="153">
        <v>1.9235739105079046</v>
      </c>
      <c r="DB28" s="153">
        <v>2.0184408478680416</v>
      </c>
      <c r="DC28" s="153">
        <f>+DC23/DC21</f>
        <v>2.0601262313098014</v>
      </c>
      <c r="DD28" s="153">
        <f>+DD23/DD21</f>
        <v>2.1144614191185509</v>
      </c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</row>
    <row r="29" spans="1:121 16384:16384" ht="18.75" x14ac:dyDescent="0.25">
      <c r="A29" s="114"/>
      <c r="B29" s="114" t="s">
        <v>59</v>
      </c>
      <c r="C29" s="125">
        <v>6.4046103896103883</v>
      </c>
      <c r="D29" s="125">
        <v>6.6612738853503197</v>
      </c>
      <c r="E29" s="125">
        <v>6.5297560975609725</v>
      </c>
      <c r="F29" s="125">
        <v>6.504601226993862</v>
      </c>
      <c r="G29" s="125">
        <v>6.3512804878048774</v>
      </c>
      <c r="H29" s="125">
        <v>6.3749056603773582</v>
      </c>
      <c r="I29" s="125">
        <v>6.7762130177514779</v>
      </c>
      <c r="J29" s="125">
        <v>7.0280120481927675</v>
      </c>
      <c r="K29" s="125">
        <v>6.8524705882352919</v>
      </c>
      <c r="L29" s="125">
        <v>6.8020075757575746</v>
      </c>
      <c r="M29" s="125">
        <v>6.8440624999999979</v>
      </c>
      <c r="N29" s="125">
        <v>6.1921153846153834</v>
      </c>
      <c r="O29" s="125">
        <v>6.0424358974358965</v>
      </c>
      <c r="P29" s="125">
        <v>6.0507638888888877</v>
      </c>
      <c r="Q29" s="125">
        <v>6.4171153846153821</v>
      </c>
      <c r="R29" s="125">
        <v>7.0378145695364243</v>
      </c>
      <c r="S29" s="125">
        <v>7.1379738562091486</v>
      </c>
      <c r="T29" s="125">
        <v>6.8596249999999985</v>
      </c>
      <c r="U29" s="125">
        <v>6.763435582822086</v>
      </c>
      <c r="V29" s="125">
        <v>6.1709316770186318</v>
      </c>
      <c r="W29" s="125">
        <v>6.9123566878980878</v>
      </c>
      <c r="X29" s="125">
        <v>6.6458503401360529</v>
      </c>
      <c r="Y29" s="125">
        <v>6.7215894039735078</v>
      </c>
      <c r="Z29" s="125">
        <v>6.6797530864197538</v>
      </c>
      <c r="AA29" s="125">
        <v>6.7957738095238085</v>
      </c>
      <c r="AB29" s="125">
        <v>6.4397515527950304</v>
      </c>
      <c r="AC29" s="125">
        <v>6.3722142857142856</v>
      </c>
      <c r="AD29" s="125">
        <v>6.5485135135135124</v>
      </c>
      <c r="AE29" s="125">
        <v>6.791052631578947</v>
      </c>
      <c r="AF29" s="125">
        <v>6.8691333333333313</v>
      </c>
      <c r="AG29" s="125">
        <v>6.6347096774193526</v>
      </c>
      <c r="AH29" s="125">
        <v>6.2892857142857128</v>
      </c>
      <c r="AI29" s="125">
        <v>6.1912418300653576</v>
      </c>
      <c r="AJ29" s="125">
        <v>6.0616339869281033</v>
      </c>
      <c r="AK29" s="125">
        <v>6.105133333333332</v>
      </c>
      <c r="AL29" s="125">
        <v>5.9158904109589043</v>
      </c>
      <c r="AM29" s="125">
        <v>6.4098630136986285</v>
      </c>
      <c r="AN29" s="125">
        <v>6.1795555555555541</v>
      </c>
      <c r="AO29" s="125">
        <v>6.4331025353291365</v>
      </c>
      <c r="AP29" s="125">
        <v>6.6682608695652164</v>
      </c>
      <c r="AQ29" s="125">
        <v>6.7426811594202869</v>
      </c>
      <c r="AR29" s="125">
        <v>6.8134228187919428</v>
      </c>
      <c r="AS29" s="125">
        <v>6.7671333333333328</v>
      </c>
      <c r="AT29" s="125">
        <v>6.751458333333332</v>
      </c>
      <c r="AU29" s="125">
        <v>6.9994202898550713</v>
      </c>
      <c r="AV29" s="125">
        <v>6.7334265734265726</v>
      </c>
      <c r="AW29" s="125">
        <v>6.8514720163712077</v>
      </c>
      <c r="AX29" s="125">
        <v>6.5858783783783768</v>
      </c>
      <c r="AY29" s="125">
        <v>6.5817647058823505</v>
      </c>
      <c r="AZ29" s="125">
        <v>6.3602484472049685</v>
      </c>
      <c r="BA29" s="125">
        <v>6.3058787878787852</v>
      </c>
      <c r="BB29" s="125">
        <v>5.9066666666666663</v>
      </c>
      <c r="BC29" s="125">
        <v>6.1861538461538448</v>
      </c>
      <c r="BD29" s="125">
        <v>5.9414626243925017</v>
      </c>
      <c r="BE29" s="125">
        <v>5.8895138888888905</v>
      </c>
      <c r="BF29" s="125">
        <v>5.9425874125874154</v>
      </c>
      <c r="BG29" s="125">
        <v>5.9074482758620688</v>
      </c>
      <c r="BH29" s="125">
        <v>6.5959863945578219</v>
      </c>
      <c r="BI29" s="125">
        <v>6.2845333333333331</v>
      </c>
      <c r="BJ29" s="125">
        <v>6.150275862068967</v>
      </c>
      <c r="BK29" s="125">
        <v>5.9180272108843539</v>
      </c>
      <c r="BL29" s="125">
        <v>5.8101379310344825</v>
      </c>
      <c r="BM29" s="125">
        <v>6.3768382352941186</v>
      </c>
      <c r="BN29" s="125">
        <v>6.5299999999999976</v>
      </c>
      <c r="BO29" s="125">
        <v>6.6733333333333338</v>
      </c>
      <c r="BP29" s="125">
        <v>6.8300763358778598</v>
      </c>
      <c r="BQ29" s="125">
        <v>7.0671739130434759</v>
      </c>
      <c r="BR29" s="125">
        <v>7.1884258694325789</v>
      </c>
      <c r="BS29" s="125">
        <v>7.6949295774647863</v>
      </c>
      <c r="BT29" s="125">
        <v>8.0077320332249879</v>
      </c>
      <c r="BU29" s="125">
        <v>7.3159374999999986</v>
      </c>
      <c r="BV29" s="125">
        <v>7.2969375000000003</v>
      </c>
      <c r="BW29" s="125">
        <v>7.8977241379310321</v>
      </c>
      <c r="BX29" s="156">
        <v>7.8977241379310321</v>
      </c>
      <c r="BY29" s="125">
        <v>7.0453333333333328</v>
      </c>
      <c r="BZ29" s="125">
        <v>7.0796732026143783</v>
      </c>
      <c r="CA29" s="125">
        <v>7.0427941176470581</v>
      </c>
      <c r="CB29" s="125">
        <v>7.1757364341085239</v>
      </c>
      <c r="CC29" s="125">
        <v>6.7911627906976708</v>
      </c>
      <c r="CD29" s="125">
        <v>7.3058955223880586</v>
      </c>
      <c r="CE29" s="125">
        <v>7.5888721804511272</v>
      </c>
      <c r="CF29" s="125">
        <v>7.5403623188405806</v>
      </c>
      <c r="CG29" s="125">
        <v>7.5146715328467151</v>
      </c>
      <c r="CH29" s="125">
        <v>6.9694160583941578</v>
      </c>
      <c r="CI29" s="125">
        <v>6.8402158273381266</v>
      </c>
      <c r="CJ29" s="125">
        <v>7.2036885245901603</v>
      </c>
      <c r="CK29" s="125">
        <v>7.1436065573770486</v>
      </c>
      <c r="CL29" s="125">
        <v>7.1962773722627738</v>
      </c>
      <c r="CM29" s="125">
        <v>7.524</v>
      </c>
      <c r="CN29" s="125">
        <v>7.7925781249999986</v>
      </c>
      <c r="CO29" s="125">
        <v>7.9970676691729317</v>
      </c>
      <c r="CP29" s="125">
        <v>7.6992086330935239</v>
      </c>
      <c r="CQ29" s="125">
        <v>7.5869852941176461</v>
      </c>
      <c r="CR29" s="125">
        <v>8.4404511278195464</v>
      </c>
      <c r="CS29" s="125">
        <v>8.511459854014598</v>
      </c>
      <c r="CT29" s="125">
        <v>8.053758389261743</v>
      </c>
      <c r="CU29" s="126">
        <v>7.7468309859154925</v>
      </c>
      <c r="CV29" s="125">
        <v>7.1800625</v>
      </c>
      <c r="CW29" s="125">
        <v>6.6475496688741709</v>
      </c>
      <c r="CX29" s="125">
        <v>6.929924812030074</v>
      </c>
      <c r="CY29" s="125">
        <v>7.0976744186046501</v>
      </c>
      <c r="CZ29" s="125">
        <v>7.4581617647058804</v>
      </c>
      <c r="DA29" s="125">
        <v>7.5743137254901942</v>
      </c>
      <c r="DB29" s="125">
        <v>7.6481632653061196</v>
      </c>
      <c r="DC29" s="125">
        <f>+(DC6*6.57142857142857)/DC2</f>
        <v>7.3834437086092688</v>
      </c>
      <c r="DD29" s="125">
        <f>+(((DD6+DD7)*46)/7)/DD2</f>
        <v>7.1970322580645174</v>
      </c>
      <c r="DE29" s="125"/>
      <c r="DF29" s="125"/>
      <c r="DG29" s="125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</row>
    <row r="30" spans="1:121 16384:16384" ht="18.75" x14ac:dyDescent="0.25">
      <c r="A30" s="114"/>
      <c r="B30" s="114" t="s">
        <v>60</v>
      </c>
      <c r="C30" s="125">
        <v>1.1006493506493507</v>
      </c>
      <c r="D30" s="125">
        <v>1.0000000000000002</v>
      </c>
      <c r="E30" s="125">
        <v>1</v>
      </c>
      <c r="F30" s="125">
        <v>1.0000000000000002</v>
      </c>
      <c r="G30" s="125">
        <v>1</v>
      </c>
      <c r="H30" s="125">
        <v>1.0000000000000002</v>
      </c>
      <c r="I30" s="125">
        <v>1.5000000000000002</v>
      </c>
      <c r="J30" s="125">
        <v>1.5</v>
      </c>
      <c r="K30" s="125">
        <v>1.4999999999999998</v>
      </c>
      <c r="L30" s="125">
        <v>1.4999999999999998</v>
      </c>
      <c r="M30" s="125">
        <v>1.7572916666666665</v>
      </c>
      <c r="N30" s="125">
        <v>1.0516381766381768</v>
      </c>
      <c r="O30" s="125">
        <v>1.1335470085470085</v>
      </c>
      <c r="P30" s="125">
        <v>2.5555555555555554</v>
      </c>
      <c r="Q30" s="125">
        <v>2.608913308913309</v>
      </c>
      <c r="R30" s="125">
        <v>1.3053400609692001</v>
      </c>
      <c r="S30" s="125">
        <v>1.3142857142857145</v>
      </c>
      <c r="T30" s="125">
        <v>0.51909722222222221</v>
      </c>
      <c r="U30" s="125">
        <v>0.50954328561690521</v>
      </c>
      <c r="V30" s="125">
        <v>2</v>
      </c>
      <c r="W30" s="125">
        <v>2</v>
      </c>
      <c r="X30" s="125">
        <v>2</v>
      </c>
      <c r="Y30" s="125">
        <v>2</v>
      </c>
      <c r="Z30" s="125">
        <v>2</v>
      </c>
      <c r="AA30" s="125">
        <v>2.0000000000000004</v>
      </c>
      <c r="AB30" s="125">
        <v>2</v>
      </c>
      <c r="AC30" s="125">
        <v>2</v>
      </c>
      <c r="AD30" s="125">
        <v>2</v>
      </c>
      <c r="AE30" s="125">
        <v>1</v>
      </c>
      <c r="AF30" s="125">
        <v>1</v>
      </c>
      <c r="AG30" s="125">
        <v>1</v>
      </c>
      <c r="AH30" s="125">
        <v>1.0714285714285714</v>
      </c>
      <c r="AI30" s="125">
        <v>1.0784313725490196</v>
      </c>
      <c r="AJ30" s="125">
        <v>1.0653594771241832</v>
      </c>
      <c r="AK30" s="125">
        <v>1.0666666666666667</v>
      </c>
      <c r="AL30" s="125">
        <v>1.1095890410958906</v>
      </c>
      <c r="AM30" s="125">
        <v>1.0890410958904109</v>
      </c>
      <c r="AN30" s="125">
        <v>1.5111111111111111</v>
      </c>
      <c r="AO30" s="125">
        <v>1.4642857142857144</v>
      </c>
      <c r="AP30" s="125">
        <v>1.463768115942029</v>
      </c>
      <c r="AQ30" s="125">
        <v>1.4057971014492754</v>
      </c>
      <c r="AR30" s="125">
        <v>1.4026845637583893</v>
      </c>
      <c r="AS30" s="125">
        <v>1.7266666666666666</v>
      </c>
      <c r="AT30" s="125">
        <v>1.729166666666667</v>
      </c>
      <c r="AU30" s="125">
        <v>1.7391304347826086</v>
      </c>
      <c r="AV30" s="125">
        <v>1.3566433566433567</v>
      </c>
      <c r="AW30" s="125">
        <v>1.3298611111111112</v>
      </c>
      <c r="AX30" s="125">
        <v>1.8006756756756752</v>
      </c>
      <c r="AY30" s="125">
        <v>1.7843137254901962</v>
      </c>
      <c r="AZ30" s="125">
        <v>1.7950310559006211</v>
      </c>
      <c r="BA30" s="125">
        <v>1</v>
      </c>
      <c r="BB30" s="125">
        <v>2</v>
      </c>
      <c r="BC30" s="125">
        <v>2</v>
      </c>
      <c r="BD30" s="125">
        <v>2</v>
      </c>
      <c r="BE30" s="125">
        <v>1.9999999999999998</v>
      </c>
      <c r="BF30" s="125">
        <v>2</v>
      </c>
      <c r="BG30" s="125">
        <v>2</v>
      </c>
      <c r="BH30" s="125">
        <v>2</v>
      </c>
      <c r="BI30" s="125">
        <v>1.0000000000000002</v>
      </c>
      <c r="BJ30" s="125">
        <v>1</v>
      </c>
      <c r="BK30" s="125">
        <v>1.4999999999999996</v>
      </c>
      <c r="BL30" s="125">
        <v>2.4068965517241376</v>
      </c>
      <c r="BM30" s="125">
        <v>2.4044117647058818</v>
      </c>
      <c r="BN30" s="125">
        <v>2.4374999999999996</v>
      </c>
      <c r="BO30" s="125">
        <v>2.439393939393939</v>
      </c>
      <c r="BP30" s="125">
        <v>2.5698473282442742</v>
      </c>
      <c r="BQ30" s="125">
        <v>2.5557971014492749</v>
      </c>
      <c r="BR30" s="125">
        <v>2.525838926174496</v>
      </c>
      <c r="BS30" s="125">
        <v>1.8802816901408446</v>
      </c>
      <c r="BT30" s="125">
        <v>1.8873239436619715</v>
      </c>
      <c r="BU30" s="125">
        <v>1.9249999999999996</v>
      </c>
      <c r="BV30" s="125">
        <v>1.8624999999999994</v>
      </c>
      <c r="BW30" s="125">
        <v>1.9310344827586203</v>
      </c>
      <c r="BX30" s="156">
        <v>1.9310344827586203</v>
      </c>
      <c r="BY30" s="125">
        <v>2.1499999999999995</v>
      </c>
      <c r="BZ30" s="125">
        <v>2.1503267973856204</v>
      </c>
      <c r="CA30" s="125">
        <v>2.1654411764705879</v>
      </c>
      <c r="CB30" s="125">
        <v>2.1472868217054257</v>
      </c>
      <c r="CC30" s="125">
        <v>2.914728682170542</v>
      </c>
      <c r="CD30" s="125">
        <v>2.022388059701492</v>
      </c>
      <c r="CE30" s="125">
        <v>0.99999999999999978</v>
      </c>
      <c r="CF30" s="125">
        <v>0.99999999999999978</v>
      </c>
      <c r="CG30" s="125">
        <v>1.3467153284671534</v>
      </c>
      <c r="CH30" s="125">
        <v>1.3357664233576638</v>
      </c>
      <c r="CI30" s="125">
        <v>0.99999999999999978</v>
      </c>
      <c r="CJ30" s="125">
        <v>2</v>
      </c>
      <c r="CK30" s="125">
        <v>1.9999999999999996</v>
      </c>
      <c r="CL30" s="125">
        <v>1.9999999999999996</v>
      </c>
      <c r="CM30" s="125">
        <v>2</v>
      </c>
      <c r="CN30" s="125">
        <v>1.9999999999999993</v>
      </c>
      <c r="CO30" s="125">
        <v>1.9999999999999996</v>
      </c>
      <c r="CP30" s="125">
        <v>1.9999999999999996</v>
      </c>
      <c r="CQ30" s="125">
        <v>2</v>
      </c>
      <c r="CR30" s="125">
        <v>1.9999999999999996</v>
      </c>
      <c r="CS30" s="125">
        <v>2</v>
      </c>
      <c r="CT30" s="125">
        <v>1.9999999999999996</v>
      </c>
      <c r="CU30" s="126">
        <v>0.99999999999999978</v>
      </c>
      <c r="CV30" s="125">
        <v>0.99999999999999978</v>
      </c>
      <c r="CW30" s="125">
        <v>1.9999999999999996</v>
      </c>
      <c r="CX30" s="125">
        <v>1.9999999999999996</v>
      </c>
      <c r="CY30" s="125">
        <v>1.9999999999999996</v>
      </c>
      <c r="CZ30" s="125">
        <v>1.9999999999999996</v>
      </c>
      <c r="DA30" s="125">
        <v>1.9999999999999996</v>
      </c>
      <c r="DB30" s="125">
        <v>1.9999999999999996</v>
      </c>
      <c r="DC30" s="125">
        <f>+(DC9+DC11+DC10+DC12)*6.57142857142857/DC2</f>
        <v>1.9999999999999996</v>
      </c>
      <c r="DD30" s="125">
        <f>+(DD9+DD11+DD10+DD12)*6.57142857142857/DD2</f>
        <v>1.4999999999999998</v>
      </c>
      <c r="DE30" s="125"/>
      <c r="DF30" s="125"/>
      <c r="DG30" s="125"/>
      <c r="DH30" s="125"/>
      <c r="DI30" s="125"/>
      <c r="DJ30" s="125"/>
      <c r="DK30" s="125"/>
      <c r="DL30" s="125"/>
      <c r="DM30" s="125"/>
      <c r="DN30" s="125"/>
      <c r="DO30" s="125"/>
      <c r="DP30" s="125"/>
      <c r="DQ30" s="125"/>
    </row>
    <row r="31" spans="1:121 16384:16384" ht="18.75" x14ac:dyDescent="0.25">
      <c r="A31" s="114"/>
      <c r="B31" s="114" t="s">
        <v>61</v>
      </c>
      <c r="C31" s="125">
        <v>7.5052597402597385</v>
      </c>
      <c r="D31" s="125">
        <v>7.6612738853503197</v>
      </c>
      <c r="E31" s="125">
        <v>7.5297560975609725</v>
      </c>
      <c r="F31" s="125">
        <v>7.504601226993862</v>
      </c>
      <c r="G31" s="125">
        <v>7.3512804878048774</v>
      </c>
      <c r="H31" s="125">
        <v>7.3749056603773582</v>
      </c>
      <c r="I31" s="125">
        <v>8.2762130177514788</v>
      </c>
      <c r="J31" s="125">
        <v>8.5280120481927675</v>
      </c>
      <c r="K31" s="125">
        <v>8.3524705882352919</v>
      </c>
      <c r="L31" s="125">
        <v>8.3020075757575746</v>
      </c>
      <c r="M31" s="125">
        <v>8.6013541666666651</v>
      </c>
      <c r="N31" s="126">
        <v>7.24375356125356</v>
      </c>
      <c r="O31" s="125">
        <v>7.175982905982905</v>
      </c>
      <c r="P31" s="125">
        <v>8.6063194444444431</v>
      </c>
      <c r="Q31" s="125">
        <v>9.0260286935286906</v>
      </c>
      <c r="R31" s="125">
        <v>8.3431546305056248</v>
      </c>
      <c r="S31" s="125">
        <v>8.4522595704948635</v>
      </c>
      <c r="T31" s="125">
        <v>7.3787222222222209</v>
      </c>
      <c r="U31" s="125">
        <v>7.2729788684389911</v>
      </c>
      <c r="V31" s="125">
        <v>8.1709316770186327</v>
      </c>
      <c r="W31" s="125">
        <v>8.9123566878980878</v>
      </c>
      <c r="X31" s="125">
        <v>8.6458503401360538</v>
      </c>
      <c r="Y31" s="125">
        <v>8.7215894039735069</v>
      </c>
      <c r="Z31" s="125">
        <v>8.6797530864197547</v>
      </c>
      <c r="AA31" s="125">
        <v>8.7957738095238085</v>
      </c>
      <c r="AB31" s="125">
        <v>8.4397515527950304</v>
      </c>
      <c r="AC31" s="125">
        <v>8.3722142857142856</v>
      </c>
      <c r="AD31" s="125">
        <v>8.5485135135135124</v>
      </c>
      <c r="AE31" s="125">
        <v>7.791052631578947</v>
      </c>
      <c r="AF31" s="125">
        <v>7.8691333333333313</v>
      </c>
      <c r="AG31" s="125">
        <v>7.6347096774193526</v>
      </c>
      <c r="AH31" s="125">
        <v>7.360714285714284</v>
      </c>
      <c r="AI31" s="125">
        <v>7.2696732026143769</v>
      </c>
      <c r="AJ31" s="125">
        <v>7.126993464052287</v>
      </c>
      <c r="AK31" s="125">
        <v>7.1717999999999984</v>
      </c>
      <c r="AL31" s="125">
        <v>7.0254794520547952</v>
      </c>
      <c r="AM31" s="125">
        <v>7.4989041095890396</v>
      </c>
      <c r="AN31" s="125">
        <v>7.6906666666666652</v>
      </c>
      <c r="AO31" s="125">
        <v>7.8973882496148509</v>
      </c>
      <c r="AP31" s="125">
        <v>8.1320289855072456</v>
      </c>
      <c r="AQ31" s="125">
        <v>8.1484782608695632</v>
      </c>
      <c r="AR31" s="125">
        <v>8.2161073825503319</v>
      </c>
      <c r="AS31" s="125">
        <v>8.4938000000000002</v>
      </c>
      <c r="AT31" s="125">
        <v>8.4806249999999999</v>
      </c>
      <c r="AU31" s="125">
        <v>8.7385507246376797</v>
      </c>
      <c r="AV31" s="125">
        <v>8.0900699300699301</v>
      </c>
      <c r="AW31" s="125">
        <v>8.1813331274823184</v>
      </c>
      <c r="AX31" s="125">
        <v>8.3865540540540522</v>
      </c>
      <c r="AY31" s="125">
        <v>8.3660784313725465</v>
      </c>
      <c r="AZ31" s="125">
        <v>8.1552795031055894</v>
      </c>
      <c r="BA31" s="125">
        <v>7.3058787878787852</v>
      </c>
      <c r="BB31" s="125">
        <v>7.9066666666666663</v>
      </c>
      <c r="BC31" s="125">
        <v>8.1861538461538448</v>
      </c>
      <c r="BD31" s="125">
        <v>7.9414626243925017</v>
      </c>
      <c r="BE31" s="125">
        <v>7.8895138888888905</v>
      </c>
      <c r="BF31" s="125">
        <v>7.9425874125874154</v>
      </c>
      <c r="BG31" s="125">
        <v>7.9074482758620688</v>
      </c>
      <c r="BH31" s="125">
        <v>8.5959863945578228</v>
      </c>
      <c r="BI31" s="125">
        <v>7.2845333333333331</v>
      </c>
      <c r="BJ31" s="125">
        <v>7.150275862068967</v>
      </c>
      <c r="BK31" s="125">
        <v>7.4180272108843539</v>
      </c>
      <c r="BL31" s="125">
        <v>8.2170344827586206</v>
      </c>
      <c r="BM31" s="125">
        <v>8.78125</v>
      </c>
      <c r="BN31" s="125">
        <v>8.9674999999999976</v>
      </c>
      <c r="BO31" s="125">
        <v>9.1127272727272732</v>
      </c>
      <c r="BP31" s="125">
        <v>9.3999236641221344</v>
      </c>
      <c r="BQ31" s="125">
        <v>9.6229710144927516</v>
      </c>
      <c r="BR31" s="125">
        <v>9.7142647956070753</v>
      </c>
      <c r="BS31" s="125">
        <v>9.5752112676056313</v>
      </c>
      <c r="BT31" s="125">
        <v>9.8950559768869599</v>
      </c>
      <c r="BU31" s="125">
        <v>9.2409374999999976</v>
      </c>
      <c r="BV31" s="125">
        <v>9.1594374999999992</v>
      </c>
      <c r="BW31" s="125">
        <v>9.8287586206896531</v>
      </c>
      <c r="BX31" s="156">
        <v>9.8287586206896531</v>
      </c>
      <c r="BY31" s="125">
        <v>9.1953333333333322</v>
      </c>
      <c r="BZ31" s="125">
        <v>9.2299999999999986</v>
      </c>
      <c r="CA31" s="125">
        <v>9.208235294117646</v>
      </c>
      <c r="CB31" s="125">
        <v>9.3230232558139505</v>
      </c>
      <c r="CC31" s="125">
        <v>9.7058914728682133</v>
      </c>
      <c r="CD31" s="125">
        <v>9.3282835820895507</v>
      </c>
      <c r="CE31" s="125">
        <v>8.5888721804511263</v>
      </c>
      <c r="CF31" s="125">
        <v>8.5403623188405806</v>
      </c>
      <c r="CG31" s="125">
        <v>8.8613868613138678</v>
      </c>
      <c r="CH31" s="125">
        <v>8.3051824817518209</v>
      </c>
      <c r="CI31" s="125">
        <v>7.8402158273381266</v>
      </c>
      <c r="CJ31" s="125">
        <v>9.2036885245901594</v>
      </c>
      <c r="CK31" s="125">
        <v>9.1436065573770477</v>
      </c>
      <c r="CL31" s="125">
        <v>9.1962773722627738</v>
      </c>
      <c r="CM31" s="125">
        <v>9.5240000000000009</v>
      </c>
      <c r="CN31" s="125">
        <v>9.7925781249999986</v>
      </c>
      <c r="CO31" s="125">
        <v>9.9970676691729317</v>
      </c>
      <c r="CP31" s="125">
        <v>9.699208633093523</v>
      </c>
      <c r="CQ31" s="125">
        <v>9.5869852941176461</v>
      </c>
      <c r="CR31" s="125">
        <v>10.440451127819546</v>
      </c>
      <c r="CS31" s="125">
        <v>10.511459854014598</v>
      </c>
      <c r="CT31" s="125">
        <v>10.053758389261743</v>
      </c>
      <c r="CU31" s="125">
        <v>8.7468309859154925</v>
      </c>
      <c r="CV31" s="125">
        <v>8.1800625</v>
      </c>
      <c r="CW31" s="125">
        <v>8.64754966887417</v>
      </c>
      <c r="CX31" s="125">
        <v>8.9299248120300732</v>
      </c>
      <c r="CY31" s="125">
        <v>9.0976744186046492</v>
      </c>
      <c r="CZ31" s="125">
        <v>9.4581617647058795</v>
      </c>
      <c r="DA31" s="125">
        <v>9.5743137254901942</v>
      </c>
      <c r="DB31" s="125">
        <v>9.6481632653061187</v>
      </c>
      <c r="DC31" s="125">
        <f>+DC30+DC29</f>
        <v>9.3834437086092688</v>
      </c>
      <c r="DD31" s="125">
        <f>+DD30+DD29</f>
        <v>8.6970322580645174</v>
      </c>
      <c r="DE31" s="125"/>
      <c r="DF31" s="125"/>
      <c r="DG31" s="125"/>
      <c r="DH31" s="125"/>
      <c r="DI31" s="125"/>
      <c r="DJ31" s="125"/>
      <c r="DK31" s="125"/>
      <c r="DL31" s="125"/>
      <c r="DM31" s="125"/>
      <c r="DN31" s="125"/>
      <c r="DO31" s="125"/>
      <c r="DP31" s="125"/>
      <c r="DQ31" s="125"/>
    </row>
    <row r="32" spans="1:121 16384:16384" ht="18.75" x14ac:dyDescent="0.25">
      <c r="A32" s="114"/>
      <c r="B32" s="114" t="s">
        <v>62</v>
      </c>
      <c r="C32" s="157">
        <v>5409504.169999999</v>
      </c>
      <c r="D32" s="157">
        <v>5579020.0899999999</v>
      </c>
      <c r="E32" s="157">
        <v>5730097.1700000009</v>
      </c>
      <c r="F32" s="157">
        <v>5267106.1500000004</v>
      </c>
      <c r="G32" s="157">
        <v>5071912</v>
      </c>
      <c r="H32" s="157">
        <v>4827303</v>
      </c>
      <c r="I32" s="157">
        <v>5217385.7904003328</v>
      </c>
      <c r="J32" s="157">
        <v>5561355.830017345</v>
      </c>
      <c r="K32" s="157">
        <v>5705280.6648997432</v>
      </c>
      <c r="L32" s="157">
        <v>5793031.5416082703</v>
      </c>
      <c r="M32" s="157">
        <v>5468098.7532588635</v>
      </c>
      <c r="N32" s="157">
        <v>5006354.9797266359</v>
      </c>
      <c r="O32" s="157">
        <v>4986647.8744383547</v>
      </c>
      <c r="P32" s="157">
        <v>4071104.796059113</v>
      </c>
      <c r="Q32" s="157">
        <v>4644888.3530895719</v>
      </c>
      <c r="R32" s="157">
        <v>5004948.2862832164</v>
      </c>
      <c r="S32" s="157">
        <v>5480746</v>
      </c>
      <c r="T32" s="157">
        <v>5597642</v>
      </c>
      <c r="U32" s="157">
        <v>5270263.0999999996</v>
      </c>
      <c r="V32" s="157">
        <v>5487625.25</v>
      </c>
      <c r="W32" s="157">
        <v>6079059.25</v>
      </c>
      <c r="X32" s="157">
        <v>5846188</v>
      </c>
      <c r="Y32" s="157">
        <v>5859013.5</v>
      </c>
      <c r="Z32" s="157">
        <v>5755011</v>
      </c>
      <c r="AA32" s="157">
        <v>6161268.5</v>
      </c>
      <c r="AB32" s="157">
        <v>5931085.2000000002</v>
      </c>
      <c r="AC32" s="157">
        <v>5516808</v>
      </c>
      <c r="AD32" s="157">
        <v>5359174.9000000004</v>
      </c>
      <c r="AE32" s="157">
        <v>5788546</v>
      </c>
      <c r="AF32" s="157">
        <v>5511055.7999999998</v>
      </c>
      <c r="AG32" s="157">
        <v>5876081.2999999998</v>
      </c>
      <c r="AH32" s="157">
        <v>5576584.2000000002</v>
      </c>
      <c r="AI32" s="157">
        <v>5619057.2999999998</v>
      </c>
      <c r="AJ32" s="157">
        <v>5412014.4500000002</v>
      </c>
      <c r="AK32" s="157">
        <v>5276840.25</v>
      </c>
      <c r="AL32" s="157">
        <v>5069408.9000000004</v>
      </c>
      <c r="AM32" s="157">
        <v>5073175.5</v>
      </c>
      <c r="AN32" s="158">
        <v>4938235.05</v>
      </c>
      <c r="AO32" s="158">
        <v>4869829.8499999996</v>
      </c>
      <c r="AP32" s="158">
        <v>5033517.8499999996</v>
      </c>
      <c r="AQ32" s="158">
        <v>5168045.95</v>
      </c>
      <c r="AR32" s="158">
        <v>5274240.45</v>
      </c>
      <c r="AS32" s="158">
        <v>5526177.3499999996</v>
      </c>
      <c r="AT32" s="158">
        <v>5801583.8000000007</v>
      </c>
      <c r="AU32" s="157">
        <v>5492384.5</v>
      </c>
      <c r="AV32" s="157"/>
      <c r="AW32" s="157">
        <v>5968318.3499999996</v>
      </c>
      <c r="AX32" s="157">
        <v>5884724.9499999993</v>
      </c>
      <c r="AY32" s="157">
        <v>6155034.5</v>
      </c>
      <c r="AZ32" s="157">
        <v>6008702.4499999993</v>
      </c>
      <c r="BA32" s="157"/>
      <c r="BB32" s="157">
        <v>5674771.0500000007</v>
      </c>
      <c r="BC32" s="157">
        <v>5803767</v>
      </c>
      <c r="BD32" s="157">
        <v>5611277.2000000002</v>
      </c>
      <c r="BE32" s="157">
        <v>5262888.3000000007</v>
      </c>
      <c r="BF32" s="157">
        <v>5553479.5</v>
      </c>
      <c r="BG32" s="157">
        <v>5374487.1500000004</v>
      </c>
      <c r="BH32" s="157">
        <v>5954542.8000000007</v>
      </c>
      <c r="BI32" s="157">
        <v>5947228.8999999994</v>
      </c>
      <c r="BJ32" s="157"/>
      <c r="BK32" s="157">
        <v>5664507.7000000002</v>
      </c>
      <c r="BL32" s="157">
        <v>5580075.2999999998</v>
      </c>
      <c r="BM32" s="157">
        <v>5668009.4000000004</v>
      </c>
      <c r="BN32" s="157">
        <v>5215671.6500000004</v>
      </c>
      <c r="BO32" s="157">
        <v>5586238.8000000007</v>
      </c>
      <c r="BP32" s="157">
        <v>5958431.6000000006</v>
      </c>
      <c r="BQ32" s="157">
        <v>5898715.3499999996</v>
      </c>
      <c r="BR32" s="159">
        <v>6446296.0499999998</v>
      </c>
      <c r="BS32" s="159">
        <v>6026866.7999999998</v>
      </c>
      <c r="BT32" s="157">
        <v>6400979</v>
      </c>
      <c r="BU32" s="157">
        <v>6286696.75</v>
      </c>
      <c r="BV32" s="157">
        <v>6905923.7999999998</v>
      </c>
      <c r="BW32" s="157">
        <v>6618852.5499999998</v>
      </c>
      <c r="BX32" s="160">
        <v>5607993.5</v>
      </c>
      <c r="BY32" s="157">
        <v>6046098.8499999996</v>
      </c>
      <c r="BZ32" s="157">
        <v>6246756.7000000002</v>
      </c>
      <c r="CA32" s="161">
        <v>5376847.5</v>
      </c>
      <c r="CB32" s="157">
        <v>5407667.5499999998</v>
      </c>
      <c r="CC32" s="157">
        <v>4964523.4000000004</v>
      </c>
      <c r="CD32" s="157">
        <v>4945001.3</v>
      </c>
      <c r="CE32" s="157">
        <v>5226879.05</v>
      </c>
      <c r="CF32" s="157">
        <v>5359300.6999999993</v>
      </c>
      <c r="CG32" s="157">
        <v>5348241.0500000007</v>
      </c>
      <c r="CH32" s="157">
        <v>4936626.7</v>
      </c>
      <c r="CI32" s="157">
        <v>5108536.95</v>
      </c>
      <c r="CJ32" s="157">
        <v>4854552.1500000004</v>
      </c>
      <c r="CK32" s="157">
        <v>4679209.25</v>
      </c>
      <c r="CL32" s="157">
        <v>5084629.8</v>
      </c>
      <c r="CM32" s="157">
        <v>5387272.2999999998</v>
      </c>
      <c r="CN32" s="157">
        <v>5475201.4000000004</v>
      </c>
      <c r="CO32" s="157">
        <v>5797991.75</v>
      </c>
      <c r="CP32" s="157">
        <v>5663699.8499999996</v>
      </c>
      <c r="CQ32" s="157">
        <v>5834895.1500000004</v>
      </c>
      <c r="CR32" s="157">
        <v>6007475</v>
      </c>
      <c r="CS32" s="157">
        <v>6350193</v>
      </c>
      <c r="CT32" s="157">
        <v>6316055.7999999998</v>
      </c>
      <c r="CU32" s="157">
        <v>6647813.4000000004</v>
      </c>
      <c r="CV32" s="157">
        <v>6484418.0999999996</v>
      </c>
      <c r="CW32" s="157">
        <v>6180677.9499999993</v>
      </c>
      <c r="CX32" s="157">
        <v>5987130.0999999996</v>
      </c>
      <c r="CY32" s="157">
        <v>5500711.5</v>
      </c>
      <c r="CZ32" s="157">
        <v>5663213.5999999996</v>
      </c>
      <c r="DA32" s="157">
        <v>6130570.6999999993</v>
      </c>
      <c r="DB32" s="157">
        <v>6220598.3499999996</v>
      </c>
      <c r="DC32" s="157">
        <f>4908198.3+1515829.05</f>
        <v>6424027.3499999996</v>
      </c>
      <c r="DD32" s="157">
        <f>4748632.9+1515636.6</f>
        <v>6264269.5</v>
      </c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</row>
    <row r="33" spans="1:121 16384:16384" ht="18.75" x14ac:dyDescent="0.25">
      <c r="A33" s="114"/>
      <c r="B33" s="114" t="s">
        <v>63</v>
      </c>
      <c r="C33" s="157">
        <v>1378132.1826086955</v>
      </c>
      <c r="D33" s="157">
        <v>1423176.2543478266</v>
      </c>
      <c r="E33" s="157">
        <v>1462205.9717391301</v>
      </c>
      <c r="F33" s="157">
        <v>1528761.9227053139</v>
      </c>
      <c r="G33" s="157">
        <v>1508686.0951690823</v>
      </c>
      <c r="H33" s="157">
        <v>1468331.0106280195</v>
      </c>
      <c r="I33" s="157">
        <v>1744177.0584541066</v>
      </c>
      <c r="J33" s="157">
        <v>1766736.5434782603</v>
      </c>
      <c r="K33" s="157">
        <v>1773791.0115942026</v>
      </c>
      <c r="L33" s="157">
        <v>1826384.8859903384</v>
      </c>
      <c r="M33" s="157">
        <v>1693651.3188405798</v>
      </c>
      <c r="N33" s="157">
        <v>1451833.8739130434</v>
      </c>
      <c r="O33" s="157">
        <v>1430081.7628019322</v>
      </c>
      <c r="P33" s="157">
        <v>1428535.85</v>
      </c>
      <c r="Q33" s="157">
        <v>1628577.9888888886</v>
      </c>
      <c r="R33" s="157">
        <v>1522538.1055555558</v>
      </c>
      <c r="S33" s="157">
        <v>1563136.1111111108</v>
      </c>
      <c r="T33" s="157">
        <v>1472798.8722222222</v>
      </c>
      <c r="U33" s="157">
        <v>1472983.9833333339</v>
      </c>
      <c r="V33" s="157">
        <v>1636987.45</v>
      </c>
      <c r="W33" s="157">
        <v>1749300.4869565219</v>
      </c>
      <c r="X33" s="157">
        <v>1761378.8043478262</v>
      </c>
      <c r="Y33" s="157">
        <v>1820946.2173913042</v>
      </c>
      <c r="Z33" s="157">
        <v>1947562.9782608701</v>
      </c>
      <c r="AA33" s="157">
        <v>2007235.8478260874</v>
      </c>
      <c r="AB33" s="157">
        <v>1926666.4900000002</v>
      </c>
      <c r="AC33" s="157">
        <v>1581175.8327826087</v>
      </c>
      <c r="AD33" s="157">
        <v>1768590.7479130432</v>
      </c>
      <c r="AE33" s="161">
        <v>1861143.2679060875</v>
      </c>
      <c r="AF33" s="161">
        <v>1803284.5031052174</v>
      </c>
      <c r="AG33" s="161">
        <v>1805948.3991773915</v>
      </c>
      <c r="AH33" s="161">
        <v>1715429.7056217394</v>
      </c>
      <c r="AI33" s="157">
        <v>1679696.975441739</v>
      </c>
      <c r="AJ33" s="157">
        <v>1646914.5923208697</v>
      </c>
      <c r="AK33" s="157">
        <v>1621998.1912095651</v>
      </c>
      <c r="AL33" s="157">
        <v>1541636.5133704352</v>
      </c>
      <c r="AM33" s="157">
        <v>1656118.3830191304</v>
      </c>
      <c r="AN33" s="157">
        <v>1542185.1866886956</v>
      </c>
      <c r="AO33" s="157">
        <v>1651040.0360036599</v>
      </c>
      <c r="AP33" s="157">
        <v>1678968.0515878263</v>
      </c>
      <c r="AQ33" s="157">
        <v>1688351.5878843477</v>
      </c>
      <c r="AR33" s="157">
        <v>1837908.5466608691</v>
      </c>
      <c r="AS33" s="157">
        <v>1891135.905722609</v>
      </c>
      <c r="AT33" s="157">
        <v>1810292.1902982609</v>
      </c>
      <c r="AU33" s="157">
        <v>1798085.1879443477</v>
      </c>
      <c r="AV33" s="157"/>
      <c r="AW33" s="157">
        <v>1828951.125045009</v>
      </c>
      <c r="AX33" s="157">
        <v>1979895.4214808696</v>
      </c>
      <c r="AY33" s="157">
        <v>2043898.3344286955</v>
      </c>
      <c r="AZ33" s="157">
        <v>2096870.3766956523</v>
      </c>
      <c r="BA33" s="157"/>
      <c r="BB33" s="157">
        <v>1838266.9912173913</v>
      </c>
      <c r="BC33" s="157">
        <v>1944141.6302608694</v>
      </c>
      <c r="BD33" s="157">
        <v>1826092.7711709146</v>
      </c>
      <c r="BE33" s="157">
        <v>1773542.0475652176</v>
      </c>
      <c r="BF33" s="157">
        <v>1761950.7923043487</v>
      </c>
      <c r="BG33" s="157">
        <v>1778639.8928260871</v>
      </c>
      <c r="BH33" s="157">
        <v>1961169.6333478261</v>
      </c>
      <c r="BI33" s="157">
        <v>1730980.8995652173</v>
      </c>
      <c r="BJ33" s="157"/>
      <c r="BK33" s="157">
        <v>1630843.5104347831</v>
      </c>
      <c r="BL33" s="157">
        <v>1775293.5845217393</v>
      </c>
      <c r="BM33" s="157">
        <v>1785074.5956521742</v>
      </c>
      <c r="BN33" s="157">
        <v>1716271.0246956518</v>
      </c>
      <c r="BO33" s="157">
        <v>1799793.9120000002</v>
      </c>
      <c r="BP33" s="157">
        <v>1659732.0691304344</v>
      </c>
      <c r="BQ33" s="157">
        <v>1793386.5356521735</v>
      </c>
      <c r="BR33" s="157">
        <v>1957290.3163241106</v>
      </c>
      <c r="BS33" s="157">
        <v>1880657.233913043</v>
      </c>
      <c r="BT33" s="157">
        <v>1945850.2855295427</v>
      </c>
      <c r="BU33" s="157">
        <v>2039782.9260869562</v>
      </c>
      <c r="BV33" s="157">
        <v>2023975.5504347831</v>
      </c>
      <c r="BW33" s="157">
        <v>1971198.6182608695</v>
      </c>
      <c r="BX33" s="160">
        <v>1971198.6182608695</v>
      </c>
      <c r="BY33" s="157">
        <v>1896033.3608695653</v>
      </c>
      <c r="BZ33" s="157">
        <v>1941550.6539130437</v>
      </c>
      <c r="CA33" s="157">
        <v>1721242.8313043481</v>
      </c>
      <c r="CB33" s="157">
        <v>1654628.4878260866</v>
      </c>
      <c r="CC33" s="157">
        <v>1681474.4982608689</v>
      </c>
      <c r="CD33" s="157">
        <v>1709194.1452173912</v>
      </c>
      <c r="CE33" s="157">
        <v>1607374.5921739133</v>
      </c>
      <c r="CF33" s="157">
        <v>1658148.9400000004</v>
      </c>
      <c r="CG33" s="157">
        <v>1698884.1373913048</v>
      </c>
      <c r="CH33" s="157">
        <v>1589340.6504347823</v>
      </c>
      <c r="CI33" s="157">
        <v>1529680.4843478259</v>
      </c>
      <c r="CJ33" s="157">
        <v>1527344.6999999995</v>
      </c>
      <c r="CK33" s="157">
        <v>1516774.84</v>
      </c>
      <c r="CL33" s="157">
        <v>1713668.8800000004</v>
      </c>
      <c r="CM33" s="157">
        <v>1687544.0400000003</v>
      </c>
      <c r="CN33" s="157">
        <v>1711154.9</v>
      </c>
      <c r="CO33" s="157">
        <v>1817215.1199999999</v>
      </c>
      <c r="CP33" s="157">
        <v>1839492.48</v>
      </c>
      <c r="CQ33" s="157">
        <v>1798623.3817391307</v>
      </c>
      <c r="CR33" s="157">
        <v>1922630.6643478263</v>
      </c>
      <c r="CS33" s="157">
        <v>1973488.4400000004</v>
      </c>
      <c r="CT33" s="157">
        <v>2048007.92</v>
      </c>
      <c r="CU33" s="157">
        <v>1726728.6217391305</v>
      </c>
      <c r="CV33" s="157">
        <v>1814844.8895652178</v>
      </c>
      <c r="CW33" s="157">
        <v>1792446.3686956521</v>
      </c>
      <c r="CX33" s="157">
        <v>1632932.864347826</v>
      </c>
      <c r="CY33" s="157">
        <v>1615026.5478260871</v>
      </c>
      <c r="CZ33" s="157">
        <v>1773359.5417391302</v>
      </c>
      <c r="DA33" s="157">
        <v>2020655.6269565218</v>
      </c>
      <c r="DB33" s="157">
        <v>1957068.4121739129</v>
      </c>
      <c r="DC33" s="157">
        <f>+(DC6*46*219.33)+(DC9*6500)+(DC11*7500)+(DC10*7507)+(DC12*8000)</f>
        <v>2056712.7276956523</v>
      </c>
      <c r="DD33" s="157">
        <f>+(DD6*46*219.33)+(DD9*6500)+(DD11*7500)+(DD10*7507)+(DD12*8000)+(DD7*194*46)</f>
        <v>1926433.9201130439</v>
      </c>
      <c r="DE33" s="157"/>
      <c r="DF33" s="157"/>
      <c r="DG33" s="157"/>
      <c r="DH33" s="157"/>
      <c r="DI33" s="157"/>
      <c r="DJ33" s="157"/>
      <c r="DK33" s="157"/>
      <c r="DL33" s="157"/>
      <c r="DM33" s="157"/>
      <c r="DN33" s="157"/>
      <c r="DO33" s="157"/>
      <c r="DP33" s="157"/>
      <c r="DQ33" s="157"/>
    </row>
    <row r="34" spans="1:121 16384:16384" ht="18.75" x14ac:dyDescent="0.25">
      <c r="A34" s="114"/>
      <c r="B34" s="114" t="s">
        <v>64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61"/>
      <c r="AF34" s="161"/>
      <c r="AG34" s="161"/>
      <c r="AH34" s="161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62">
        <v>129425</v>
      </c>
      <c r="BQ34" s="162">
        <v>148212.5</v>
      </c>
      <c r="BR34" s="162">
        <v>173262.5</v>
      </c>
      <c r="BS34" s="162">
        <v>167000</v>
      </c>
      <c r="BT34" s="162">
        <v>175350</v>
      </c>
      <c r="BU34" s="162">
        <v>198312.5</v>
      </c>
      <c r="BV34" s="162">
        <v>198312.5</v>
      </c>
      <c r="BW34" s="157">
        <v>198312.5</v>
      </c>
      <c r="BX34" s="160">
        <v>146125</v>
      </c>
      <c r="BY34" s="157">
        <v>171175</v>
      </c>
      <c r="BZ34" s="157">
        <v>0</v>
      </c>
      <c r="CA34" s="157">
        <v>0</v>
      </c>
      <c r="CB34" s="157">
        <v>0</v>
      </c>
      <c r="CC34" s="157">
        <v>0</v>
      </c>
      <c r="CD34" s="157">
        <v>0</v>
      </c>
      <c r="CE34" s="157">
        <v>0</v>
      </c>
      <c r="CF34" s="157">
        <v>0</v>
      </c>
      <c r="CG34" s="157">
        <v>0</v>
      </c>
      <c r="CH34" s="157">
        <v>0</v>
      </c>
      <c r="CI34" s="157">
        <v>0</v>
      </c>
      <c r="CJ34" s="157">
        <v>0</v>
      </c>
      <c r="CK34" s="157">
        <v>0</v>
      </c>
      <c r="CL34" s="157">
        <v>0</v>
      </c>
      <c r="CM34" s="157">
        <v>0</v>
      </c>
      <c r="CN34" s="157">
        <v>0</v>
      </c>
      <c r="CO34" s="157">
        <v>0</v>
      </c>
      <c r="CP34" s="157">
        <v>0</v>
      </c>
      <c r="CQ34" s="157">
        <v>0</v>
      </c>
      <c r="CR34" s="157">
        <v>0</v>
      </c>
      <c r="CS34" s="157">
        <v>0</v>
      </c>
      <c r="CT34" s="157">
        <v>0</v>
      </c>
      <c r="CU34" s="157">
        <v>0</v>
      </c>
      <c r="CV34" s="157">
        <v>0</v>
      </c>
      <c r="CW34" s="157">
        <v>0</v>
      </c>
      <c r="CX34" s="157">
        <v>0</v>
      </c>
      <c r="CY34" s="157">
        <v>0</v>
      </c>
      <c r="CZ34" s="157">
        <v>0</v>
      </c>
      <c r="DA34" s="157">
        <v>0</v>
      </c>
      <c r="DB34" s="157">
        <v>0</v>
      </c>
      <c r="DC34" s="157">
        <v>0</v>
      </c>
      <c r="DD34" s="157">
        <v>0</v>
      </c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</row>
    <row r="35" spans="1:121 16384:16384" ht="18.75" x14ac:dyDescent="0.25">
      <c r="A35" s="114"/>
      <c r="B35" s="114" t="s">
        <v>65</v>
      </c>
      <c r="C35" s="157">
        <v>4031371.9873913033</v>
      </c>
      <c r="D35" s="157">
        <v>4155843.8356521735</v>
      </c>
      <c r="E35" s="157">
        <v>4267891.1982608708</v>
      </c>
      <c r="F35" s="157">
        <v>3738344.2272946863</v>
      </c>
      <c r="G35" s="157">
        <v>3563225.9048309177</v>
      </c>
      <c r="H35" s="157">
        <v>3358971.9893719805</v>
      </c>
      <c r="I35" s="157">
        <v>3473208.7319462262</v>
      </c>
      <c r="J35" s="157">
        <v>3794619.2865390847</v>
      </c>
      <c r="K35" s="157">
        <v>3931489.6533055408</v>
      </c>
      <c r="L35" s="157">
        <v>3966646.6556179319</v>
      </c>
      <c r="M35" s="157">
        <v>3774447.4344182834</v>
      </c>
      <c r="N35" s="157">
        <v>3554521.1058135927</v>
      </c>
      <c r="O35" s="157">
        <v>3556566.1116364226</v>
      </c>
      <c r="P35" s="157">
        <v>2642568.9460591129</v>
      </c>
      <c r="Q35" s="157">
        <v>3016310.3642006833</v>
      </c>
      <c r="R35" s="157">
        <v>3482410.1807276607</v>
      </c>
      <c r="S35" s="157">
        <v>3917609.888888889</v>
      </c>
      <c r="T35" s="157">
        <v>4124843.1277777776</v>
      </c>
      <c r="U35" s="157">
        <v>3797279.1166666658</v>
      </c>
      <c r="V35" s="157">
        <v>3850637.8</v>
      </c>
      <c r="W35" s="157">
        <v>4329758.7630434781</v>
      </c>
      <c r="X35" s="157">
        <v>4084809.1956521738</v>
      </c>
      <c r="Y35" s="157">
        <v>4038067.2826086958</v>
      </c>
      <c r="Z35" s="157">
        <v>3807448.0217391299</v>
      </c>
      <c r="AA35" s="157">
        <v>4154032.6521739126</v>
      </c>
      <c r="AB35" s="157">
        <v>4004418.71</v>
      </c>
      <c r="AC35" s="157">
        <v>3935632.1672173915</v>
      </c>
      <c r="AD35" s="157">
        <v>3590584.1520869574</v>
      </c>
      <c r="AE35" s="157">
        <v>3927402.7320939125</v>
      </c>
      <c r="AF35" s="157">
        <v>3707771.2968947822</v>
      </c>
      <c r="AG35" s="157">
        <v>4070132.9008226083</v>
      </c>
      <c r="AH35" s="157">
        <v>3861154.4943782608</v>
      </c>
      <c r="AI35" s="157">
        <v>3939360.3245582609</v>
      </c>
      <c r="AJ35" s="157">
        <v>3765099.8576791305</v>
      </c>
      <c r="AK35" s="157">
        <v>3654842.0587904351</v>
      </c>
      <c r="AL35" s="157">
        <v>3527772.3866295652</v>
      </c>
      <c r="AM35" s="157">
        <v>3417057.1169808693</v>
      </c>
      <c r="AN35" s="157">
        <v>3396049.8633113042</v>
      </c>
      <c r="AO35" s="157">
        <v>3218789.8139963397</v>
      </c>
      <c r="AP35" s="157">
        <v>3354549.7984121731</v>
      </c>
      <c r="AQ35" s="157">
        <v>3479694.3621156523</v>
      </c>
      <c r="AR35" s="157">
        <v>3436331.9033391308</v>
      </c>
      <c r="AS35" s="157">
        <v>3635041.4442773908</v>
      </c>
      <c r="AT35" s="157">
        <v>3991291.6097017396</v>
      </c>
      <c r="AU35" s="157">
        <v>3694299.312055652</v>
      </c>
      <c r="AV35" s="157"/>
      <c r="AW35" s="157">
        <v>4139367.2249549907</v>
      </c>
      <c r="AX35" s="157">
        <v>3904829.5285191294</v>
      </c>
      <c r="AY35" s="157">
        <v>4111136.1655713045</v>
      </c>
      <c r="AZ35" s="157">
        <v>3911832.0733043468</v>
      </c>
      <c r="BA35" s="157"/>
      <c r="BB35" s="157">
        <v>3836504.0587826092</v>
      </c>
      <c r="BC35" s="157">
        <v>3859625.3697391306</v>
      </c>
      <c r="BD35" s="157">
        <v>3785184.4288290855</v>
      </c>
      <c r="BE35" s="157">
        <v>3489346.2524347831</v>
      </c>
      <c r="BF35" s="157">
        <v>3791528.7076956513</v>
      </c>
      <c r="BG35" s="157">
        <v>3595847.2571739135</v>
      </c>
      <c r="BH35" s="157">
        <v>3993373.1666521747</v>
      </c>
      <c r="BI35" s="157">
        <v>4216248.0004347824</v>
      </c>
      <c r="BJ35" s="157"/>
      <c r="BK35" s="157">
        <v>4033664.1895652171</v>
      </c>
      <c r="BL35" s="157">
        <v>3804781.7154782605</v>
      </c>
      <c r="BM35" s="157">
        <v>3882934.8043478262</v>
      </c>
      <c r="BN35" s="157">
        <v>3499400.6253043488</v>
      </c>
      <c r="BO35" s="157">
        <v>3786444.8880000003</v>
      </c>
      <c r="BP35" s="157">
        <v>4169274.5308695659</v>
      </c>
      <c r="BQ35" s="157">
        <v>3957116.3143478259</v>
      </c>
      <c r="BR35" s="157">
        <v>4315743.2336758897</v>
      </c>
      <c r="BS35" s="157">
        <v>3979209.5660869568</v>
      </c>
      <c r="BT35" s="157">
        <v>4279778.7144704573</v>
      </c>
      <c r="BU35" s="157">
        <v>4048601.3239130434</v>
      </c>
      <c r="BV35" s="157">
        <v>4683635.7495652167</v>
      </c>
      <c r="BW35" s="157">
        <v>4449341.4317391301</v>
      </c>
      <c r="BX35" s="160">
        <v>3490669.8817391302</v>
      </c>
      <c r="BY35" s="157">
        <v>3978890.4891304346</v>
      </c>
      <c r="BZ35" s="157">
        <v>4305206.0460869567</v>
      </c>
      <c r="CA35" s="157">
        <v>3655604.6686956519</v>
      </c>
      <c r="CB35" s="157">
        <v>3753039.0621739132</v>
      </c>
      <c r="CC35" s="157">
        <v>3283048.9017391317</v>
      </c>
      <c r="CD35" s="157">
        <v>3235807.1547826086</v>
      </c>
      <c r="CE35" s="157">
        <v>3619504.4578260863</v>
      </c>
      <c r="CF35" s="157">
        <v>3701151.7599999988</v>
      </c>
      <c r="CG35" s="157">
        <v>3649356.9126086961</v>
      </c>
      <c r="CH35" s="157">
        <v>3347286.0495652179</v>
      </c>
      <c r="CI35" s="157">
        <v>3578856.4656521743</v>
      </c>
      <c r="CJ35" s="157">
        <v>3327207.4500000011</v>
      </c>
      <c r="CK35" s="157">
        <v>3162434.41</v>
      </c>
      <c r="CL35" s="157">
        <v>3370960.9199999995</v>
      </c>
      <c r="CM35" s="157">
        <v>3699728.26</v>
      </c>
      <c r="CN35" s="157">
        <v>3764046.5000000005</v>
      </c>
      <c r="CO35" s="157">
        <v>3980776.63</v>
      </c>
      <c r="CP35" s="157">
        <v>3824207.3699999996</v>
      </c>
      <c r="CQ35" s="157">
        <v>4036271.7682608697</v>
      </c>
      <c r="CR35" s="157">
        <v>4084844.3356521735</v>
      </c>
      <c r="CS35" s="157">
        <v>4376704.5599999996</v>
      </c>
      <c r="CT35" s="157">
        <v>4268047.88</v>
      </c>
      <c r="CU35" s="157">
        <v>4921084.7782608699</v>
      </c>
      <c r="CV35" s="157">
        <v>4669573.2104347814</v>
      </c>
      <c r="CW35" s="157">
        <v>4388231.5813043471</v>
      </c>
      <c r="CX35" s="157">
        <v>4354197.2356521739</v>
      </c>
      <c r="CY35" s="157">
        <v>3885684.9521739129</v>
      </c>
      <c r="CZ35" s="157">
        <v>3889854.0582608692</v>
      </c>
      <c r="DA35" s="157">
        <v>4109915.0730434777</v>
      </c>
      <c r="DB35" s="157">
        <v>4263529.9378260868</v>
      </c>
      <c r="DC35" s="157">
        <f>+DC32-DC33-DC34</f>
        <v>4367314.6223043473</v>
      </c>
      <c r="DD35" s="157">
        <f>+DD32-DD33-DD34</f>
        <v>4337835.5798869561</v>
      </c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</row>
    <row r="36" spans="1:121 16384:16384" ht="18.75" x14ac:dyDescent="0.25">
      <c r="A36" s="114"/>
      <c r="B36" s="114" t="s">
        <v>66</v>
      </c>
      <c r="C36" s="157">
        <v>3.9252433389663932</v>
      </c>
      <c r="D36" s="157">
        <v>3.9201188699966028</v>
      </c>
      <c r="E36" s="157">
        <v>3.9188030145880832</v>
      </c>
      <c r="F36" s="157">
        <v>3.4453410120781078</v>
      </c>
      <c r="G36" s="157">
        <v>3.3618073476256027</v>
      </c>
      <c r="H36" s="157">
        <v>3.2876122380166279</v>
      </c>
      <c r="I36" s="157">
        <v>2.9913166012082453</v>
      </c>
      <c r="J36" s="157">
        <v>3.1478127571122929</v>
      </c>
      <c r="K36" s="157">
        <v>3.2164334059693407</v>
      </c>
      <c r="L36" s="157">
        <v>3.1718569213121026</v>
      </c>
      <c r="M36" s="157">
        <v>3.2285858915766386</v>
      </c>
      <c r="N36" s="157">
        <v>3.4482974048768393</v>
      </c>
      <c r="O36" s="157">
        <v>3.486966972201722</v>
      </c>
      <c r="P36" s="157">
        <v>2.8498443326144827</v>
      </c>
      <c r="Q36" s="157">
        <v>2.8521129382686716</v>
      </c>
      <c r="R36" s="157">
        <v>3.2872400815590566</v>
      </c>
      <c r="S36" s="157">
        <v>3.5062500066639544</v>
      </c>
      <c r="T36" s="157">
        <v>3.8006832470981169</v>
      </c>
      <c r="U36" s="157">
        <v>3.5779500385832423</v>
      </c>
      <c r="V36" s="157">
        <v>3.3522708130719026</v>
      </c>
      <c r="W36" s="157">
        <v>3.4751372307547368</v>
      </c>
      <c r="X36" s="157">
        <v>3.3190975079120637</v>
      </c>
      <c r="Y36" s="157">
        <v>3.2175653756504952</v>
      </c>
      <c r="Z36" s="157">
        <v>2.9549806934300502</v>
      </c>
      <c r="AA36" s="157">
        <v>3.0695289278900075</v>
      </c>
      <c r="AB36" s="157">
        <v>3.0784182061525343</v>
      </c>
      <c r="AC36" s="157">
        <v>3.48905408596546</v>
      </c>
      <c r="AD36" s="157">
        <v>3.0301950331493517</v>
      </c>
      <c r="AE36" s="157">
        <v>3.1102097833191031</v>
      </c>
      <c r="AF36" s="157">
        <v>3.0561210893289878</v>
      </c>
      <c r="AG36" s="157">
        <v>3.2537370960745897</v>
      </c>
      <c r="AH36" s="157">
        <v>3.2508380738217579</v>
      </c>
      <c r="AI36" s="157">
        <v>3.3452803583945605</v>
      </c>
      <c r="AJ36" s="157">
        <v>3.286153681092391</v>
      </c>
      <c r="AK36" s="157">
        <v>3.2532960138906977</v>
      </c>
      <c r="AL36" s="157">
        <v>3.2883295485243136</v>
      </c>
      <c r="AM36" s="157">
        <v>3.0632927887386403</v>
      </c>
      <c r="AN36" s="157">
        <v>3.2021025053438206</v>
      </c>
      <c r="AO36" s="157">
        <v>2.9495528538407925</v>
      </c>
      <c r="AP36" s="157">
        <v>2.9979831035139251</v>
      </c>
      <c r="AQ36" s="157">
        <v>3.0610010302865969</v>
      </c>
      <c r="AR36" s="157">
        <v>2.8696968951922517</v>
      </c>
      <c r="AS36" s="157">
        <v>2.9221471250573234</v>
      </c>
      <c r="AT36" s="157">
        <v>3.2047775663464253</v>
      </c>
      <c r="AU36" s="157">
        <v>3.0545741307613699</v>
      </c>
      <c r="AV36" s="157"/>
      <c r="AW36" s="157">
        <v>3.263246495913402</v>
      </c>
      <c r="AX36" s="157">
        <v>2.9722402941860935</v>
      </c>
      <c r="AY36" s="157">
        <v>3.0114191084364466</v>
      </c>
      <c r="AZ36" s="157">
        <v>2.8655574120269645</v>
      </c>
      <c r="BA36" s="157"/>
      <c r="BB36" s="157">
        <v>3.0870222209897196</v>
      </c>
      <c r="BC36" s="157">
        <v>2.985259360564815</v>
      </c>
      <c r="BD36" s="157">
        <v>3.0728324916384042</v>
      </c>
      <c r="BE36" s="157">
        <v>2.9674448977542331</v>
      </c>
      <c r="BF36" s="157">
        <v>3.1518925070188484</v>
      </c>
      <c r="BG36" s="157">
        <v>3.0216836874497734</v>
      </c>
      <c r="BH36" s="157">
        <v>3.0362201712430474</v>
      </c>
      <c r="BI36" s="157">
        <v>3.4357565132543098</v>
      </c>
      <c r="BJ36" s="157"/>
      <c r="BK36" s="157">
        <v>3.4733606650523088</v>
      </c>
      <c r="BL36" s="157">
        <v>3.1431845124947384</v>
      </c>
      <c r="BM36" s="157">
        <v>3.1752227127120154</v>
      </c>
      <c r="BN36" s="157">
        <v>3.0389557214163778</v>
      </c>
      <c r="BO36" s="157">
        <v>3.1038213668543624</v>
      </c>
      <c r="BP36" s="157">
        <v>3.3303010131446511</v>
      </c>
      <c r="BQ36" s="157">
        <v>3.0380708074562111</v>
      </c>
      <c r="BR36" s="157">
        <v>3.0256448000767873</v>
      </c>
      <c r="BS36" s="157">
        <v>2.9432986635574476</v>
      </c>
      <c r="BT36" s="157">
        <v>3.0176212230718424</v>
      </c>
      <c r="BU36" s="157">
        <v>2.8089493757607746</v>
      </c>
      <c r="BV36" s="157">
        <v>3.1075736552913917</v>
      </c>
      <c r="BW36" s="157">
        <v>3.0508497948172879</v>
      </c>
      <c r="BX36" s="160">
        <v>2.6486236924926487</v>
      </c>
      <c r="BY36" s="157">
        <v>2.9247650911477185</v>
      </c>
      <c r="BZ36" s="157">
        <v>3.2174059880488568</v>
      </c>
      <c r="CA36" s="157">
        <v>3.123816931702458</v>
      </c>
      <c r="CB36" s="157">
        <v>3.2682064824743819</v>
      </c>
      <c r="CC36" s="157">
        <v>2.9524821251435891</v>
      </c>
      <c r="CD36" s="157">
        <v>2.8931770646634463</v>
      </c>
      <c r="CE36" s="157">
        <v>3.2518114168588692</v>
      </c>
      <c r="CF36" s="157">
        <v>3.2320984989442492</v>
      </c>
      <c r="CG36" s="157">
        <v>3.1480905214715875</v>
      </c>
      <c r="CH36" s="157">
        <v>3.106084714217515</v>
      </c>
      <c r="CI36" s="157">
        <v>3.3396104626241656</v>
      </c>
      <c r="CJ36" s="157">
        <v>3.1784260291733766</v>
      </c>
      <c r="CK36" s="157">
        <v>3.08497288232972</v>
      </c>
      <c r="CL36" s="157">
        <v>2.9671016725238069</v>
      </c>
      <c r="CM36" s="157">
        <v>3.1923743453830093</v>
      </c>
      <c r="CN36" s="157">
        <v>3.1997111424570628</v>
      </c>
      <c r="CO36" s="157">
        <v>3.1905918491367165</v>
      </c>
      <c r="CP36" s="157">
        <v>3.0789469984677513</v>
      </c>
      <c r="CQ36" s="157">
        <v>3.2440894571036347</v>
      </c>
      <c r="CR36" s="157">
        <v>3.124612080416282</v>
      </c>
      <c r="CS36" s="157">
        <v>3.2177502899383583</v>
      </c>
      <c r="CT36" s="157">
        <v>3.0839996946886807</v>
      </c>
      <c r="CU36" s="157">
        <v>3.8499468395354683</v>
      </c>
      <c r="CV36" s="157">
        <v>3.5729874973246178</v>
      </c>
      <c r="CW36" s="157">
        <v>3.4481801285344038</v>
      </c>
      <c r="CX36" s="157">
        <v>3.6664888255471473</v>
      </c>
      <c r="CY36" s="157">
        <v>3.4059573246051307</v>
      </c>
      <c r="CZ36" s="157">
        <v>3.1934943065443444</v>
      </c>
      <c r="DA36" s="157">
        <v>3.0339512672101203</v>
      </c>
      <c r="DB36" s="157">
        <v>3.1785288195879442</v>
      </c>
      <c r="DC36" s="157">
        <f>+DC32/(DC33+DC34)</f>
        <v>3.1234441560526061</v>
      </c>
      <c r="DD36" s="157">
        <f>+DD32/(DD33+DD34)</f>
        <v>3.2517437710152084</v>
      </c>
      <c r="DE36" s="157"/>
      <c r="DF36" s="157"/>
      <c r="DG36" s="157"/>
      <c r="DH36" s="157"/>
      <c r="DI36" s="157"/>
      <c r="DJ36" s="157"/>
      <c r="DK36" s="157"/>
      <c r="DL36" s="157"/>
      <c r="DM36" s="157"/>
      <c r="DN36" s="157"/>
      <c r="DO36" s="157"/>
      <c r="DP36" s="157"/>
      <c r="DQ36" s="157"/>
    </row>
    <row r="37" spans="1:121 16384:16384" ht="18.75" x14ac:dyDescent="0.25">
      <c r="A37" s="114"/>
      <c r="B37" s="114" t="s">
        <v>67</v>
      </c>
      <c r="C37" s="142">
        <v>0.25476127558077022</v>
      </c>
      <c r="D37" s="142">
        <v>0.25509430534203842</v>
      </c>
      <c r="E37" s="142">
        <v>0.25517996089045902</v>
      </c>
      <c r="F37" s="142">
        <v>0.29024703113403433</v>
      </c>
      <c r="G37" s="142">
        <v>0.29745904407826523</v>
      </c>
      <c r="H37" s="142">
        <v>0.30417212481338324</v>
      </c>
      <c r="I37" s="142">
        <v>0.33430095617297162</v>
      </c>
      <c r="J37" s="142">
        <v>0.31768090326864595</v>
      </c>
      <c r="K37" s="142">
        <v>0.31090337457138451</v>
      </c>
      <c r="L37" s="142">
        <v>0.31527273291581193</v>
      </c>
      <c r="M37" s="142">
        <v>0.30973312576536804</v>
      </c>
      <c r="N37" s="142">
        <v>0.28999818826117651</v>
      </c>
      <c r="O37" s="142">
        <v>0.28678218290338015</v>
      </c>
      <c r="P37" s="163">
        <v>0.35089635898904958</v>
      </c>
      <c r="Q37" s="142">
        <v>0.35061725171620783</v>
      </c>
      <c r="R37" s="142">
        <v>0.30420656088061715</v>
      </c>
      <c r="S37" s="142">
        <v>0.28520499054528542</v>
      </c>
      <c r="T37" s="142">
        <v>0.26311058696183537</v>
      </c>
      <c r="U37" s="142">
        <v>0.27948964888172928</v>
      </c>
      <c r="V37" s="142">
        <v>0.29830525508278832</v>
      </c>
      <c r="W37" s="142">
        <v>0.2877584203438257</v>
      </c>
      <c r="X37" s="142">
        <v>0.30128671954234559</v>
      </c>
      <c r="Y37" s="142">
        <v>0.31079399584781708</v>
      </c>
      <c r="Z37" s="142">
        <v>0.33841168648693637</v>
      </c>
      <c r="AA37" s="142">
        <v>0.32578288834938574</v>
      </c>
      <c r="AB37" s="142">
        <v>0.32484215367535102</v>
      </c>
      <c r="AC37" s="146">
        <v>0.28661063295706662</v>
      </c>
      <c r="AD37" s="142">
        <v>0.33001176130919763</v>
      </c>
      <c r="AE37" s="142">
        <v>0.321521720291432</v>
      </c>
      <c r="AF37" s="142">
        <v>0.32721216560812494</v>
      </c>
      <c r="AG37" s="146">
        <v>0.30733890614777432</v>
      </c>
      <c r="AH37" s="146">
        <v>0.30761298388030067</v>
      </c>
      <c r="AI37" s="142">
        <v>0.29892860772958108</v>
      </c>
      <c r="AJ37" s="142">
        <v>0.30430713139002608</v>
      </c>
      <c r="AK37" s="142">
        <v>0.30738057518598655</v>
      </c>
      <c r="AL37" s="142">
        <v>0.30410577323333204</v>
      </c>
      <c r="AM37" s="142">
        <v>0.32644610520947492</v>
      </c>
      <c r="AN37" s="142">
        <v>0.31229481202777004</v>
      </c>
      <c r="AO37" s="142">
        <v>0.33903443998226346</v>
      </c>
      <c r="AP37" s="142">
        <v>0.33355758370616018</v>
      </c>
      <c r="AQ37" s="142">
        <v>0.32669051401997451</v>
      </c>
      <c r="AR37" s="142">
        <v>0.34846885804398037</v>
      </c>
      <c r="AS37" s="142">
        <v>0.34221411763460852</v>
      </c>
      <c r="AT37" s="142">
        <v>0.31203413631606264</v>
      </c>
      <c r="AU37" s="142">
        <v>0.32737787894207837</v>
      </c>
      <c r="AV37" s="142"/>
      <c r="AW37" s="142">
        <v>0.30644329236308399</v>
      </c>
      <c r="AX37" s="145">
        <v>0.33644655243927246</v>
      </c>
      <c r="AY37" s="145">
        <v>0.33206935467684146</v>
      </c>
      <c r="AZ37" s="145">
        <v>0.34897224386533776</v>
      </c>
      <c r="BA37" s="164"/>
      <c r="BB37" s="145">
        <v>0.32393676767230833</v>
      </c>
      <c r="BC37" s="145">
        <v>0.3349792695435343</v>
      </c>
      <c r="BD37" s="145">
        <v>0.32543264324402199</v>
      </c>
      <c r="BE37" s="145">
        <v>0.33699025068900235</v>
      </c>
      <c r="BF37" s="145">
        <v>0.31726970313014546</v>
      </c>
      <c r="BG37" s="145">
        <v>0.33094132392261594</v>
      </c>
      <c r="BH37" s="145">
        <v>0.32935687914575507</v>
      </c>
      <c r="BI37" s="145">
        <v>0.29105671375204972</v>
      </c>
      <c r="BJ37" s="164"/>
      <c r="BK37" s="144">
        <v>0.28790560394767989</v>
      </c>
      <c r="BL37" s="144">
        <v>0.31814867883982484</v>
      </c>
      <c r="BM37" s="144">
        <v>0.31493853832567287</v>
      </c>
      <c r="BN37" s="144">
        <v>0.32906040484654586</v>
      </c>
      <c r="BO37" s="144">
        <v>0.32218348990021695</v>
      </c>
      <c r="BP37" s="145">
        <v>0.30027315730710652</v>
      </c>
      <c r="BQ37" s="145">
        <v>0.3291562519035901</v>
      </c>
      <c r="BR37" s="145">
        <v>0.33050806227308016</v>
      </c>
      <c r="BS37" s="145">
        <v>0.33975485137867045</v>
      </c>
      <c r="BT37" s="145">
        <v>0.33138685278135466</v>
      </c>
      <c r="BU37" s="145">
        <v>0.35600499198358121</v>
      </c>
      <c r="BV37" s="145">
        <v>0.32179446440384746</v>
      </c>
      <c r="BW37" s="165">
        <v>0.32777752667429794</v>
      </c>
      <c r="BX37" s="166">
        <v>0.37755457781127416</v>
      </c>
      <c r="BY37" s="144">
        <v>0.34190780074155841</v>
      </c>
      <c r="BZ37" s="144">
        <v>0.31080939232242605</v>
      </c>
      <c r="CA37" s="144">
        <v>0.32012119207478884</v>
      </c>
      <c r="CB37" s="144">
        <v>0.30597821935745417</v>
      </c>
      <c r="CC37" s="144">
        <v>0.33869807084822456</v>
      </c>
      <c r="CD37" s="144">
        <v>0.34564078784314806</v>
      </c>
      <c r="CE37" s="144">
        <v>0.30752090813616845</v>
      </c>
      <c r="CF37" s="144">
        <v>0.30939651137694152</v>
      </c>
      <c r="CG37" s="144">
        <v>0.31765287344169063</v>
      </c>
      <c r="CH37" s="144">
        <v>0.32194872065874097</v>
      </c>
      <c r="CI37" s="144">
        <v>0.29943612022769567</v>
      </c>
      <c r="CJ37" s="144">
        <v>0.31462113348602083</v>
      </c>
      <c r="CK37" s="144">
        <v>0.32415195794032936</v>
      </c>
      <c r="CL37" s="144">
        <v>0.33702923268868079</v>
      </c>
      <c r="CM37" s="144">
        <v>0.31324647168846476</v>
      </c>
      <c r="CN37" s="144">
        <v>0.31252821129100378</v>
      </c>
      <c r="CO37" s="144">
        <v>0.31342147390947905</v>
      </c>
      <c r="CP37" s="144">
        <v>0.32478636381128145</v>
      </c>
      <c r="CQ37" s="144">
        <v>0.30825290523671717</v>
      </c>
      <c r="CR37" s="144">
        <v>0.32003972789696605</v>
      </c>
      <c r="CS37" s="144">
        <v>0.31077613546548905</v>
      </c>
      <c r="CT37" s="144">
        <v>0.32425424740547731</v>
      </c>
      <c r="CU37" s="167">
        <v>0.25974384626065622</v>
      </c>
      <c r="CV37" s="144">
        <v>0.27987783353532031</v>
      </c>
      <c r="CW37" s="144">
        <v>0.29000805141378583</v>
      </c>
      <c r="CX37" s="144">
        <v>0.27274050122074783</v>
      </c>
      <c r="CY37" s="144">
        <v>0.29360320893507813</v>
      </c>
      <c r="CZ37" s="144">
        <v>0.3131366158852158</v>
      </c>
      <c r="DA37" s="144">
        <v>0.32960318473393058</v>
      </c>
      <c r="DB37" s="144">
        <v>0.31461095895604851</v>
      </c>
      <c r="DC37" s="144">
        <f>(DC33+DC34)/DC32</f>
        <v>0.32015939777959573</v>
      </c>
      <c r="DD37" s="167">
        <f>(DD33+DD34)/DD32</f>
        <v>0.30752730547640772</v>
      </c>
      <c r="DE37" s="164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4"/>
      <c r="DQ37" s="164"/>
    </row>
    <row r="38" spans="1:121 16384:16384" ht="18.75" x14ac:dyDescent="0.25">
      <c r="A38" s="114"/>
      <c r="B38" s="114" t="s">
        <v>68</v>
      </c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63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6"/>
      <c r="AD38" s="142"/>
      <c r="AE38" s="142"/>
      <c r="AF38" s="142"/>
      <c r="AG38" s="146"/>
      <c r="AH38" s="146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5"/>
      <c r="AY38" s="145"/>
      <c r="AZ38" s="145"/>
      <c r="BA38" s="164"/>
      <c r="BB38" s="145"/>
      <c r="BC38" s="145"/>
      <c r="BD38" s="145"/>
      <c r="BE38" s="145"/>
      <c r="BF38" s="145"/>
      <c r="BG38" s="145"/>
      <c r="BH38" s="145"/>
      <c r="BI38" s="145"/>
      <c r="BJ38" s="164"/>
      <c r="BK38" s="144"/>
      <c r="BL38" s="144"/>
      <c r="BM38" s="144"/>
      <c r="BN38" s="144"/>
      <c r="BO38" s="144"/>
      <c r="BP38" s="145"/>
      <c r="BQ38" s="145"/>
      <c r="BR38" s="145"/>
      <c r="BS38" s="145"/>
      <c r="BT38" s="145"/>
      <c r="BU38" s="145"/>
      <c r="BV38" s="145"/>
      <c r="BW38" s="165"/>
      <c r="BX38" s="166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57">
        <v>2005457.6500000001</v>
      </c>
      <c r="CJ38" s="157">
        <v>2033010.5</v>
      </c>
      <c r="CK38" s="157">
        <v>2303459.4500000002</v>
      </c>
      <c r="CL38" s="157">
        <v>2132623.35</v>
      </c>
      <c r="CM38" s="157">
        <v>3198754.95</v>
      </c>
      <c r="CN38" s="157">
        <v>1668247.5499999998</v>
      </c>
      <c r="CO38" s="157">
        <v>3213337.45</v>
      </c>
      <c r="CP38" s="157">
        <v>734151.75</v>
      </c>
      <c r="CQ38" s="157">
        <v>1595613.4214999999</v>
      </c>
      <c r="CR38" s="157">
        <v>1907198.75</v>
      </c>
      <c r="CS38" s="157">
        <v>2372798.15</v>
      </c>
      <c r="CT38" s="157">
        <v>3180962.15</v>
      </c>
      <c r="CU38" s="157">
        <v>3394978.6</v>
      </c>
      <c r="CV38" s="157">
        <v>3221561.65</v>
      </c>
      <c r="CW38" s="157">
        <v>2901012.05</v>
      </c>
      <c r="CX38" s="157">
        <v>2503532.7000000002</v>
      </c>
      <c r="CY38" s="157">
        <v>2291627.2285000002</v>
      </c>
      <c r="CZ38" s="157">
        <v>3067050.5999999996</v>
      </c>
      <c r="DA38" s="157">
        <v>3269415.5</v>
      </c>
      <c r="DB38" s="157">
        <v>2034926.5485</v>
      </c>
      <c r="DC38" s="157">
        <f>1805820.85+794700.15</f>
        <v>2600521</v>
      </c>
      <c r="DD38" s="157">
        <f>1805820.85+794700.15</f>
        <v>2600521</v>
      </c>
      <c r="DE38" s="164"/>
      <c r="DF38" s="164"/>
      <c r="DG38" s="164"/>
      <c r="DH38" s="164"/>
      <c r="DI38" s="164"/>
      <c r="DJ38" s="164"/>
      <c r="DK38" s="164"/>
      <c r="DL38" s="164"/>
      <c r="DM38" s="164"/>
      <c r="DN38" s="164"/>
      <c r="DO38" s="164"/>
      <c r="DP38" s="164"/>
      <c r="DQ38" s="164"/>
    </row>
    <row r="39" spans="1:121 16384:16384" ht="18.75" x14ac:dyDescent="0.25">
      <c r="A39" s="114"/>
      <c r="B39" s="114" t="s">
        <v>69</v>
      </c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63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6"/>
      <c r="AD39" s="142"/>
      <c r="AE39" s="142"/>
      <c r="AF39" s="142"/>
      <c r="AG39" s="146"/>
      <c r="AH39" s="146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5"/>
      <c r="AY39" s="145"/>
      <c r="AZ39" s="145"/>
      <c r="BA39" s="164"/>
      <c r="BB39" s="145"/>
      <c r="BC39" s="145"/>
      <c r="BD39" s="145"/>
      <c r="BE39" s="145"/>
      <c r="BF39" s="145"/>
      <c r="BG39" s="145"/>
      <c r="BH39" s="145"/>
      <c r="BI39" s="145"/>
      <c r="BJ39" s="164"/>
      <c r="BK39" s="144"/>
      <c r="BL39" s="144"/>
      <c r="BM39" s="144"/>
      <c r="BN39" s="144"/>
      <c r="BO39" s="144"/>
      <c r="BP39" s="145"/>
      <c r="BQ39" s="145"/>
      <c r="BR39" s="145"/>
      <c r="BS39" s="145"/>
      <c r="BT39" s="145"/>
      <c r="BU39" s="145"/>
      <c r="BV39" s="145"/>
      <c r="BW39" s="165"/>
      <c r="BX39" s="166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5">
        <v>0.39256986288412771</v>
      </c>
      <c r="CJ39" s="145">
        <v>0.41878435686389731</v>
      </c>
      <c r="CK39" s="144">
        <v>0.49227536682613632</v>
      </c>
      <c r="CL39" s="145">
        <v>0.41942549091774589</v>
      </c>
      <c r="CM39" s="144">
        <v>0.59376151266755173</v>
      </c>
      <c r="CN39" s="145">
        <v>0.30469154066186493</v>
      </c>
      <c r="CO39" s="144">
        <v>0.55421559542577825</v>
      </c>
      <c r="CP39" s="145">
        <v>0.12962405661380522</v>
      </c>
      <c r="CQ39" s="145">
        <v>0.27346051308222735</v>
      </c>
      <c r="CR39" s="145">
        <v>0.31747094245086332</v>
      </c>
      <c r="CS39" s="145">
        <v>0.37365764316139682</v>
      </c>
      <c r="CT39" s="144">
        <v>0.50363110313243276</v>
      </c>
      <c r="CU39" s="144">
        <v>0.51069101909509074</v>
      </c>
      <c r="CV39" s="144">
        <v>0.49681584381488297</v>
      </c>
      <c r="CW39" s="144">
        <v>0.46936793560000972</v>
      </c>
      <c r="CX39" s="144">
        <v>0.41815237988564846</v>
      </c>
      <c r="CY39" s="144">
        <v>0.41660560247524347</v>
      </c>
      <c r="CZ39" s="144">
        <v>0.54157423975673458</v>
      </c>
      <c r="DA39" s="144">
        <v>0.53329708765939199</v>
      </c>
      <c r="DB39" s="144">
        <v>0.32712714018901418</v>
      </c>
      <c r="DC39" s="144">
        <f>+DC38/DC32</f>
        <v>0.40481163269020021</v>
      </c>
      <c r="DD39" s="144">
        <f>+DD38/DD32</f>
        <v>0.41513555571004729</v>
      </c>
      <c r="DE39" s="164"/>
      <c r="DF39" s="164"/>
      <c r="DG39" s="164"/>
      <c r="DH39" s="164"/>
      <c r="DI39" s="164"/>
      <c r="DJ39" s="164"/>
      <c r="DK39" s="164"/>
      <c r="DL39" s="164"/>
      <c r="DM39" s="164"/>
      <c r="DN39" s="164"/>
      <c r="DO39" s="164"/>
      <c r="DP39" s="164"/>
      <c r="DQ39" s="164"/>
    </row>
    <row r="40" spans="1:121 16384:16384" ht="18.75" x14ac:dyDescent="0.25">
      <c r="A40" s="114"/>
      <c r="B40" s="114" t="s">
        <v>70</v>
      </c>
      <c r="C40" s="140">
        <v>1.6706952380952385</v>
      </c>
      <c r="D40" s="140">
        <v>1.2444095238095234</v>
      </c>
      <c r="E40" s="140">
        <v>1.2045047619047617</v>
      </c>
      <c r="F40" s="140">
        <v>1.5316761904761902</v>
      </c>
      <c r="G40" s="140">
        <v>1.7008761904761907</v>
      </c>
      <c r="H40" s="140">
        <v>1.719480952380952</v>
      </c>
      <c r="I40" s="140">
        <v>1.457108333333333</v>
      </c>
      <c r="J40" s="140">
        <v>1.3760690476190476</v>
      </c>
      <c r="K40" s="140">
        <v>1.2272714285714283</v>
      </c>
      <c r="L40" s="140">
        <v>1.1118857142857141</v>
      </c>
      <c r="M40" s="140">
        <v>1.2357952380952382</v>
      </c>
      <c r="N40" s="151">
        <v>1.0885023809523808</v>
      </c>
      <c r="O40" s="140">
        <v>0.96747619047619038</v>
      </c>
      <c r="P40" s="140">
        <v>0.91509523809523818</v>
      </c>
      <c r="Q40" s="140">
        <v>1.0127976190476189</v>
      </c>
      <c r="R40" s="140">
        <v>0.89964285714285719</v>
      </c>
      <c r="S40" s="168">
        <v>1.4898404761904762</v>
      </c>
      <c r="T40" s="125">
        <v>1.6785452380952381</v>
      </c>
      <c r="U40" s="125">
        <v>1.6445047619047619</v>
      </c>
      <c r="V40" s="125">
        <v>1.5059119047619045</v>
      </c>
      <c r="W40" s="125">
        <v>1.5632309523809524</v>
      </c>
      <c r="X40" s="125">
        <v>1.3999547619047619</v>
      </c>
      <c r="Y40" s="125">
        <v>1.316945238095238</v>
      </c>
      <c r="Z40" s="125">
        <v>1.5815952380952381</v>
      </c>
      <c r="AA40" s="125">
        <v>1.5693380952380953</v>
      </c>
      <c r="AB40" s="125">
        <v>1.5144357142857146</v>
      </c>
      <c r="AC40" s="126">
        <v>1.283147619047619</v>
      </c>
      <c r="AD40" s="125">
        <v>1.3602785714285717</v>
      </c>
      <c r="AE40" s="126">
        <v>1.0679619047619049</v>
      </c>
      <c r="AF40" s="125">
        <v>1.3479976190476188</v>
      </c>
      <c r="AG40" s="125">
        <v>1.4200190476190477</v>
      </c>
      <c r="AH40" s="125">
        <v>1.4458357142857141</v>
      </c>
      <c r="AI40" s="125">
        <v>1.3198071428571427</v>
      </c>
      <c r="AJ40" s="125">
        <v>1.3030976190476191</v>
      </c>
      <c r="AK40" s="169">
        <v>1.9045119047619052</v>
      </c>
      <c r="AL40" s="125">
        <v>1.716942857142858</v>
      </c>
      <c r="AM40" s="127">
        <v>1.9709690476190473</v>
      </c>
      <c r="AN40" s="137">
        <v>1.6355500000000001</v>
      </c>
      <c r="AO40" s="137">
        <v>1.4115666666666664</v>
      </c>
      <c r="AP40" s="137">
        <v>1.3867261904761903</v>
      </c>
      <c r="AQ40" s="137">
        <v>1.3613380952380953</v>
      </c>
      <c r="AR40" s="170">
        <v>1.6978642857142852</v>
      </c>
      <c r="AS40" s="170">
        <v>1.6294761904761905</v>
      </c>
      <c r="AT40" s="170">
        <v>1.5783547619047615</v>
      </c>
      <c r="AU40" s="125">
        <v>1.263266666666667</v>
      </c>
      <c r="AV40" s="125">
        <v>1.4232214285714286</v>
      </c>
      <c r="AW40" s="125">
        <v>1.5577357142857142</v>
      </c>
      <c r="AX40" s="125">
        <v>1.4998047619047619</v>
      </c>
      <c r="AY40" s="125">
        <v>1.4235761904761906</v>
      </c>
      <c r="AZ40" s="125">
        <v>1.5999738095238094</v>
      </c>
      <c r="BA40" s="126">
        <v>1.9323619047619052</v>
      </c>
      <c r="BB40" s="125">
        <v>1.4288833333333331</v>
      </c>
      <c r="BC40" s="125">
        <v>1.4302809523809523</v>
      </c>
      <c r="BD40" s="125">
        <v>1.7239690476190475</v>
      </c>
      <c r="BE40" s="125">
        <v>1.5649190476190473</v>
      </c>
      <c r="BF40" s="125">
        <v>1.4668071428571428</v>
      </c>
      <c r="BG40" s="125">
        <v>1.3085261904761905</v>
      </c>
      <c r="BH40" s="125">
        <v>0.95834285714285716</v>
      </c>
      <c r="BI40" s="125">
        <v>1.3481857142857141</v>
      </c>
      <c r="BJ40" s="125">
        <v>1.2105547619047619</v>
      </c>
      <c r="BK40" s="125">
        <v>1.1998833333333332</v>
      </c>
      <c r="BL40" s="125">
        <v>1.4967833333333336</v>
      </c>
      <c r="BM40" s="125">
        <v>1.4856285714285713</v>
      </c>
      <c r="BN40" s="125">
        <v>1.4087190476190474</v>
      </c>
      <c r="BO40" s="140">
        <v>1.4319761904761907</v>
      </c>
      <c r="BP40" s="140">
        <v>1.4497571428571432</v>
      </c>
      <c r="BQ40" s="140">
        <v>1.5400095238095239</v>
      </c>
      <c r="BR40" s="125">
        <v>1.6263880952380951</v>
      </c>
      <c r="BS40" s="125">
        <v>1.0042095238095239</v>
      </c>
      <c r="BT40" s="125">
        <v>1.0251714285714286</v>
      </c>
      <c r="BU40" s="125">
        <v>1.1155738095238092</v>
      </c>
      <c r="BV40" s="125">
        <v>1.2294785714285714</v>
      </c>
      <c r="BW40" s="125">
        <v>1.1201166666666669</v>
      </c>
      <c r="BX40" s="125">
        <v>1.1201166666666669</v>
      </c>
      <c r="BY40" s="125">
        <v>1.1411904761904761</v>
      </c>
      <c r="BZ40" s="125">
        <v>1.0370285714285716</v>
      </c>
      <c r="CA40" s="125">
        <v>0.90069047619047615</v>
      </c>
      <c r="CB40" s="125">
        <v>0.89599761904761888</v>
      </c>
      <c r="CC40" s="125">
        <v>0.93475238095238089</v>
      </c>
      <c r="CD40" s="125">
        <v>1.0367166666666665</v>
      </c>
      <c r="CE40" s="125">
        <v>0.91157142857142859</v>
      </c>
      <c r="CF40" s="125">
        <v>0.91222857142857128</v>
      </c>
      <c r="CG40" s="125">
        <v>0.89165714285714293</v>
      </c>
      <c r="CH40" s="125">
        <v>0.84731190476190454</v>
      </c>
      <c r="CI40" s="125">
        <v>1.1218190476190475</v>
      </c>
      <c r="CJ40" s="125">
        <v>1.0795071428571428</v>
      </c>
      <c r="CK40" s="125">
        <v>1.1010190476190476</v>
      </c>
      <c r="CL40" s="125">
        <v>1.2730404761904761</v>
      </c>
      <c r="CM40" s="125">
        <v>1.1000000000000001</v>
      </c>
      <c r="CN40" s="125">
        <v>0.98029285714285708</v>
      </c>
      <c r="CO40" s="125">
        <v>1.0303952380952379</v>
      </c>
      <c r="CP40" s="125">
        <v>1.0217071428571427</v>
      </c>
      <c r="CQ40" s="125">
        <v>1.2566523809523806</v>
      </c>
      <c r="CR40" s="125">
        <v>1.2677285714285715</v>
      </c>
      <c r="CS40" s="125">
        <v>1.306342857142857</v>
      </c>
      <c r="CT40" s="125">
        <v>1.401183333333333</v>
      </c>
      <c r="CU40" s="126">
        <v>1.4507285714285716</v>
      </c>
      <c r="CV40" s="126">
        <v>1.4921357142857141</v>
      </c>
      <c r="CW40" s="125">
        <v>1.1963428571428569</v>
      </c>
      <c r="CX40" s="125">
        <v>1.1112904761904763</v>
      </c>
      <c r="CY40" s="125">
        <v>1.0469309523809522</v>
      </c>
      <c r="CZ40" s="125">
        <v>1.215192857142857</v>
      </c>
      <c r="DA40" s="171">
        <v>1.4846238095238091</v>
      </c>
      <c r="DB40" s="125">
        <v>1.2367380952380953</v>
      </c>
      <c r="DC40" s="125">
        <f>+([1]L1!M61+[1]L2!L64+[1]L7!L44)/(3500*3)/0.4</f>
        <v>1.2842976190476187</v>
      </c>
      <c r="DD40" s="125">
        <f>+('L1'!M65+'L2'!L63+'L7'!L45)/(3500*3)/0.4</f>
        <v>1.3710785714285716</v>
      </c>
      <c r="DE40" s="125"/>
      <c r="DF40" s="125"/>
      <c r="DG40" s="125"/>
      <c r="DH40" s="125"/>
      <c r="DI40" s="125"/>
      <c r="DJ40" s="125"/>
      <c r="DK40" s="125"/>
      <c r="DL40" s="125"/>
      <c r="DM40" s="125"/>
      <c r="DN40" s="125"/>
      <c r="DO40" s="125"/>
      <c r="DP40" s="125"/>
      <c r="DQ40" s="125"/>
    </row>
    <row r="41" spans="1:121 16384:16384" ht="18.75" x14ac:dyDescent="0.25">
      <c r="A41" s="114"/>
      <c r="B41" s="114" t="s">
        <v>71</v>
      </c>
      <c r="C41" s="134">
        <v>18.516948051948049</v>
      </c>
      <c r="D41" s="134">
        <v>18.732292993630576</v>
      </c>
      <c r="E41" s="134">
        <v>18.418353658536589</v>
      </c>
      <c r="F41" s="134">
        <v>18.707607361963191</v>
      </c>
      <c r="G41" s="134">
        <v>18.845609756097556</v>
      </c>
      <c r="H41" s="134">
        <v>19.022012578616351</v>
      </c>
      <c r="I41" s="134">
        <v>19.693076923076919</v>
      </c>
      <c r="J41" s="134">
        <v>20.562590361445778</v>
      </c>
      <c r="K41" s="134">
        <v>20.15323529411765</v>
      </c>
      <c r="L41" s="134">
        <v>20.132954545454549</v>
      </c>
      <c r="M41" s="134">
        <v>20.370375000000003</v>
      </c>
      <c r="N41" s="134">
        <v>18.911987179487181</v>
      </c>
      <c r="O41" s="134">
        <v>18.503525641025643</v>
      </c>
      <c r="P41" s="134">
        <v>18.217500000000001</v>
      </c>
      <c r="Q41" s="134">
        <v>19.095705128205129</v>
      </c>
      <c r="R41" s="134">
        <v>20.961920529801329</v>
      </c>
      <c r="S41" s="134">
        <v>21.256797385620914</v>
      </c>
      <c r="T41" s="134">
        <v>20.374062500000004</v>
      </c>
      <c r="U41" s="134">
        <v>19.933926380368096</v>
      </c>
      <c r="V41" s="134">
        <v>19.216086956521739</v>
      </c>
      <c r="W41" s="134">
        <v>21.284840764331211</v>
      </c>
      <c r="X41" s="134">
        <v>20.842517006802726</v>
      </c>
      <c r="Y41" s="134">
        <v>21.301920529801325</v>
      </c>
      <c r="Z41" s="134">
        <v>20.882283950617282</v>
      </c>
      <c r="AA41" s="134">
        <v>21.185119047619054</v>
      </c>
      <c r="AB41" s="134">
        <v>20.340310559006213</v>
      </c>
      <c r="AC41" s="134">
        <v>20.53914285714286</v>
      </c>
      <c r="AD41" s="134">
        <v>20.917905405405406</v>
      </c>
      <c r="AE41" s="134">
        <v>21.357697368421054</v>
      </c>
      <c r="AF41" s="134">
        <v>21.695000000000004</v>
      </c>
      <c r="AG41" s="134">
        <v>20.798967741935481</v>
      </c>
      <c r="AH41" s="134">
        <v>20.569025974025976</v>
      </c>
      <c r="AI41" s="134">
        <v>20.54</v>
      </c>
      <c r="AJ41" s="134">
        <v>19.681503267973859</v>
      </c>
      <c r="AK41" s="134">
        <v>19.699333333333335</v>
      </c>
      <c r="AL41" s="134">
        <v>19.423150684931507</v>
      </c>
      <c r="AM41" s="134">
        <v>20.825547945205479</v>
      </c>
      <c r="AN41" s="134">
        <v>20.473185185185184</v>
      </c>
      <c r="AO41" s="134">
        <v>20.475785714285717</v>
      </c>
      <c r="AP41" s="134">
        <v>21.278043478260869</v>
      </c>
      <c r="AQ41" s="134">
        <v>21.270217391304346</v>
      </c>
      <c r="AR41" s="134">
        <v>21.539798657718123</v>
      </c>
      <c r="AS41" s="134">
        <v>21.395066666666665</v>
      </c>
      <c r="AT41" s="134">
        <v>21.387500000000003</v>
      </c>
      <c r="AU41" s="134">
        <v>22.199275362318843</v>
      </c>
      <c r="AV41" s="134">
        <v>21.243846153846153</v>
      </c>
      <c r="AW41" s="134">
        <v>22.324027777777776</v>
      </c>
      <c r="AX41" s="134">
        <v>22.103243243243252</v>
      </c>
      <c r="AY41" s="134">
        <v>21.993202614379083</v>
      </c>
      <c r="AZ41" s="134">
        <v>21.071739130434782</v>
      </c>
      <c r="BA41" s="134">
        <v>21.078727272727274</v>
      </c>
      <c r="BB41" s="134">
        <v>20.013398692810455</v>
      </c>
      <c r="BC41" s="134">
        <v>20.742051282051282</v>
      </c>
      <c r="BD41" s="134">
        <v>20.01389261744966</v>
      </c>
      <c r="BE41" s="134">
        <v>19.968680555555562</v>
      </c>
      <c r="BF41" s="134">
        <v>20.40041958041958</v>
      </c>
      <c r="BG41" s="134">
        <v>20.050413793103452</v>
      </c>
      <c r="BH41" s="134">
        <v>21.918639455782305</v>
      </c>
      <c r="BI41" s="134">
        <v>21.349066666666666</v>
      </c>
      <c r="BJ41" s="134">
        <v>20.738413793103451</v>
      </c>
      <c r="BK41" s="134">
        <v>20.0712925170068</v>
      </c>
      <c r="BL41" s="134">
        <v>19.834482758620691</v>
      </c>
      <c r="BM41" s="134">
        <v>21.632279411764706</v>
      </c>
      <c r="BN41" s="134">
        <v>22.589375</v>
      </c>
      <c r="BO41" s="134">
        <v>22.766060606060609</v>
      </c>
      <c r="BP41" s="134">
        <v>23.328625954198476</v>
      </c>
      <c r="BQ41" s="134">
        <v>24.264999999999997</v>
      </c>
      <c r="BR41" s="134">
        <v>23.777852348993282</v>
      </c>
      <c r="BS41" s="134">
        <v>22.782535211267607</v>
      </c>
      <c r="BT41" s="134">
        <v>24.507183098591554</v>
      </c>
      <c r="BU41" s="134">
        <v>21.679249999999996</v>
      </c>
      <c r="BV41" s="134">
        <v>22.166562499999994</v>
      </c>
      <c r="BW41" s="134">
        <v>23.335655172413798</v>
      </c>
      <c r="BX41" s="134">
        <v>23.335655172413798</v>
      </c>
      <c r="BY41" s="134">
        <v>20.918066666666661</v>
      </c>
      <c r="BZ41" s="134">
        <v>21.311437908496735</v>
      </c>
      <c r="CA41" s="134">
        <v>20.923676470588234</v>
      </c>
      <c r="CB41" s="134">
        <v>21.275736434108531</v>
      </c>
      <c r="CC41" s="134">
        <v>20.257674418604655</v>
      </c>
      <c r="CD41" s="134">
        <v>20.494477611940297</v>
      </c>
      <c r="CE41" s="134">
        <v>21.950526315789467</v>
      </c>
      <c r="CF41" s="134">
        <v>21.593333333333334</v>
      </c>
      <c r="CG41" s="134">
        <v>21.644379562043802</v>
      </c>
      <c r="CH41" s="134">
        <v>20.131751824817517</v>
      </c>
      <c r="CI41" s="134">
        <v>19.772805755395687</v>
      </c>
      <c r="CJ41" s="134">
        <v>20.860327868852455</v>
      </c>
      <c r="CK41" s="134">
        <v>20.68196721311476</v>
      </c>
      <c r="CL41" s="134">
        <v>21.177372262773723</v>
      </c>
      <c r="CM41" s="134">
        <v>21.688846153846153</v>
      </c>
      <c r="CN41" s="134">
        <v>22.52734375</v>
      </c>
      <c r="CO41" s="134">
        <v>23.156842105263159</v>
      </c>
      <c r="CP41" s="134">
        <v>22.171294964028778</v>
      </c>
      <c r="CQ41" s="134">
        <v>22.004411764705882</v>
      </c>
      <c r="CR41" s="134">
        <v>24.380451127819555</v>
      </c>
      <c r="CS41" s="134">
        <v>24.636934306569341</v>
      </c>
      <c r="CT41" s="134">
        <v>23.295704697986576</v>
      </c>
      <c r="CU41" s="134">
        <v>22.657535211267604</v>
      </c>
      <c r="CV41" s="134">
        <v>21.163062500000002</v>
      </c>
      <c r="CW41" s="134">
        <v>19.857947019867549</v>
      </c>
      <c r="CX41" s="134">
        <v>20.562481203007518</v>
      </c>
      <c r="CY41" s="134">
        <v>20.797984496124027</v>
      </c>
      <c r="CZ41" s="134">
        <v>21.566470588235283</v>
      </c>
      <c r="DA41" s="134">
        <v>22.089607843137255</v>
      </c>
      <c r="DB41" s="134">
        <v>22.197414965986393</v>
      </c>
      <c r="DC41" s="134">
        <f>+DC20/7/DC2</f>
        <v>21.534900662251662</v>
      </c>
      <c r="DD41" s="134">
        <f>+DD20/7/DD2</f>
        <v>20.76154838709677</v>
      </c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</row>
    <row r="42" spans="1:121 16384:16384" ht="18.75" x14ac:dyDescent="0.25">
      <c r="A42" s="114"/>
      <c r="B42" s="114" t="s">
        <v>72</v>
      </c>
      <c r="C42" s="134">
        <v>17.140909090909091</v>
      </c>
      <c r="D42" s="134">
        <v>17.872611464968152</v>
      </c>
      <c r="E42" s="134">
        <v>17.439024390243901</v>
      </c>
      <c r="F42" s="134">
        <v>16.890885188431202</v>
      </c>
      <c r="G42" s="134">
        <v>16.335801393728222</v>
      </c>
      <c r="H42" s="134">
        <v>16.187106918238992</v>
      </c>
      <c r="I42" s="134">
        <v>16.459932375316988</v>
      </c>
      <c r="J42" s="134">
        <v>17.862177280550771</v>
      </c>
      <c r="K42" s="134">
        <v>17.893277310924368</v>
      </c>
      <c r="L42" s="134">
        <v>17.549107142857142</v>
      </c>
      <c r="M42" s="134">
        <v>18.221250000000001</v>
      </c>
      <c r="N42" s="134">
        <v>17.110347985347985</v>
      </c>
      <c r="O42" s="134">
        <v>17.042994505494505</v>
      </c>
      <c r="P42" s="134">
        <v>15.073412698412698</v>
      </c>
      <c r="Q42" s="134">
        <v>15.874954212454213</v>
      </c>
      <c r="R42" s="134">
        <v>17.671948912015136</v>
      </c>
      <c r="S42" s="134">
        <v>17.62142857142857</v>
      </c>
      <c r="T42" s="134">
        <v>17.190580357142856</v>
      </c>
      <c r="U42" s="134">
        <v>15.980499561787905</v>
      </c>
      <c r="V42" s="134">
        <v>16.736113575865126</v>
      </c>
      <c r="W42" s="134">
        <v>19.008052775250228</v>
      </c>
      <c r="X42" s="134">
        <v>19.443683187560737</v>
      </c>
      <c r="Y42" s="134">
        <v>18.680983916745504</v>
      </c>
      <c r="Z42" s="134">
        <v>16.940035273368608</v>
      </c>
      <c r="AA42" s="134">
        <v>18.153911564625851</v>
      </c>
      <c r="AB42" s="134">
        <v>17.95807453416149</v>
      </c>
      <c r="AC42" s="134">
        <v>19.538775510204083</v>
      </c>
      <c r="AD42" s="134">
        <v>17.828185328185327</v>
      </c>
      <c r="AE42" s="134">
        <v>18.820018796992482</v>
      </c>
      <c r="AF42" s="134">
        <v>18.161238095238094</v>
      </c>
      <c r="AG42" s="134">
        <v>18.593640552995389</v>
      </c>
      <c r="AH42" s="134">
        <v>17.958256029684602</v>
      </c>
      <c r="AI42" s="134">
        <v>17.992390289449112</v>
      </c>
      <c r="AJ42" s="134">
        <v>17.2577964519141</v>
      </c>
      <c r="AK42" s="134">
        <v>17.643809523809523</v>
      </c>
      <c r="AL42" s="134">
        <v>17.235861056751467</v>
      </c>
      <c r="AM42" s="134">
        <v>17.62720156555773</v>
      </c>
      <c r="AN42" s="134">
        <v>18.072169312169311</v>
      </c>
      <c r="AO42" s="134">
        <v>17.268622448979592</v>
      </c>
      <c r="AP42" s="134">
        <v>18.293322981366458</v>
      </c>
      <c r="AQ42" s="134">
        <v>18.598706004140784</v>
      </c>
      <c r="AR42" s="134">
        <v>17.77229146692234</v>
      </c>
      <c r="AS42" s="134">
        <v>18.196000000000002</v>
      </c>
      <c r="AT42" s="134">
        <v>20.115426587301585</v>
      </c>
      <c r="AU42" s="134">
        <v>19.89016563146998</v>
      </c>
      <c r="AV42" s="134"/>
      <c r="AW42" s="134">
        <v>20.379712301587304</v>
      </c>
      <c r="AX42" s="134">
        <v>19.843532818532818</v>
      </c>
      <c r="AY42" s="134">
        <v>19.670401493930903</v>
      </c>
      <c r="AZ42" s="136">
        <v>18.347027506654833</v>
      </c>
      <c r="BA42" s="134"/>
      <c r="BB42" s="134">
        <v>18.162464985994397</v>
      </c>
      <c r="BC42" s="134">
        <v>18.394963369963367</v>
      </c>
      <c r="BD42" s="134">
        <v>18.369606903163948</v>
      </c>
      <c r="BE42" s="134">
        <v>17.685515873015873</v>
      </c>
      <c r="BF42" s="134">
        <v>19.10879120879121</v>
      </c>
      <c r="BG42" s="134">
        <v>18.47911330049261</v>
      </c>
      <c r="BH42" s="172">
        <v>20.39310009718173</v>
      </c>
      <c r="BI42" s="135">
        <v>18.935047619047619</v>
      </c>
      <c r="BJ42" s="134"/>
      <c r="BK42" s="134">
        <v>18.448833819241983</v>
      </c>
      <c r="BL42" s="134">
        <v>18.193546798029555</v>
      </c>
      <c r="BM42" s="134">
        <v>19.702783613445376</v>
      </c>
      <c r="BN42" s="134">
        <v>19.49771205357143</v>
      </c>
      <c r="BO42" s="134">
        <v>20.039448051948053</v>
      </c>
      <c r="BP42" s="169">
        <v>21.792802617230098</v>
      </c>
      <c r="BQ42" s="169">
        <v>21.204606625258801</v>
      </c>
      <c r="BR42" s="169">
        <v>21.148657718120806</v>
      </c>
      <c r="BS42" s="134">
        <v>20.398138832997986</v>
      </c>
      <c r="BT42" s="134">
        <v>21.711820925553319</v>
      </c>
      <c r="BU42" s="169">
        <v>18.823883928571426</v>
      </c>
      <c r="BV42" s="134">
        <v>19.943750000000001</v>
      </c>
      <c r="BW42" s="125">
        <v>21.514187192118229</v>
      </c>
      <c r="BX42" s="125">
        <v>18.835467980295569</v>
      </c>
      <c r="BY42" s="125">
        <v>18.843380952380951</v>
      </c>
      <c r="BZ42" s="125">
        <v>19.217460317460318</v>
      </c>
      <c r="CA42" s="125">
        <v>18.577310924369748</v>
      </c>
      <c r="CB42" s="125">
        <v>19.639091915836101</v>
      </c>
      <c r="CC42" s="169">
        <v>17.99922480620155</v>
      </c>
      <c r="CD42" s="169">
        <v>17.407995735607678</v>
      </c>
      <c r="CE42" s="125">
        <v>19.432653061224489</v>
      </c>
      <c r="CF42" s="125">
        <v>18.291666666666668</v>
      </c>
      <c r="CG42" s="125">
        <v>18.289363920750784</v>
      </c>
      <c r="CH42" s="125">
        <v>17.124087591240876</v>
      </c>
      <c r="CI42" s="125">
        <v>17.215621788283659</v>
      </c>
      <c r="CJ42" s="125">
        <v>18.784426229508195</v>
      </c>
      <c r="CK42" s="125">
        <v>18.197892271662766</v>
      </c>
      <c r="CL42" s="125">
        <v>17.53972888425443</v>
      </c>
      <c r="CM42" s="126">
        <v>19.76175824175824</v>
      </c>
      <c r="CN42" s="126">
        <v>20.631361607142857</v>
      </c>
      <c r="CO42" s="126">
        <v>20.821804511278195</v>
      </c>
      <c r="CP42" s="126">
        <v>19.495632065775951</v>
      </c>
      <c r="CQ42" s="126">
        <v>19.731092436974791</v>
      </c>
      <c r="CR42" s="126">
        <v>22.233190118152525</v>
      </c>
      <c r="CS42" s="126">
        <v>22.363503649635035</v>
      </c>
      <c r="CT42" s="126">
        <v>19.931783317353784</v>
      </c>
      <c r="CU42" s="126">
        <v>21.060362173038229</v>
      </c>
      <c r="CV42" s="171">
        <v>18.408080357142858</v>
      </c>
      <c r="CW42" s="171">
        <v>18.271050141911068</v>
      </c>
      <c r="CX42" s="126">
        <v>20.168313641245973</v>
      </c>
      <c r="CY42" s="126">
        <v>19.195238095238096</v>
      </c>
      <c r="CZ42" s="126">
        <v>19.250892857142855</v>
      </c>
      <c r="DA42" s="126">
        <v>18.416900093370682</v>
      </c>
      <c r="DB42" s="126">
        <v>19.474246841593782</v>
      </c>
      <c r="DC42" s="126">
        <f>+DC23/7/DC2</f>
        <v>19.331078524124884</v>
      </c>
      <c r="DD42" s="126">
        <f>+DD23/7/DD2</f>
        <v>18.389539170506914</v>
      </c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</row>
    <row r="43" spans="1:121 16384:16384" ht="18.75" x14ac:dyDescent="0.25">
      <c r="A43" s="114"/>
      <c r="B43" s="114" t="s">
        <v>73</v>
      </c>
      <c r="C43" s="114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73">
        <v>1.2145159745938527</v>
      </c>
      <c r="P43" s="173">
        <v>1.2086932888120985</v>
      </c>
      <c r="Q43" s="173">
        <v>1.1871007730583152</v>
      </c>
      <c r="R43" s="173">
        <v>1.1750333474314343</v>
      </c>
      <c r="S43" s="173">
        <v>1.1750333474314343</v>
      </c>
      <c r="T43" s="173">
        <v>1.1753881902249854</v>
      </c>
      <c r="U43" s="173">
        <v>1.1868943316075933</v>
      </c>
      <c r="V43" s="173">
        <v>1.1705327875280354</v>
      </c>
      <c r="W43" s="173">
        <v>1.1826379141678363</v>
      </c>
      <c r="X43" s="173">
        <v>1.1993029905873942</v>
      </c>
      <c r="Y43" s="173">
        <v>1.1967591897974494</v>
      </c>
      <c r="Z43" s="173">
        <v>1.1885369532428356</v>
      </c>
      <c r="AA43" s="173">
        <v>1.1885369532428356</v>
      </c>
      <c r="AB43" s="173">
        <v>1.2440164519115484</v>
      </c>
      <c r="AC43" s="173">
        <v>1.2128965728372783</v>
      </c>
      <c r="AD43" s="174">
        <v>1.1587864077669903</v>
      </c>
      <c r="AE43" s="173">
        <v>1.2118443005617547</v>
      </c>
      <c r="AF43" s="173">
        <v>1.2403934426229508</v>
      </c>
      <c r="AG43" s="174">
        <v>1.1604577587381357</v>
      </c>
      <c r="AH43" s="173">
        <v>1.2079163386933545</v>
      </c>
      <c r="AI43" s="173">
        <v>1.1758485150985776</v>
      </c>
      <c r="AJ43" s="173">
        <v>1.188722220414538</v>
      </c>
      <c r="AK43" s="173">
        <v>1.1957777703133923</v>
      </c>
      <c r="AL43" s="173">
        <v>1.1922327054973365</v>
      </c>
      <c r="AM43" s="173">
        <v>1.1842304515418502</v>
      </c>
      <c r="AN43" s="175">
        <v>1.1765183472474718</v>
      </c>
      <c r="AO43" s="176">
        <v>1.1667436161522888</v>
      </c>
      <c r="AP43" s="176">
        <v>1.1523703386198028</v>
      </c>
      <c r="AQ43" s="175">
        <v>1.2091324974584885</v>
      </c>
      <c r="AR43" s="175">
        <v>1.1781265167448634</v>
      </c>
      <c r="AS43" s="175">
        <v>1.1954604962223381</v>
      </c>
      <c r="AT43" s="175">
        <v>1.2124148048534491</v>
      </c>
      <c r="AU43" s="173">
        <v>1.1739892291616432</v>
      </c>
      <c r="AV43" s="173"/>
      <c r="AW43" s="173">
        <v>1.1375845717920547</v>
      </c>
      <c r="AX43" s="173">
        <v>1.1225732052666919</v>
      </c>
      <c r="AY43" s="173">
        <v>1.1171099697969293</v>
      </c>
      <c r="AZ43" s="173">
        <v>1.1548985440458532</v>
      </c>
      <c r="BA43" s="173"/>
      <c r="BB43" s="173">
        <v>1.1240213061461211</v>
      </c>
      <c r="BC43" s="173">
        <v>1.1497218463388965</v>
      </c>
      <c r="BD43" s="173">
        <v>1.2042329028949701</v>
      </c>
      <c r="BE43" s="173">
        <v>1.2042329028949701</v>
      </c>
      <c r="BF43" s="173">
        <v>1.151154214333914</v>
      </c>
      <c r="BG43" s="173">
        <v>1.1888663769157872</v>
      </c>
      <c r="BH43" s="177">
        <v>1.0659997161912869</v>
      </c>
      <c r="BI43" s="175">
        <v>1.1446121227238715</v>
      </c>
      <c r="BJ43" s="173"/>
      <c r="BK43" s="173">
        <v>1.1548386065324785</v>
      </c>
      <c r="BL43" s="173">
        <v>1.1472423139223453</v>
      </c>
      <c r="BM43" s="173">
        <v>1.1463360426720854</v>
      </c>
      <c r="BN43" s="173">
        <v>1.1444078947368423</v>
      </c>
      <c r="BO43" s="173">
        <v>1.1074275189736749</v>
      </c>
      <c r="BP43" s="173">
        <v>1.1192042115938139</v>
      </c>
      <c r="BQ43" s="173">
        <v>1.1255108707212202</v>
      </c>
      <c r="BR43" s="173">
        <v>1.1237595904418123</v>
      </c>
      <c r="BS43" s="173">
        <v>1.1383094355355041</v>
      </c>
      <c r="BT43" s="173">
        <v>1.1191546385996258</v>
      </c>
      <c r="BU43" s="173">
        <v>1.1021712447623482</v>
      </c>
      <c r="BV43" s="173">
        <v>1.0886610691443162</v>
      </c>
      <c r="BW43" s="173">
        <v>1.1189127819752118</v>
      </c>
      <c r="BX43" s="173">
        <v>1.0928124952241223</v>
      </c>
      <c r="BY43" s="173">
        <v>1.1300904475004814</v>
      </c>
      <c r="BZ43" s="173">
        <v>1.1634422852533168</v>
      </c>
      <c r="CA43" s="173">
        <v>1.1369214845482774</v>
      </c>
      <c r="CB43" s="173">
        <v>1.1369214845482774</v>
      </c>
      <c r="CC43" s="173">
        <v>1.1180935569285084</v>
      </c>
      <c r="CD43" s="152">
        <v>1.0693541473172823</v>
      </c>
      <c r="CE43" s="152">
        <v>1.0645124808142821</v>
      </c>
      <c r="CF43" s="173">
        <v>1.0880984042553192</v>
      </c>
      <c r="CG43" s="173">
        <v>1.0880984042553192</v>
      </c>
      <c r="CH43" s="173">
        <v>1.0972723153602175</v>
      </c>
      <c r="CI43" s="173">
        <v>1.1662861289580346</v>
      </c>
      <c r="CJ43" s="173">
        <v>1.131535812291655</v>
      </c>
      <c r="CK43" s="173">
        <v>1.131535812291655</v>
      </c>
      <c r="CL43" s="173">
        <v>1.0981424259844783</v>
      </c>
      <c r="CM43" s="173">
        <v>1.1390134529147982</v>
      </c>
      <c r="CN43" s="173">
        <v>1.1390134529147982</v>
      </c>
      <c r="CO43" s="173">
        <v>1.1390134529147982</v>
      </c>
      <c r="CP43" s="173">
        <v>1.1435847048227299</v>
      </c>
      <c r="CQ43" s="173">
        <v>1.1435847048227299</v>
      </c>
      <c r="CR43" s="173">
        <v>1.0299985112401369</v>
      </c>
      <c r="CS43" s="173">
        <v>1.0484671001008856</v>
      </c>
      <c r="CT43" s="173">
        <v>1.0966087245509848</v>
      </c>
      <c r="CU43" s="173">
        <v>1.1100000000000001</v>
      </c>
      <c r="CV43" s="173">
        <v>1.1116454229432213</v>
      </c>
      <c r="CW43" s="173">
        <v>1.1476952457223824</v>
      </c>
      <c r="CX43" s="173">
        <v>1.1414918228958915</v>
      </c>
      <c r="CY43" s="173">
        <v>1.1520945593603338</v>
      </c>
      <c r="CZ43" s="178">
        <v>1.0396750147126135</v>
      </c>
      <c r="DA43" s="173">
        <v>1.0880029852602775</v>
      </c>
      <c r="DB43" s="173">
        <v>1.0983679411539347</v>
      </c>
      <c r="DC43" s="173">
        <f>+(557.16+180.84)/(515.91+160.91)</f>
        <v>1.0903933098903698</v>
      </c>
      <c r="DD43" s="173">
        <f>+(543.64+184.89)/(496.85+155.37)</f>
        <v>1.1170003986384962</v>
      </c>
      <c r="DE43" s="173"/>
      <c r="DF43" s="173"/>
      <c r="DG43" s="173"/>
      <c r="DH43" s="173"/>
      <c r="DI43" s="173"/>
      <c r="DJ43" s="173"/>
      <c r="DK43" s="173"/>
      <c r="DL43" s="173"/>
      <c r="DM43" s="173"/>
      <c r="DN43" s="173"/>
      <c r="DO43" s="173"/>
      <c r="DP43" s="173"/>
      <c r="DQ43" s="173"/>
    </row>
    <row r="44" spans="1:121 16384:16384" ht="18.75" x14ac:dyDescent="0.25">
      <c r="A44" s="114"/>
      <c r="B44" s="114" t="s">
        <v>74</v>
      </c>
      <c r="C44" s="114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4"/>
      <c r="AE44" s="173"/>
      <c r="AF44" s="173"/>
      <c r="AG44" s="174"/>
      <c r="AH44" s="173"/>
      <c r="AI44" s="173"/>
      <c r="AJ44" s="173"/>
      <c r="AK44" s="173"/>
      <c r="AL44" s="173"/>
      <c r="AM44" s="173"/>
      <c r="AN44" s="175"/>
      <c r="AO44" s="176"/>
      <c r="AP44" s="176"/>
      <c r="AQ44" s="175"/>
      <c r="AR44" s="175"/>
      <c r="AS44" s="175"/>
      <c r="AT44" s="175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7"/>
      <c r="BI44" s="175"/>
      <c r="BJ44" s="173"/>
      <c r="BK44" s="173"/>
      <c r="BL44" s="173"/>
      <c r="BM44" s="173"/>
      <c r="BN44" s="173"/>
      <c r="BO44" s="173"/>
      <c r="BP44" s="173"/>
      <c r="BQ44" s="173"/>
      <c r="BR44" s="173"/>
      <c r="BS44" s="173"/>
      <c r="BT44" s="173"/>
      <c r="BU44" s="173"/>
      <c r="BV44" s="173"/>
      <c r="BW44" s="173"/>
      <c r="BX44" s="173"/>
      <c r="BY44" s="173"/>
      <c r="BZ44" s="173"/>
      <c r="CA44" s="173"/>
      <c r="CB44" s="173"/>
      <c r="CC44" s="173"/>
      <c r="CD44" s="152"/>
      <c r="CE44" s="152"/>
      <c r="CF44" s="173"/>
      <c r="CG44" s="173"/>
      <c r="CH44" s="173"/>
      <c r="CI44" s="173"/>
      <c r="CJ44" s="172">
        <v>16.844999999999999</v>
      </c>
      <c r="CK44" s="172">
        <v>15.484999999999999</v>
      </c>
      <c r="CL44" s="172" t="s">
        <v>75</v>
      </c>
      <c r="CM44" s="172" t="s">
        <v>76</v>
      </c>
      <c r="CN44" s="173" t="s">
        <v>77</v>
      </c>
      <c r="CO44" s="173" t="s">
        <v>78</v>
      </c>
      <c r="CP44" s="173" t="s">
        <v>79</v>
      </c>
      <c r="CQ44" s="173" t="s">
        <v>80</v>
      </c>
      <c r="CR44" s="173" t="s">
        <v>81</v>
      </c>
      <c r="CS44" s="173" t="s">
        <v>82</v>
      </c>
      <c r="CT44" s="173" t="s">
        <v>83</v>
      </c>
      <c r="CU44" s="173" t="s">
        <v>84</v>
      </c>
      <c r="CV44" s="173" t="s">
        <v>85</v>
      </c>
      <c r="CW44" s="173" t="s">
        <v>86</v>
      </c>
      <c r="CX44" s="173" t="s">
        <v>87</v>
      </c>
      <c r="CY44" s="173" t="s">
        <v>88</v>
      </c>
      <c r="CZ44" s="173" t="s">
        <v>89</v>
      </c>
      <c r="DA44" s="173" t="s">
        <v>90</v>
      </c>
      <c r="DB44" s="173" t="s">
        <v>91</v>
      </c>
      <c r="DC44" s="173" t="s">
        <v>92</v>
      </c>
      <c r="DD44" s="173" t="s">
        <v>107</v>
      </c>
      <c r="DE44" s="173"/>
      <c r="DF44" s="173"/>
      <c r="DG44" s="173"/>
      <c r="DH44" s="173"/>
      <c r="DI44" s="173"/>
      <c r="DJ44" s="173"/>
      <c r="DK44" s="173"/>
      <c r="DL44" s="173"/>
      <c r="DM44" s="173"/>
      <c r="DN44" s="173"/>
      <c r="DO44" s="173"/>
      <c r="DP44" s="173"/>
      <c r="DQ44" s="173"/>
    </row>
    <row r="45" spans="1:121 16384:16384" ht="18.75" x14ac:dyDescent="0.25">
      <c r="A45" s="114"/>
      <c r="B45" s="114" t="s">
        <v>93</v>
      </c>
      <c r="C45" s="179">
        <v>292.75535477516382</v>
      </c>
      <c r="D45" s="179">
        <v>284.03523521026369</v>
      </c>
      <c r="E45" s="179">
        <v>286.21863986013989</v>
      </c>
      <c r="F45" s="179">
        <v>273.29646646776496</v>
      </c>
      <c r="G45" s="179">
        <v>270.45148905537633</v>
      </c>
      <c r="H45" s="179">
        <v>267.94160827031152</v>
      </c>
      <c r="I45" s="179">
        <v>267.94160827031152</v>
      </c>
      <c r="J45" s="179">
        <v>267.94160827031152</v>
      </c>
      <c r="K45" s="179">
        <v>267.94160827031152</v>
      </c>
      <c r="L45" s="179">
        <v>267.94160827031152</v>
      </c>
      <c r="M45" s="179">
        <v>267.94160827031152</v>
      </c>
      <c r="N45" s="179">
        <v>267.94160827031152</v>
      </c>
      <c r="O45" s="179">
        <v>267.94160827031152</v>
      </c>
      <c r="P45" s="179">
        <v>267.94160827031152</v>
      </c>
      <c r="Q45" s="179">
        <v>267.94160827031152</v>
      </c>
      <c r="R45" s="179">
        <v>267.94160827031152</v>
      </c>
      <c r="S45" s="179">
        <v>290.40834439437174</v>
      </c>
      <c r="T45" s="179">
        <v>290.73449174044129</v>
      </c>
      <c r="U45" s="179">
        <v>289.03890313292658</v>
      </c>
      <c r="V45" s="179">
        <v>290.94166189506723</v>
      </c>
      <c r="W45" s="179">
        <v>291.0054045385678</v>
      </c>
      <c r="X45" s="179">
        <v>292.19909484169727</v>
      </c>
      <c r="Y45" s="179">
        <v>296.72201176959152</v>
      </c>
      <c r="Z45" s="179">
        <v>299.58412285268088</v>
      </c>
      <c r="AA45" s="179">
        <v>288.59752213218417</v>
      </c>
      <c r="AB45" s="179">
        <v>293.05590513248103</v>
      </c>
      <c r="AC45" s="179">
        <v>288.11405890954671</v>
      </c>
      <c r="AD45" s="179">
        <v>290.15565240931244</v>
      </c>
      <c r="AE45" s="179">
        <v>289.07318534794877</v>
      </c>
      <c r="AF45" s="179">
        <v>289.00147357270589</v>
      </c>
      <c r="AG45" s="179">
        <v>291.26857208004321</v>
      </c>
      <c r="AH45" s="179">
        <v>288.06158375949173</v>
      </c>
      <c r="AI45" s="179">
        <v>291.5983933450442</v>
      </c>
      <c r="AJ45" s="179">
        <v>292.80880642316498</v>
      </c>
      <c r="AK45" s="180">
        <v>284.83430044262116</v>
      </c>
      <c r="AL45" s="180">
        <v>287.78850471613765</v>
      </c>
      <c r="AM45" s="180">
        <v>281.6084096586178</v>
      </c>
      <c r="AN45" s="181">
        <v>289.15430490332704</v>
      </c>
      <c r="AO45" s="181">
        <v>287.75972995730723</v>
      </c>
      <c r="AP45" s="181">
        <v>284.8405950875287</v>
      </c>
      <c r="AQ45" s="181">
        <v>287.65141222340657</v>
      </c>
      <c r="AR45" s="181">
        <v>284.532703045343</v>
      </c>
      <c r="AS45" s="181">
        <v>289.24082477572256</v>
      </c>
      <c r="AT45" s="181">
        <v>286.12564884705586</v>
      </c>
      <c r="AU45" s="181">
        <v>285.85474578300085</v>
      </c>
      <c r="AV45" s="181"/>
      <c r="AW45" s="181">
        <v>290.53161577685557</v>
      </c>
      <c r="AX45" s="181">
        <v>286.25126836885084</v>
      </c>
      <c r="AY45" s="182">
        <v>292.16473631746334</v>
      </c>
      <c r="AZ45" s="179">
        <v>290.59696233997994</v>
      </c>
      <c r="BA45" s="179"/>
      <c r="BB45" s="179">
        <v>291.73200956199878</v>
      </c>
      <c r="BC45" s="179">
        <v>288.92718284687339</v>
      </c>
      <c r="BD45" s="179">
        <v>292.87179728072238</v>
      </c>
      <c r="BE45" s="179">
        <v>295.22007628877549</v>
      </c>
      <c r="BF45" s="179">
        <v>290.33398857166753</v>
      </c>
      <c r="BG45" s="179">
        <v>286.54303620650131</v>
      </c>
      <c r="BH45" s="183">
        <v>283.75909838213926</v>
      </c>
      <c r="BI45" s="181">
        <v>299.12929915802391</v>
      </c>
      <c r="BJ45" s="179"/>
      <c r="BK45" s="179">
        <v>298.38561198070994</v>
      </c>
      <c r="BL45" s="179">
        <v>302.17368795843271</v>
      </c>
      <c r="BM45" s="179">
        <v>302.1802149058621</v>
      </c>
      <c r="BN45" s="179">
        <v>298.55103477685969</v>
      </c>
      <c r="BO45" s="179">
        <v>301.69059403935421</v>
      </c>
      <c r="BP45" s="179">
        <v>298.16010808646922</v>
      </c>
      <c r="BQ45" s="179">
        <v>287.97188733453265</v>
      </c>
      <c r="BR45" s="179">
        <v>292.24233556456716</v>
      </c>
      <c r="BS45" s="179">
        <v>297.2450735484507</v>
      </c>
      <c r="BT45" s="179">
        <v>296.59496190032689</v>
      </c>
      <c r="BU45" s="179">
        <v>298.19149541686926</v>
      </c>
      <c r="BV45" s="179">
        <v>309.16970945068721</v>
      </c>
      <c r="BW45" s="179">
        <v>303.10403720308284</v>
      </c>
      <c r="BX45" s="179">
        <v>293.33578303169787</v>
      </c>
      <c r="BY45" s="179">
        <v>305.58154056874838</v>
      </c>
      <c r="BZ45" s="179">
        <v>303.50729038621313</v>
      </c>
      <c r="CA45" s="179">
        <v>304.0240365042747</v>
      </c>
      <c r="CB45" s="179">
        <v>304.93047575010854</v>
      </c>
      <c r="CC45" s="179">
        <v>305.44710304984221</v>
      </c>
      <c r="CD45" s="179">
        <v>302.84108961521736</v>
      </c>
      <c r="CE45" s="183">
        <v>288.90873489647242</v>
      </c>
      <c r="CF45" s="179">
        <v>303.3037083150582</v>
      </c>
      <c r="CG45" s="179">
        <v>304.92551384018935</v>
      </c>
      <c r="CH45" s="179">
        <v>300.61056509560348</v>
      </c>
      <c r="CI45" s="179">
        <v>304.97271473601262</v>
      </c>
      <c r="CJ45" s="179">
        <v>302.61703102500331</v>
      </c>
      <c r="CK45" s="179">
        <v>301.08804131008299</v>
      </c>
      <c r="CL45" s="179">
        <v>302.28587565247375</v>
      </c>
      <c r="CM45" s="184">
        <v>299.57250656167975</v>
      </c>
      <c r="CN45" s="184">
        <v>296.18577603228442</v>
      </c>
      <c r="CO45" s="184">
        <v>299.09527162614586</v>
      </c>
      <c r="CP45" s="184">
        <v>298.57268210393136</v>
      </c>
      <c r="CQ45" s="183">
        <v>310.63113021720613</v>
      </c>
      <c r="CR45" s="183">
        <v>290.22880221845389</v>
      </c>
      <c r="CS45" s="183">
        <v>296.09322689843611</v>
      </c>
      <c r="CT45" s="183">
        <v>303.81939356914887</v>
      </c>
      <c r="CU45" s="185">
        <v>317.56059042705647</v>
      </c>
      <c r="CV45" s="182">
        <v>314.51726119886212</v>
      </c>
      <c r="CW45" s="182">
        <v>320.03510420711973</v>
      </c>
      <c r="CX45" s="182">
        <v>318.85954933508015</v>
      </c>
      <c r="CY45" s="182">
        <v>317.34935067182823</v>
      </c>
      <c r="CZ45" s="186">
        <v>309.0118378226482</v>
      </c>
      <c r="DA45" s="182">
        <v>310.80994195036624</v>
      </c>
      <c r="DB45" s="182">
        <v>310.42458955037677</v>
      </c>
      <c r="DC45" s="182">
        <f>+DC32/DC23</f>
        <v>314.39549110627684</v>
      </c>
      <c r="DD45" s="182">
        <f>+DD32/DD23</f>
        <v>313.95676764740523</v>
      </c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XFD45" s="179"/>
    </row>
    <row r="46" spans="1:121 16384:16384" ht="18.75" x14ac:dyDescent="0.25">
      <c r="A46" s="114"/>
      <c r="B46" s="114" t="s">
        <v>94</v>
      </c>
      <c r="C46" s="187">
        <v>170.33597744175648</v>
      </c>
      <c r="D46" s="187">
        <v>169.02852752553241</v>
      </c>
      <c r="E46" s="187">
        <v>169.15535711267847</v>
      </c>
      <c r="F46" s="187">
        <v>178.53632567870304</v>
      </c>
      <c r="G46" s="187">
        <v>178.76973899034897</v>
      </c>
      <c r="H46" s="187">
        <v>178.8843459861846</v>
      </c>
      <c r="I46" s="187">
        <v>178.14521635236764</v>
      </c>
      <c r="J46" s="187">
        <v>178.28625351083159</v>
      </c>
      <c r="K46" s="187">
        <v>178.45985403545905</v>
      </c>
      <c r="L46" s="187">
        <v>178.56587711765252</v>
      </c>
      <c r="M46" s="187">
        <v>175.80820975800597</v>
      </c>
      <c r="N46" s="187">
        <v>183.5399545707337</v>
      </c>
      <c r="O46" s="187">
        <v>182.49746425575907</v>
      </c>
      <c r="P46" s="187">
        <v>164.66949350848463</v>
      </c>
      <c r="Q46" s="187">
        <v>165.23011784418983</v>
      </c>
      <c r="R46" s="187">
        <v>172.64853229426362</v>
      </c>
      <c r="S46" s="187">
        <v>172.67700183610603</v>
      </c>
      <c r="T46" s="187">
        <v>178.21500165641447</v>
      </c>
      <c r="U46" s="187">
        <v>177.50069356837184</v>
      </c>
      <c r="V46" s="187">
        <v>177.76647257358309</v>
      </c>
      <c r="W46" s="187">
        <v>178.59700234785845</v>
      </c>
      <c r="X46" s="188">
        <v>197.98380999753013</v>
      </c>
      <c r="Y46" s="188">
        <v>197.52701214390987</v>
      </c>
      <c r="Z46" s="188">
        <v>197.86595924152678</v>
      </c>
      <c r="AA46" s="188">
        <v>194.05151165729598</v>
      </c>
      <c r="AB46" s="188">
        <v>202.55966293788637</v>
      </c>
      <c r="AC46" s="188">
        <v>192.71421780045131</v>
      </c>
      <c r="AD46" s="188">
        <v>199.6995061022422</v>
      </c>
      <c r="AE46" s="184">
        <v>224.51328252792476</v>
      </c>
      <c r="AF46" s="184">
        <v>218.24688180161641</v>
      </c>
      <c r="AG46" s="184">
        <v>218.01334182926294</v>
      </c>
      <c r="AH46" s="184">
        <v>216.18930485412324</v>
      </c>
      <c r="AI46" s="179">
        <v>215.73796664214424</v>
      </c>
      <c r="AJ46" s="179">
        <v>215.76214263060965</v>
      </c>
      <c r="AK46" s="179">
        <v>215.39365042309436</v>
      </c>
      <c r="AL46" s="179">
        <v>214.71141015515724</v>
      </c>
      <c r="AM46" s="179">
        <v>216.09398672984585</v>
      </c>
      <c r="AN46" s="179">
        <v>212.19772839320058</v>
      </c>
      <c r="AO46" s="179">
        <v>213.32808738359071</v>
      </c>
      <c r="AP46" s="179">
        <v>213.7304439399235</v>
      </c>
      <c r="AQ46" s="179">
        <v>214.49108838982852</v>
      </c>
      <c r="AR46" s="179">
        <v>214.47342248709012</v>
      </c>
      <c r="AS46" s="179">
        <v>212.04664755161571</v>
      </c>
      <c r="AT46" s="179">
        <v>211.76797605867026</v>
      </c>
      <c r="AU46" s="179">
        <v>213.00692629981947</v>
      </c>
      <c r="AV46" s="179"/>
      <c r="AW46" s="179">
        <v>221.77750394133741</v>
      </c>
      <c r="AX46" s="183">
        <v>227.87618780761974</v>
      </c>
      <c r="AY46" s="183">
        <v>228.11187127206554</v>
      </c>
      <c r="AZ46" s="179">
        <v>228.14387734693202</v>
      </c>
      <c r="BA46" s="179"/>
      <c r="BB46" s="179">
        <v>217.08293669106328</v>
      </c>
      <c r="BC46" s="179">
        <v>217.48302215176946</v>
      </c>
      <c r="BD46" s="179">
        <v>220.46417755251534</v>
      </c>
      <c r="BE46" s="179">
        <v>223.0132732901213</v>
      </c>
      <c r="BF46" s="179">
        <v>221.61425619478803</v>
      </c>
      <c r="BG46" s="179">
        <v>221.60809822329847</v>
      </c>
      <c r="BH46" s="179">
        <v>221.71958949221741</v>
      </c>
      <c r="BI46" s="179">
        <v>226.30869573175488</v>
      </c>
      <c r="BJ46" s="179"/>
      <c r="BK46" s="179">
        <v>213.65275285233261</v>
      </c>
      <c r="BL46" s="179">
        <v>212.85753667099576</v>
      </c>
      <c r="BM46" s="179">
        <v>213.53205486434089</v>
      </c>
      <c r="BN46" s="179">
        <v>213.60257087792874</v>
      </c>
      <c r="BO46" s="179">
        <v>213.74818435754187</v>
      </c>
      <c r="BP46" s="183">
        <v>192.55035472461839</v>
      </c>
      <c r="BQ46" s="183">
        <v>192.92459658105165</v>
      </c>
      <c r="BR46" s="181">
        <v>193.17948392708394</v>
      </c>
      <c r="BS46" s="181">
        <v>197.5945216009905</v>
      </c>
      <c r="BT46" s="181">
        <v>197.83575406407908</v>
      </c>
      <c r="BU46" s="181">
        <v>197.08333223060782</v>
      </c>
      <c r="BV46" s="181">
        <v>197.29607054733583</v>
      </c>
      <c r="BW46" s="181">
        <v>197.59032438845588</v>
      </c>
      <c r="BX46" s="181">
        <v>197.59032438845588</v>
      </c>
      <c r="BY46" s="181">
        <v>196.37635662702252</v>
      </c>
      <c r="BZ46" s="181">
        <v>196.40726752804849</v>
      </c>
      <c r="CA46" s="181">
        <v>196.3490426116953</v>
      </c>
      <c r="CB46" s="181">
        <v>196.54227532146768</v>
      </c>
      <c r="CC46" s="181">
        <v>191.85234142828267</v>
      </c>
      <c r="CD46" s="181">
        <v>195.33803644342197</v>
      </c>
      <c r="CE46" s="181">
        <v>201.0163016835304</v>
      </c>
      <c r="CF46" s="181">
        <v>200.98799392484113</v>
      </c>
      <c r="CG46" s="181">
        <v>199.91411430963791</v>
      </c>
      <c r="CH46" s="181">
        <v>199.54883886398085</v>
      </c>
      <c r="CI46" s="181">
        <v>200.52100265029122</v>
      </c>
      <c r="CJ46" s="181">
        <v>194.31990025381839</v>
      </c>
      <c r="CK46" s="181">
        <v>194.2431511761331</v>
      </c>
      <c r="CL46" s="181">
        <v>194.31048742350524</v>
      </c>
      <c r="CM46" s="181">
        <v>194.71272574548507</v>
      </c>
      <c r="CN46" s="181">
        <v>195.02229845626073</v>
      </c>
      <c r="CO46" s="181">
        <v>195.24684681974415</v>
      </c>
      <c r="CP46" s="181">
        <v>194.91662154444106</v>
      </c>
      <c r="CQ46" s="181">
        <v>197.07032158433566</v>
      </c>
      <c r="CR46" s="181">
        <v>197.80028768832969</v>
      </c>
      <c r="CS46" s="181">
        <v>195.77306658704092</v>
      </c>
      <c r="CT46" s="181">
        <v>195.30748125846958</v>
      </c>
      <c r="CU46" s="181">
        <v>198.60353237897374</v>
      </c>
      <c r="CV46" s="181">
        <v>198.09105649572811</v>
      </c>
      <c r="CW46" s="181">
        <v>196.10023660687233</v>
      </c>
      <c r="CX46" s="181">
        <v>196.41327923199927</v>
      </c>
      <c r="CY46" s="181">
        <v>196.59004623455144</v>
      </c>
      <c r="CZ46" s="181">
        <v>196.94869618622599</v>
      </c>
      <c r="DA46" s="181">
        <v>197.05850318814461</v>
      </c>
      <c r="DB46" s="181">
        <v>197.12694371994982</v>
      </c>
      <c r="DC46" s="181">
        <f>+DC33/DC21</f>
        <v>207.36544848367689</v>
      </c>
      <c r="DD46" s="181">
        <f>+DD33/DD21</f>
        <v>204.15183950805229</v>
      </c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</row>
    <row r="47" spans="1:121 16384:16384" ht="18.75" x14ac:dyDescent="0.25">
      <c r="A47" s="114"/>
      <c r="B47" s="114" t="s">
        <v>95</v>
      </c>
      <c r="C47" s="189">
        <v>12.774069226295071</v>
      </c>
      <c r="D47" s="189">
        <v>13.313410058663949</v>
      </c>
      <c r="E47" s="189">
        <v>12.988934828373699</v>
      </c>
      <c r="F47" s="189">
        <v>11.988355909263213</v>
      </c>
      <c r="G47" s="189">
        <v>11.476569526897432</v>
      </c>
      <c r="H47" s="189">
        <v>11.263440212336819</v>
      </c>
      <c r="I47" s="189">
        <v>10.957361243706064</v>
      </c>
      <c r="J47" s="189">
        <v>12.187704667720716</v>
      </c>
      <c r="K47" s="189">
        <v>12.330197012816392</v>
      </c>
      <c r="L47" s="189">
        <v>12.016352173696175</v>
      </c>
      <c r="M47" s="189">
        <v>12.577525282147787</v>
      </c>
      <c r="N47" s="189">
        <v>12.148378069078799</v>
      </c>
      <c r="O47" s="189">
        <v>12.155367337998477</v>
      </c>
      <c r="P47" s="189">
        <v>9.7842070650003752</v>
      </c>
      <c r="Q47" s="189">
        <v>10.308921395362878</v>
      </c>
      <c r="R47" s="189">
        <v>12.296026109433045</v>
      </c>
      <c r="S47" s="189">
        <v>12.595709202319863</v>
      </c>
      <c r="T47" s="189">
        <v>12.667556669160401</v>
      </c>
      <c r="U47" s="189">
        <v>11.514115350309174</v>
      </c>
      <c r="V47" s="189">
        <v>11.743642946522163</v>
      </c>
      <c r="W47" s="189">
        <v>13.538325534832152</v>
      </c>
      <c r="X47" s="189">
        <v>13.585559664159902</v>
      </c>
      <c r="Y47" s="189">
        <v>12.875046278891364</v>
      </c>
      <c r="Z47" s="189">
        <v>11.207329367359748</v>
      </c>
      <c r="AA47" s="189">
        <v>12.239677820262722</v>
      </c>
      <c r="AB47" s="189">
        <v>12.124534926621996</v>
      </c>
      <c r="AC47" s="189">
        <v>13.93875469401846</v>
      </c>
      <c r="AD47" s="189">
        <v>11.944674487084093</v>
      </c>
      <c r="AE47" s="189">
        <v>12.768973977466374</v>
      </c>
      <c r="AF47" s="189">
        <v>12.218660047970459</v>
      </c>
      <c r="AG47" s="189">
        <v>12.879091404132886</v>
      </c>
      <c r="AH47" s="189">
        <v>12.434063307106921</v>
      </c>
      <c r="AI47" s="134">
        <v>12.613950110496853</v>
      </c>
      <c r="AJ47" s="134">
        <v>12.006125919519153</v>
      </c>
      <c r="AK47" s="134">
        <v>12.220445203908964</v>
      </c>
      <c r="AL47" s="134">
        <v>11.994336202745787</v>
      </c>
      <c r="AM47" s="134">
        <v>11.872870268739048</v>
      </c>
      <c r="AN47" s="134">
        <v>12.428324593891359</v>
      </c>
      <c r="AO47" s="136">
        <v>11.413964707724654</v>
      </c>
      <c r="AP47" s="136">
        <v>12.19144636974549</v>
      </c>
      <c r="AQ47" s="134">
        <v>12.522685179541645</v>
      </c>
      <c r="AR47" s="134">
        <v>11.579201354619137</v>
      </c>
      <c r="AS47" s="134">
        <v>11.969071915520665</v>
      </c>
      <c r="AT47" s="134">
        <v>13.838726825503771</v>
      </c>
      <c r="AU47" s="134">
        <v>13.378565395232712</v>
      </c>
      <c r="AV47" s="134"/>
      <c r="AW47" s="134">
        <v>14.134486166476449</v>
      </c>
      <c r="AX47" s="134">
        <v>13.167244613521891</v>
      </c>
      <c r="AY47" s="134">
        <v>13.138463963606888</v>
      </c>
      <c r="AZ47" s="134">
        <v>11.94442414939842</v>
      </c>
      <c r="BA47" s="134"/>
      <c r="BB47" s="134">
        <v>12.278974785469892</v>
      </c>
      <c r="BC47" s="134">
        <v>12.233031977012967</v>
      </c>
      <c r="BD47" s="134">
        <v>12.391537173313671</v>
      </c>
      <c r="BE47" s="134">
        <v>11.725669445403923</v>
      </c>
      <c r="BF47" s="134">
        <v>13.046150694802089</v>
      </c>
      <c r="BG47" s="134">
        <v>12.363611079911564</v>
      </c>
      <c r="BH47" s="134">
        <v>13.676492293066962</v>
      </c>
      <c r="BI47" s="134">
        <v>13.423874884309045</v>
      </c>
      <c r="BJ47" s="134"/>
      <c r="BK47" s="134">
        <v>13.137311176382738</v>
      </c>
      <c r="BL47" s="134">
        <v>12.405293920825928</v>
      </c>
      <c r="BM47" s="134">
        <v>13.497617741279869</v>
      </c>
      <c r="BN47" s="134">
        <v>13.08178703164184</v>
      </c>
      <c r="BO47" s="136">
        <v>13.583068742897325</v>
      </c>
      <c r="BP47" s="172">
        <v>15.249008968783841</v>
      </c>
      <c r="BQ47" s="172">
        <v>14.224977785398577</v>
      </c>
      <c r="BR47" s="135">
        <v>14.158855836028076</v>
      </c>
      <c r="BS47" s="135">
        <v>13.467772205391272</v>
      </c>
      <c r="BT47" s="135">
        <v>14.516808920881846</v>
      </c>
      <c r="BU47" s="135">
        <v>12.12248728148049</v>
      </c>
      <c r="BV47" s="135">
        <v>13.525961650545765</v>
      </c>
      <c r="BW47" s="135">
        <v>14.462320125877856</v>
      </c>
      <c r="BX47" s="169">
        <v>11.7240508191173</v>
      </c>
      <c r="BY47" s="169">
        <v>12.400682012417009</v>
      </c>
      <c r="BZ47" s="135">
        <v>13.244493154210142</v>
      </c>
      <c r="CA47" s="169">
        <v>12.630320005716504</v>
      </c>
      <c r="CB47" s="135">
        <v>13.6299575416312</v>
      </c>
      <c r="CC47" s="169">
        <v>11.902922087577577</v>
      </c>
      <c r="CD47" s="169">
        <v>11.391082374782076</v>
      </c>
      <c r="CE47" s="135">
        <v>13.456705944341639</v>
      </c>
      <c r="CF47" s="135">
        <v>12.632288812730112</v>
      </c>
      <c r="CG47" s="135">
        <v>12.479694917903512</v>
      </c>
      <c r="CH47" s="135">
        <v>11.611009498792656</v>
      </c>
      <c r="CI47" s="135">
        <v>12.060642792692617</v>
      </c>
      <c r="CJ47" s="135">
        <v>12.87444875729579</v>
      </c>
      <c r="CK47" s="135">
        <v>12.299009861416092</v>
      </c>
      <c r="CL47" s="135">
        <v>11.628327516826669</v>
      </c>
      <c r="CM47" s="135">
        <v>13.571457198167035</v>
      </c>
      <c r="CN47" s="135">
        <v>14.18347906756461</v>
      </c>
      <c r="CO47" s="135">
        <v>14.295803851898341</v>
      </c>
      <c r="CP47" s="135">
        <v>13.163716616929957</v>
      </c>
      <c r="CQ47" s="135">
        <v>13.648925869783094</v>
      </c>
      <c r="CR47" s="135">
        <v>15.117686002457477</v>
      </c>
      <c r="CS47" s="135">
        <v>15.413460409933098</v>
      </c>
      <c r="CT47" s="135">
        <v>13.468817918336185</v>
      </c>
      <c r="CU47" s="135">
        <v>15.590062698570849</v>
      </c>
      <c r="CV47" s="135">
        <v>13.256066707241628</v>
      </c>
      <c r="CW47" s="135">
        <v>12.972298492971863</v>
      </c>
      <c r="CX47" s="135">
        <v>14.667597669955301</v>
      </c>
      <c r="CY47" s="135">
        <v>13.559454594203332</v>
      </c>
      <c r="CZ47" s="135">
        <v>13.222733415088268</v>
      </c>
      <c r="DA47" s="135">
        <v>12.346631169669083</v>
      </c>
      <c r="DB47" s="135">
        <v>13.347435367813162</v>
      </c>
      <c r="DC47" s="135">
        <f>+(DC35/DC45)/DC2/7</f>
        <v>13.142052065410983</v>
      </c>
      <c r="DD47" s="135">
        <f>+(DD35/DD45)/DD2/7</f>
        <v>12.734253740448068</v>
      </c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</row>
    <row r="48" spans="1:121 16384:16384" ht="18.75" x14ac:dyDescent="0.25">
      <c r="A48" s="114"/>
      <c r="B48" s="114" t="s">
        <v>96</v>
      </c>
      <c r="C48" s="157">
        <v>1278.4157538114057</v>
      </c>
      <c r="D48" s="157">
        <v>1294.9738438105792</v>
      </c>
      <c r="E48" s="157">
        <v>1273.6985816542945</v>
      </c>
      <c r="F48" s="157">
        <v>1339.8439287513706</v>
      </c>
      <c r="G48" s="157">
        <v>1314.1864940497233</v>
      </c>
      <c r="H48" s="157">
        <v>1319.2551757664146</v>
      </c>
      <c r="I48" s="157">
        <v>1474.3677586256183</v>
      </c>
      <c r="J48" s="157">
        <v>1520.4273179675217</v>
      </c>
      <c r="K48" s="157">
        <v>1490.5806820119349</v>
      </c>
      <c r="L48" s="157">
        <v>1482.4552646025475</v>
      </c>
      <c r="M48" s="157">
        <v>1512.188677536232</v>
      </c>
      <c r="N48" s="157">
        <v>1329.518199554069</v>
      </c>
      <c r="O48" s="157">
        <v>1309.5986838845531</v>
      </c>
      <c r="P48" s="157">
        <v>1417.198263888889</v>
      </c>
      <c r="Q48" s="157">
        <v>1491.3717846967845</v>
      </c>
      <c r="R48" s="157">
        <v>1440.4334016608852</v>
      </c>
      <c r="S48" s="157">
        <v>1459.5108413735863</v>
      </c>
      <c r="T48" s="157">
        <v>1314.9989930555555</v>
      </c>
      <c r="U48" s="157">
        <v>1290.9587934560332</v>
      </c>
      <c r="V48" s="157">
        <v>1452.5177018633542</v>
      </c>
      <c r="W48" s="157">
        <v>1591.7201883134865</v>
      </c>
      <c r="X48" s="157">
        <v>1711.7383910085773</v>
      </c>
      <c r="Y48" s="157">
        <v>1722.7494961128705</v>
      </c>
      <c r="Z48" s="157">
        <v>1717.4276704240476</v>
      </c>
      <c r="AA48" s="157">
        <v>1706.8332039337477</v>
      </c>
      <c r="AB48" s="157">
        <v>1709.5532298136648</v>
      </c>
      <c r="AC48" s="157">
        <v>1613.4447273291923</v>
      </c>
      <c r="AD48" s="157">
        <v>1707.1339265569916</v>
      </c>
      <c r="AE48" s="161">
        <v>1749.194800663616</v>
      </c>
      <c r="AF48" s="161">
        <v>1717.4138124811595</v>
      </c>
      <c r="AG48" s="161">
        <v>1664.468570670407</v>
      </c>
      <c r="AH48" s="161">
        <v>1591.3077046583853</v>
      </c>
      <c r="AI48" s="157">
        <v>1568.3445148849103</v>
      </c>
      <c r="AJ48" s="157">
        <v>1537.7353803182723</v>
      </c>
      <c r="AK48" s="157">
        <v>1544.7601821043479</v>
      </c>
      <c r="AL48" s="157">
        <v>1508.4506001667664</v>
      </c>
      <c r="AM48" s="157">
        <v>1620.4680851459202</v>
      </c>
      <c r="AN48" s="157">
        <v>1631.9419964959741</v>
      </c>
      <c r="AO48" s="157">
        <v>1684.7347306159795</v>
      </c>
      <c r="AP48" s="157">
        <v>1738.0621652047892</v>
      </c>
      <c r="AQ48" s="157">
        <v>1747.7759708947699</v>
      </c>
      <c r="AR48" s="157">
        <v>1762.1366698570175</v>
      </c>
      <c r="AS48" s="157">
        <v>1801.0818149739134</v>
      </c>
      <c r="AT48" s="157">
        <v>1795.9247919625602</v>
      </c>
      <c r="AU48" s="161">
        <v>1861.3718301701322</v>
      </c>
      <c r="AV48" s="157"/>
      <c r="AW48" s="161">
        <v>1814.4356399256042</v>
      </c>
      <c r="AX48" s="161">
        <v>1911.095966680376</v>
      </c>
      <c r="AY48" s="161">
        <v>1908.4018061892582</v>
      </c>
      <c r="AZ48" s="157">
        <v>1860.5770866864707</v>
      </c>
      <c r="BA48" s="157"/>
      <c r="BB48" s="157">
        <v>1716.4024194373401</v>
      </c>
      <c r="BC48" s="157">
        <v>1780.3494782608693</v>
      </c>
      <c r="BD48" s="157">
        <v>1750.8080260507329</v>
      </c>
      <c r="BE48" s="157">
        <v>1759.4663170289857</v>
      </c>
      <c r="BF48" s="157">
        <v>1760.1906017026461</v>
      </c>
      <c r="BG48" s="157">
        <v>1752.3545742128936</v>
      </c>
      <c r="BH48" s="157">
        <v>1905.8985746820467</v>
      </c>
      <c r="BI48" s="157">
        <v>1648.5532376811593</v>
      </c>
      <c r="BJ48" s="157"/>
      <c r="BK48" s="157">
        <v>1584.8819343389534</v>
      </c>
      <c r="BL48" s="157">
        <v>1749.05771874063</v>
      </c>
      <c r="BM48" s="157">
        <v>1875.078356777494</v>
      </c>
      <c r="BN48" s="157">
        <v>1915.4810543478256</v>
      </c>
      <c r="BO48" s="157">
        <v>1947.8289090909093</v>
      </c>
      <c r="BP48" s="159">
        <v>1951.098221516286</v>
      </c>
      <c r="BQ48" s="159">
        <v>2009.9368899090823</v>
      </c>
      <c r="BR48" s="158">
        <v>2042.716027156386</v>
      </c>
      <c r="BS48" s="158">
        <v>2060.017337940687</v>
      </c>
      <c r="BT48" s="158">
        <v>2134.0043113979305</v>
      </c>
      <c r="BU48" s="158">
        <v>1998.2994875776394</v>
      </c>
      <c r="BV48" s="158">
        <v>1984.1857593167706</v>
      </c>
      <c r="BW48" s="158">
        <v>2137.4493775969158</v>
      </c>
      <c r="BX48" s="158">
        <v>2086.03312143928</v>
      </c>
      <c r="BY48" s="158">
        <v>1968.7698674948242</v>
      </c>
      <c r="BZ48" s="158">
        <v>1812.8390792838877</v>
      </c>
      <c r="CA48" s="158">
        <v>1808.0281841432227</v>
      </c>
      <c r="CB48" s="158">
        <v>1832.368203572632</v>
      </c>
      <c r="CC48" s="158">
        <v>1862.0980047185701</v>
      </c>
      <c r="CD48" s="158">
        <v>1822.1685983127838</v>
      </c>
      <c r="CE48" s="158">
        <v>1726.5033213468455</v>
      </c>
      <c r="CF48" s="158">
        <v>1716.5102898550729</v>
      </c>
      <c r="CG48" s="158">
        <v>1771.5163059346246</v>
      </c>
      <c r="CH48" s="158">
        <v>1657.2895207870513</v>
      </c>
      <c r="CI48" s="190">
        <v>1572.1279386925239</v>
      </c>
      <c r="CJ48" s="158">
        <v>1788.4598360655732</v>
      </c>
      <c r="CK48" s="158">
        <v>1776.0829508196723</v>
      </c>
      <c r="CL48" s="158">
        <v>1786.9331386861318</v>
      </c>
      <c r="CM48" s="158">
        <v>1854.4440000000002</v>
      </c>
      <c r="CN48" s="158">
        <v>1909.7710937499999</v>
      </c>
      <c r="CO48" s="158">
        <v>1951.895939849624</v>
      </c>
      <c r="CP48" s="158">
        <v>1890.536978417266</v>
      </c>
      <c r="CQ48" s="158">
        <v>1889.3102749360617</v>
      </c>
      <c r="CR48" s="158">
        <v>2065.1242366786532</v>
      </c>
      <c r="CS48" s="158">
        <v>2057.8607299270075</v>
      </c>
      <c r="CT48" s="158">
        <v>1963.5742281879193</v>
      </c>
      <c r="CU48" s="158">
        <v>1737.1515309246786</v>
      </c>
      <c r="CV48" s="158">
        <v>1620.3972228260875</v>
      </c>
      <c r="CW48" s="158">
        <v>1695.7865361359054</v>
      </c>
      <c r="CX48" s="158">
        <v>1753.9558156260214</v>
      </c>
      <c r="CY48" s="158">
        <v>1788.5122345803845</v>
      </c>
      <c r="CZ48" s="158">
        <v>1862.7726278772375</v>
      </c>
      <c r="DA48" s="158">
        <v>1886.6999317988066</v>
      </c>
      <c r="DB48" s="158">
        <v>1901.912937000887</v>
      </c>
      <c r="DC48" s="158">
        <f>+(DC33/DC2/7)+(DC34/7/DC2)</f>
        <v>1945.8020129570978</v>
      </c>
      <c r="DD48" s="158">
        <f>+(DD33/DD2/7)+(DD34/7/DD2)</f>
        <v>1775.5151337447408</v>
      </c>
      <c r="DE48" s="157"/>
      <c r="DF48" s="157"/>
      <c r="DG48" s="157"/>
      <c r="DH48" s="157"/>
      <c r="DI48" s="157"/>
      <c r="DJ48" s="157"/>
      <c r="DK48" s="157"/>
      <c r="DL48" s="157"/>
      <c r="DM48" s="157"/>
      <c r="DN48" s="157"/>
      <c r="DO48" s="157"/>
      <c r="DP48" s="157"/>
      <c r="DQ48" s="157"/>
    </row>
    <row r="49" spans="1:121" ht="18.75" x14ac:dyDescent="0.25">
      <c r="A49" s="114"/>
      <c r="B49" s="114" t="s">
        <v>97</v>
      </c>
      <c r="C49" s="114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91">
        <v>0.12477966284512391</v>
      </c>
      <c r="AM49" s="192">
        <v>0.12237246738828754</v>
      </c>
      <c r="AN49" s="191">
        <v>0.12554999999999999</v>
      </c>
      <c r="AO49" s="191">
        <v>0.12550130737299278</v>
      </c>
      <c r="AP49" s="191">
        <v>0.12372286214692144</v>
      </c>
      <c r="AQ49" s="191">
        <v>0.12466972980043249</v>
      </c>
      <c r="AR49" s="191">
        <v>0.12351630566719715</v>
      </c>
      <c r="AS49" s="193">
        <v>0.12549644610537114</v>
      </c>
      <c r="AT49" s="193">
        <v>0.12335504171115612</v>
      </c>
      <c r="AU49" s="194">
        <v>0.12284231728071862</v>
      </c>
      <c r="AV49" s="194"/>
      <c r="AW49" s="194">
        <v>0.12471358508476224</v>
      </c>
      <c r="AX49" s="194">
        <v>0.12306412619966046</v>
      </c>
      <c r="AY49" s="192">
        <v>0.1252299805382826</v>
      </c>
      <c r="AZ49" s="194">
        <v>0.12501994960608598</v>
      </c>
      <c r="BA49" s="194"/>
      <c r="BB49" s="194">
        <v>0.12511721159777914</v>
      </c>
      <c r="BC49" s="194">
        <v>0.12330178769670389</v>
      </c>
      <c r="BD49" s="192">
        <v>0.12645737101698898</v>
      </c>
      <c r="BE49" s="194">
        <v>0.12805744096034105</v>
      </c>
      <c r="BF49" s="195">
        <v>0.12510155322853006</v>
      </c>
      <c r="BG49" s="196">
        <v>0.12400100232988384</v>
      </c>
      <c r="BH49" s="196">
        <v>0.12276728061188021</v>
      </c>
      <c r="BI49" s="194">
        <v>0.12214336730074743</v>
      </c>
      <c r="BJ49" s="194"/>
      <c r="BK49" s="194">
        <v>0.12287075593201591</v>
      </c>
      <c r="BL49" s="192">
        <v>0.12452907840976474</v>
      </c>
      <c r="BM49" s="192">
        <v>0.12413359243591075</v>
      </c>
      <c r="BN49" s="194">
        <v>0.12333979204290797</v>
      </c>
      <c r="BO49" s="194">
        <v>0.12428462259234359</v>
      </c>
      <c r="BP49" s="194">
        <v>0.12490892714171337</v>
      </c>
      <c r="BQ49" s="196">
        <v>0.12067917583047943</v>
      </c>
      <c r="BR49" s="196">
        <v>0.12156604958280538</v>
      </c>
      <c r="BS49" s="194">
        <v>0.12387951123879511</v>
      </c>
      <c r="BT49" s="194">
        <v>0.12357360801239947</v>
      </c>
      <c r="BU49" s="194">
        <v>0.12378650792709679</v>
      </c>
      <c r="BV49" s="194">
        <v>0.1251721359179836</v>
      </c>
      <c r="BW49" s="194">
        <v>0.12570557176155958</v>
      </c>
      <c r="BX49" s="194">
        <v>0.12518464274505703</v>
      </c>
      <c r="BY49" s="194">
        <v>0.12640639254405361</v>
      </c>
      <c r="BZ49" s="194">
        <v>0.12582706164153942</v>
      </c>
      <c r="CA49" s="194">
        <v>0.12660639164065679</v>
      </c>
      <c r="CB49" s="194">
        <v>0.12728133934059244</v>
      </c>
      <c r="CC49" s="194">
        <v>0.12693299206930286</v>
      </c>
      <c r="CD49" s="194">
        <v>0.12505833287401938</v>
      </c>
      <c r="CE49" s="194">
        <v>0.12501077836367858</v>
      </c>
      <c r="CF49" s="194">
        <v>0.12544716252352184</v>
      </c>
      <c r="CG49" s="194">
        <v>0.12640326121041079</v>
      </c>
      <c r="CH49" s="194">
        <v>0.12439775910364147</v>
      </c>
      <c r="CI49" s="194">
        <v>0.12644590109129117</v>
      </c>
      <c r="CJ49" s="194">
        <v>0.12555682306958652</v>
      </c>
      <c r="CK49" s="194">
        <v>0.12451386654655426</v>
      </c>
      <c r="CL49" s="194">
        <v>0.12380592844488308</v>
      </c>
      <c r="CM49" s="194">
        <v>0.12417923395168823</v>
      </c>
      <c r="CN49" s="194">
        <v>0.12320225904347683</v>
      </c>
      <c r="CO49" s="194">
        <v>0.12451779975341887</v>
      </c>
      <c r="CP49" s="194">
        <v>0.12390684924285354</v>
      </c>
      <c r="CQ49" s="194">
        <v>0.12814789182282793</v>
      </c>
      <c r="CR49" s="196">
        <v>0.12016367861404599</v>
      </c>
      <c r="CS49" s="194">
        <v>0.1229061949213395</v>
      </c>
      <c r="CT49" s="194">
        <v>0.12460381406378902</v>
      </c>
      <c r="CU49" s="194">
        <v>0.12482253919423719</v>
      </c>
      <c r="CV49" s="194">
        <v>0.12451102364305273</v>
      </c>
      <c r="CW49" s="192">
        <v>0.12612349514563109</v>
      </c>
      <c r="CX49" s="194">
        <v>0.12553856641475869</v>
      </c>
      <c r="CY49" s="194">
        <v>0.12604639624306968</v>
      </c>
      <c r="CZ49" s="197">
        <v>0.12217265924040412</v>
      </c>
      <c r="DA49" s="194">
        <v>0.12265963649268674</v>
      </c>
      <c r="DB49" s="194">
        <v>0.1226348620190628</v>
      </c>
      <c r="DC49" s="194">
        <f>+(557.16+515.91+856.05+180.84+160.91+252.35)/DC23</f>
        <v>0.12348779789506653</v>
      </c>
      <c r="DD49" s="192">
        <f>+(543.64+496.85+818.21+184.89+155.37+250.19)/DD23</f>
        <v>0.1227481061412895</v>
      </c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</row>
    <row r="50" spans="1:121" ht="18.75" x14ac:dyDescent="0.25">
      <c r="A50" s="114"/>
      <c r="B50" s="114" t="s">
        <v>98</v>
      </c>
      <c r="C50" s="114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91">
        <v>3.8880956909006788E-2</v>
      </c>
      <c r="AM50" s="192">
        <v>3.8200388565084654E-2</v>
      </c>
      <c r="AN50" s="191">
        <v>3.9E-2</v>
      </c>
      <c r="AO50" s="191">
        <v>3.8824693838358466E-2</v>
      </c>
      <c r="AP50" s="191">
        <v>3.8034445585651354E-2</v>
      </c>
      <c r="AQ50" s="191">
        <v>3.972036612890209E-2</v>
      </c>
      <c r="AR50" s="191">
        <v>3.928465460038303E-2</v>
      </c>
      <c r="AS50" s="193">
        <v>3.9669105716588687E-2</v>
      </c>
      <c r="AT50" s="193">
        <v>3.9122919065808198E-2</v>
      </c>
      <c r="AU50" s="194">
        <v>3.8007900530345223E-2</v>
      </c>
      <c r="AV50" s="194"/>
      <c r="AW50" s="194">
        <v>3.8304998113689752E-2</v>
      </c>
      <c r="AX50" s="194">
        <v>3.7408003735790132E-2</v>
      </c>
      <c r="AY50" s="192">
        <v>3.8097973133336495E-2</v>
      </c>
      <c r="AZ50" s="194">
        <v>3.8784452365176941E-2</v>
      </c>
      <c r="BA50" s="194"/>
      <c r="BB50" s="194">
        <v>3.7860888340530537E-2</v>
      </c>
      <c r="BC50" s="194">
        <v>3.8067833905004657E-2</v>
      </c>
      <c r="BD50" s="192">
        <v>4.0447819619509905E-2</v>
      </c>
      <c r="BE50" s="194">
        <v>4.3034161664890339E-2</v>
      </c>
      <c r="BF50" s="195">
        <v>3.834974043151626E-2</v>
      </c>
      <c r="BG50" s="194">
        <v>3.8792832275022261E-2</v>
      </c>
      <c r="BH50" s="196">
        <v>3.5798327336843856E-2</v>
      </c>
      <c r="BI50" s="194">
        <v>3.6928245933466795E-2</v>
      </c>
      <c r="BJ50" s="194"/>
      <c r="BK50" s="194">
        <v>3.8050237438664966E-2</v>
      </c>
      <c r="BL50" s="192">
        <v>3.8737277603437578E-2</v>
      </c>
      <c r="BM50" s="192">
        <v>3.8497524930626088E-2</v>
      </c>
      <c r="BN50" s="194">
        <v>3.7836971485321939E-2</v>
      </c>
      <c r="BO50" s="194">
        <v>3.766812752984508E-2</v>
      </c>
      <c r="BP50" s="194">
        <v>3.7553042433947158E-2</v>
      </c>
      <c r="BQ50" s="194">
        <v>3.6165429501089891E-2</v>
      </c>
      <c r="BR50" s="194">
        <v>3.7113888127010324E-2</v>
      </c>
      <c r="BS50" s="194">
        <v>3.7705140377051402E-2</v>
      </c>
      <c r="BT50" s="194">
        <v>3.7149324307104915E-2</v>
      </c>
      <c r="BU50" s="194">
        <v>3.7055412600348628E-2</v>
      </c>
      <c r="BV50" s="194">
        <v>3.7034069033442273E-2</v>
      </c>
      <c r="BW50" s="194">
        <v>3.7910600863675696E-2</v>
      </c>
      <c r="BX50" s="194">
        <v>3.7402447954806982E-2</v>
      </c>
      <c r="BY50" s="194">
        <v>3.8584219291351522E-2</v>
      </c>
      <c r="BZ50" s="194">
        <v>3.9240789237145253E-2</v>
      </c>
      <c r="CA50" s="194">
        <v>3.9128443479440903E-2</v>
      </c>
      <c r="CB50" s="194">
        <v>3.8737798929745521E-2</v>
      </c>
      <c r="CC50" s="194">
        <v>3.8970547519580637E-2</v>
      </c>
      <c r="CD50" s="194">
        <v>3.6666115489904283E-2</v>
      </c>
      <c r="CE50" s="194">
        <v>3.641870902839961E-2</v>
      </c>
      <c r="CF50" s="194">
        <v>3.7046364549583329E-2</v>
      </c>
      <c r="CG50" s="194">
        <v>3.8124804013797434E-2</v>
      </c>
      <c r="CH50" s="194">
        <v>3.6866398733406414E-2</v>
      </c>
      <c r="CI50" s="194">
        <v>3.9337822671156007E-2</v>
      </c>
      <c r="CJ50" s="194">
        <v>3.8299079286119475E-2</v>
      </c>
      <c r="CK50" s="194">
        <v>3.7018853355639918E-2</v>
      </c>
      <c r="CL50" s="194">
        <v>3.6340558600763351E-2</v>
      </c>
      <c r="CM50" s="194">
        <v>3.7146892655367227E-2</v>
      </c>
      <c r="CN50" s="194">
        <v>3.6299950772759479E-2</v>
      </c>
      <c r="CO50" s="194">
        <v>3.6867491011137427E-2</v>
      </c>
      <c r="CP50" s="194">
        <v>3.6813790740277026E-2</v>
      </c>
      <c r="CQ50" s="194">
        <v>3.8724446337308344E-2</v>
      </c>
      <c r="CR50" s="194">
        <v>3.3423675425501585E-2</v>
      </c>
      <c r="CS50" s="194">
        <v>3.488991262018222E-2</v>
      </c>
      <c r="CT50" s="194">
        <v>3.6506588868552139E-2</v>
      </c>
      <c r="CU50" s="194">
        <v>3.7060886014273292E-2</v>
      </c>
      <c r="CV50" s="194">
        <v>3.7225500253431021E-2</v>
      </c>
      <c r="CW50" s="192">
        <v>3.8586925566343043E-2</v>
      </c>
      <c r="CX50" s="194">
        <v>3.810200940527355E-2</v>
      </c>
      <c r="CY50" s="194">
        <v>3.8238535074105913E-2</v>
      </c>
      <c r="CZ50" s="197">
        <v>3.4702635750278966E-2</v>
      </c>
      <c r="DA50" s="194">
        <v>3.5476691424370703E-2</v>
      </c>
      <c r="DB50" s="194">
        <v>3.5767253854982785E-2</v>
      </c>
      <c r="DC50" s="194">
        <f>+(557.16+180.84)/DC23</f>
        <v>3.6118132721902611E-2</v>
      </c>
      <c r="DD50" s="194">
        <f>+(543.64+184.89)/DD23</f>
        <v>3.6512944395857186E-2</v>
      </c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</row>
    <row r="51" spans="1:121" ht="18.75" x14ac:dyDescent="0.25">
      <c r="A51" s="114"/>
      <c r="B51" s="114" t="s">
        <v>99</v>
      </c>
      <c r="C51" s="114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91">
        <v>3.2611885858967196E-2</v>
      </c>
      <c r="AM51" s="192">
        <v>3.2257563141826255E-2</v>
      </c>
      <c r="AN51" s="191">
        <v>3.3000000000000002E-2</v>
      </c>
      <c r="AO51" s="191">
        <v>3.32761142215591E-2</v>
      </c>
      <c r="AP51" s="191">
        <v>3.3005401398308563E-2</v>
      </c>
      <c r="AQ51" s="191">
        <v>3.2850300701032772E-2</v>
      </c>
      <c r="AR51" s="191">
        <v>3.3345021983653876E-2</v>
      </c>
      <c r="AS51" s="191">
        <v>3.3183117168608486E-2</v>
      </c>
      <c r="AT51" s="191">
        <v>3.2273066898135021E-2</v>
      </c>
      <c r="AU51" s="194">
        <v>3.2374999349429313E-2</v>
      </c>
      <c r="AV51" s="194"/>
      <c r="AW51" s="194">
        <v>3.3672220126321942E-2</v>
      </c>
      <c r="AX51" s="194">
        <v>3.3323442569523153E-2</v>
      </c>
      <c r="AY51" s="192">
        <v>3.4104048986566667E-2</v>
      </c>
      <c r="AZ51" s="194">
        <v>3.358256235158702E-2</v>
      </c>
      <c r="BA51" s="194"/>
      <c r="BB51" s="194">
        <v>3.3668003290150114E-2</v>
      </c>
      <c r="BC51" s="194">
        <v>3.3110472786287856E-2</v>
      </c>
      <c r="BD51" s="194">
        <v>3.3588037266108192E-2</v>
      </c>
      <c r="BE51" s="194">
        <v>3.2918045661075895E-2</v>
      </c>
      <c r="BF51" s="194">
        <v>3.3314164126746794E-2</v>
      </c>
      <c r="BG51" s="194">
        <v>3.2630102952074767E-2</v>
      </c>
      <c r="BH51" s="194">
        <v>3.358192951940718E-2</v>
      </c>
      <c r="BI51" s="194">
        <v>3.2262672393847641E-2</v>
      </c>
      <c r="BJ51" s="194"/>
      <c r="BK51" s="194">
        <v>3.2948532568472681E-2</v>
      </c>
      <c r="BL51" s="192">
        <v>3.3765558621175154E-2</v>
      </c>
      <c r="BM51" s="192">
        <v>3.3583106085445208E-2</v>
      </c>
      <c r="BN51" s="194">
        <v>3.3062487299620198E-2</v>
      </c>
      <c r="BO51" s="194">
        <v>3.4014079372665929E-2</v>
      </c>
      <c r="BP51" s="194">
        <v>3.3553342674139307E-2</v>
      </c>
      <c r="BQ51" s="194">
        <v>3.2132456861936227E-2</v>
      </c>
      <c r="BR51" s="194">
        <v>3.3030571605377632E-2</v>
      </c>
      <c r="BS51" s="194">
        <v>3.3123805531238053E-2</v>
      </c>
      <c r="BT51" s="194">
        <v>3.3194094029390844E-2</v>
      </c>
      <c r="BU51" s="194">
        <v>3.3620376848371304E-2</v>
      </c>
      <c r="BV51" s="194">
        <v>3.401799704526122E-2</v>
      </c>
      <c r="BW51" s="194">
        <v>3.3881640709075005E-2</v>
      </c>
      <c r="BX51" s="194">
        <v>3.422586044565331E-2</v>
      </c>
      <c r="BY51" s="194">
        <v>3.4142593963776592E-2</v>
      </c>
      <c r="BZ51" s="194">
        <v>3.3728178642399381E-2</v>
      </c>
      <c r="CA51" s="194">
        <v>3.4416135160808797E-2</v>
      </c>
      <c r="CB51" s="194">
        <v>3.5329675596731724E-2</v>
      </c>
      <c r="CC51" s="194">
        <v>3.4854460324980158E-2</v>
      </c>
      <c r="CD51" s="194">
        <v>3.4288093969513801E-2</v>
      </c>
      <c r="CE51" s="194">
        <v>3.4211631788987278E-2</v>
      </c>
      <c r="CF51" s="194">
        <v>3.404688804312455E-2</v>
      </c>
      <c r="CG51" s="194">
        <v>3.4223894637817498E-2</v>
      </c>
      <c r="CH51" s="194">
        <v>3.3598221897454636E-2</v>
      </c>
      <c r="CI51" s="194">
        <v>3.3729135324880005E-2</v>
      </c>
      <c r="CJ51" s="194">
        <v>3.3846988199652164E-2</v>
      </c>
      <c r="CK51" s="194">
        <v>3.3210861591918155E-2</v>
      </c>
      <c r="CL51" s="194">
        <v>3.3135559968134318E-2</v>
      </c>
      <c r="CM51" s="194">
        <v>3.2613216780105876E-2</v>
      </c>
      <c r="CN51" s="194">
        <v>3.2349329481707483E-2</v>
      </c>
      <c r="CO51" s="194">
        <v>3.2885050889600781E-2</v>
      </c>
      <c r="CP51" s="194">
        <v>3.2191573204001213E-2</v>
      </c>
      <c r="CQ51" s="194">
        <v>3.3306005110732541E-2</v>
      </c>
      <c r="CR51" s="194">
        <v>3.2450686261721526E-2</v>
      </c>
      <c r="CS51" s="194">
        <v>3.3277069558811184E-2</v>
      </c>
      <c r="CT51" s="194">
        <v>3.3290441751227223E-2</v>
      </c>
      <c r="CU51" s="194">
        <v>3.327091553534408E-2</v>
      </c>
      <c r="CV51" s="194">
        <v>3.348684705134828E-2</v>
      </c>
      <c r="CW51" s="194">
        <v>3.3621229773462782E-2</v>
      </c>
      <c r="CX51" s="194">
        <v>3.3379134778741736E-2</v>
      </c>
      <c r="CY51" s="194">
        <v>3.3190448443170081E-2</v>
      </c>
      <c r="CZ51" s="194">
        <v>3.3378349252599332E-2</v>
      </c>
      <c r="DA51" s="194">
        <v>3.2607163679687697E-2</v>
      </c>
      <c r="DB51" s="194">
        <v>3.2564000199610754E-2</v>
      </c>
      <c r="DC51" s="194">
        <f>+(515.91+160.91)/DC23</f>
        <v>3.3123949307368734E-2</v>
      </c>
      <c r="DD51" s="194">
        <f>+(496.85+155.37)/DD23</f>
        <v>3.2688389762763344E-2</v>
      </c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</row>
    <row r="52" spans="1:121" s="75" customFormat="1" ht="18.75" x14ac:dyDescent="0.25">
      <c r="B52" s="114" t="s">
        <v>100</v>
      </c>
      <c r="BK52" s="118">
        <v>2332.56</v>
      </c>
      <c r="BL52" s="118">
        <v>2299.61</v>
      </c>
      <c r="BM52" s="118">
        <v>2328.3799999999997</v>
      </c>
      <c r="BN52" s="118">
        <v>2154.7400000000002</v>
      </c>
      <c r="BO52" s="118">
        <v>2301.3100000000004</v>
      </c>
      <c r="BP52" s="118">
        <v>2496.1799999999998</v>
      </c>
      <c r="BQ52" s="118">
        <v>2471.9500000000003</v>
      </c>
      <c r="BR52" s="118">
        <v>2681.51</v>
      </c>
      <c r="BS52" s="118">
        <v>2511.75</v>
      </c>
      <c r="BT52" s="118">
        <v>2666.91</v>
      </c>
      <c r="BU52" s="118">
        <v>2609.7599999999998</v>
      </c>
      <c r="BV52" s="118">
        <v>2795.9699999999993</v>
      </c>
      <c r="BW52" s="118">
        <v>2745.0200000000004</v>
      </c>
      <c r="BX52" s="118">
        <v>2393.2800000000002</v>
      </c>
      <c r="BY52" s="118">
        <v>2501.02</v>
      </c>
      <c r="BZ52" s="118">
        <v>2589.7600000000002</v>
      </c>
      <c r="CA52" s="118">
        <v>2239.1099999999997</v>
      </c>
      <c r="CB52" s="118">
        <v>2257.2200000000003</v>
      </c>
      <c r="CC52" s="118">
        <v>2063.08</v>
      </c>
      <c r="CD52" s="118">
        <v>2042.0400000000002</v>
      </c>
      <c r="CE52" s="118">
        <v>2261.67</v>
      </c>
      <c r="CF52" s="118">
        <v>2216.62</v>
      </c>
      <c r="CG52" s="118">
        <v>2217.0500000000002</v>
      </c>
      <c r="CH52" s="118">
        <v>2042.8600000000001</v>
      </c>
      <c r="CI52" s="118">
        <v>2118.0700000000002</v>
      </c>
      <c r="CJ52" s="118">
        <v>2014.1699999999998</v>
      </c>
      <c r="CK52" s="118">
        <v>1935.0699999999997</v>
      </c>
      <c r="CL52" s="118">
        <v>2082.4900000000002</v>
      </c>
      <c r="CM52" s="118">
        <v>2233.14</v>
      </c>
      <c r="CN52" s="118">
        <v>2277.4799999999996</v>
      </c>
      <c r="CO52" s="118">
        <v>2413.79</v>
      </c>
      <c r="CP52" s="118">
        <v>2350.4199999999996</v>
      </c>
      <c r="CQ52" s="118">
        <v>2407.1299999999997</v>
      </c>
      <c r="CR52" s="118">
        <v>2487.2799999999997</v>
      </c>
      <c r="CS52" s="118">
        <v>2635.9199999999996</v>
      </c>
      <c r="CT52" s="118">
        <v>2590.3700000000003</v>
      </c>
      <c r="CU52" s="118">
        <v>2613.0350354921616</v>
      </c>
      <c r="CV52" s="118">
        <v>2567.0500000000002</v>
      </c>
      <c r="CW52" s="118">
        <v>2435.7600000000007</v>
      </c>
      <c r="CX52" s="118">
        <v>2357.1999999999994</v>
      </c>
      <c r="CY52" s="118">
        <v>2184.7999999999997</v>
      </c>
      <c r="CZ52" s="118">
        <v>2239.04</v>
      </c>
      <c r="DA52" s="118">
        <v>2419.3999999999996</v>
      </c>
      <c r="DB52" s="118">
        <v>2457.4799999999996</v>
      </c>
      <c r="DC52" s="118">
        <f>+DC49*DC23</f>
        <v>2523.2199999999998</v>
      </c>
      <c r="DD52" s="118">
        <f>+DD49*DD23</f>
        <v>2449.15</v>
      </c>
    </row>
    <row r="53" spans="1:121" s="114" customFormat="1" ht="18.75" x14ac:dyDescent="0.25">
      <c r="B53" s="114" t="s">
        <v>101</v>
      </c>
      <c r="BK53" s="118">
        <v>722.33999999999992</v>
      </c>
      <c r="BL53" s="118">
        <v>715.33999999999992</v>
      </c>
      <c r="BM53" s="118">
        <v>722.1</v>
      </c>
      <c r="BN53" s="118">
        <v>661.01</v>
      </c>
      <c r="BO53" s="118">
        <v>697.48</v>
      </c>
      <c r="BP53" s="118">
        <v>750.46</v>
      </c>
      <c r="BQ53" s="118">
        <v>740.8</v>
      </c>
      <c r="BR53" s="118">
        <v>818.66000000000008</v>
      </c>
      <c r="BS53" s="118">
        <v>764.5</v>
      </c>
      <c r="BT53" s="118">
        <v>801.74</v>
      </c>
      <c r="BU53" s="118">
        <v>781.23</v>
      </c>
      <c r="BV53" s="118">
        <v>827.23</v>
      </c>
      <c r="BW53" s="118">
        <v>827.84999999999991</v>
      </c>
      <c r="BX53" s="118">
        <v>715.06</v>
      </c>
      <c r="BY53" s="118">
        <v>763.41000000000008</v>
      </c>
      <c r="BZ53" s="118">
        <v>807.65</v>
      </c>
      <c r="CA53" s="118">
        <v>692.01</v>
      </c>
      <c r="CB53" s="118">
        <v>686.98</v>
      </c>
      <c r="CC53" s="118">
        <v>633.4</v>
      </c>
      <c r="CD53" s="118">
        <v>598.71</v>
      </c>
      <c r="CE53" s="118">
        <v>658.88</v>
      </c>
      <c r="CF53" s="118">
        <v>654.6</v>
      </c>
      <c r="CG53" s="118">
        <v>668.69</v>
      </c>
      <c r="CH53" s="118">
        <v>605.42000000000007</v>
      </c>
      <c r="CI53" s="118">
        <v>658.94</v>
      </c>
      <c r="CJ53" s="118">
        <v>614.39</v>
      </c>
      <c r="CK53" s="118">
        <v>575.30999999999995</v>
      </c>
      <c r="CL53" s="118">
        <v>611.27</v>
      </c>
      <c r="CM53" s="118">
        <v>668.02</v>
      </c>
      <c r="CN53" s="118">
        <v>671.03</v>
      </c>
      <c r="CO53" s="118">
        <v>714.68000000000006</v>
      </c>
      <c r="CP53" s="118">
        <v>698.32999999999993</v>
      </c>
      <c r="CQ53" s="118">
        <v>727.4</v>
      </c>
      <c r="CR53" s="118">
        <v>691.83999999999992</v>
      </c>
      <c r="CS53" s="118">
        <v>748.27</v>
      </c>
      <c r="CT53" s="118">
        <v>758.93000000000006</v>
      </c>
      <c r="CU53" s="118">
        <v>775.83258782279711</v>
      </c>
      <c r="CV53" s="118">
        <v>767.48</v>
      </c>
      <c r="CW53" s="118">
        <v>745.21</v>
      </c>
      <c r="CX53" s="118">
        <v>715.43</v>
      </c>
      <c r="CY53" s="118">
        <v>662.8</v>
      </c>
      <c r="CZ53" s="118">
        <v>635.99</v>
      </c>
      <c r="DA53" s="118">
        <v>699.75999999999988</v>
      </c>
      <c r="DB53" s="118">
        <v>716.74</v>
      </c>
      <c r="DC53" s="118">
        <f>+DC50*DC23</f>
        <v>738</v>
      </c>
      <c r="DD53" s="118">
        <f>+DD50*DD23</f>
        <v>728.53</v>
      </c>
    </row>
    <row r="54" spans="1:121" s="114" customFormat="1" ht="18.75" x14ac:dyDescent="0.25">
      <c r="B54" s="114" t="s">
        <v>102</v>
      </c>
      <c r="BK54" s="118">
        <v>625.49</v>
      </c>
      <c r="BL54" s="118">
        <v>623.53</v>
      </c>
      <c r="BM54" s="118">
        <v>629.91999999999996</v>
      </c>
      <c r="BN54" s="118">
        <v>577.59999999999991</v>
      </c>
      <c r="BO54" s="118">
        <v>629.82000000000005</v>
      </c>
      <c r="BP54" s="118">
        <v>670.52999999999986</v>
      </c>
      <c r="BQ54" s="118">
        <v>658.19</v>
      </c>
      <c r="BR54" s="118">
        <v>728.59</v>
      </c>
      <c r="BS54" s="118">
        <v>671.61</v>
      </c>
      <c r="BT54" s="118">
        <v>716.38</v>
      </c>
      <c r="BU54" s="118">
        <v>708.81000000000006</v>
      </c>
      <c r="BV54" s="118">
        <v>759.8599999999999</v>
      </c>
      <c r="BW54" s="118">
        <v>739.87</v>
      </c>
      <c r="BX54" s="118">
        <v>654.33000000000004</v>
      </c>
      <c r="BY54" s="118">
        <v>675.53</v>
      </c>
      <c r="BZ54" s="118">
        <v>694.18999999999983</v>
      </c>
      <c r="CA54" s="118">
        <v>608.66999999999996</v>
      </c>
      <c r="CB54" s="118">
        <v>626.54000000000008</v>
      </c>
      <c r="CC54" s="118">
        <v>566.5</v>
      </c>
      <c r="CD54" s="118">
        <v>559.88</v>
      </c>
      <c r="CE54" s="118">
        <v>618.95000000000005</v>
      </c>
      <c r="CF54" s="118">
        <v>601.6</v>
      </c>
      <c r="CG54" s="118">
        <v>600.27</v>
      </c>
      <c r="CH54" s="118">
        <v>551.75</v>
      </c>
      <c r="CI54" s="118">
        <v>564.99</v>
      </c>
      <c r="CJ54" s="118">
        <v>542.97</v>
      </c>
      <c r="CK54" s="118">
        <v>516.13</v>
      </c>
      <c r="CL54" s="118">
        <v>557.36</v>
      </c>
      <c r="CM54" s="118">
        <v>586.49</v>
      </c>
      <c r="CN54" s="118">
        <v>598</v>
      </c>
      <c r="CO54" s="118">
        <v>637.48</v>
      </c>
      <c r="CP54" s="118">
        <v>610.65</v>
      </c>
      <c r="CQ54" s="118">
        <v>625.62</v>
      </c>
      <c r="CR54" s="118">
        <v>671.70000000000016</v>
      </c>
      <c r="CS54" s="118">
        <v>713.68</v>
      </c>
      <c r="CT54" s="118">
        <v>692.07</v>
      </c>
      <c r="CU54" s="118">
        <v>696.493345816893</v>
      </c>
      <c r="CV54" s="118">
        <v>690.4</v>
      </c>
      <c r="CW54" s="118">
        <v>649.30999999999995</v>
      </c>
      <c r="CX54" s="118">
        <v>626.75</v>
      </c>
      <c r="CY54" s="118">
        <v>575.29999999999995</v>
      </c>
      <c r="CZ54" s="118">
        <v>611.72</v>
      </c>
      <c r="DA54" s="118">
        <v>643.16</v>
      </c>
      <c r="DB54" s="118">
        <v>652.54999999999995</v>
      </c>
      <c r="DC54" s="118">
        <f>+DC51*DC23</f>
        <v>676.82</v>
      </c>
      <c r="DD54" s="118">
        <f>+DD51*DD23</f>
        <v>652.22</v>
      </c>
    </row>
    <row r="55" spans="1:121" s="114" customFormat="1" ht="18.75" x14ac:dyDescent="0.25">
      <c r="B55" s="114" t="s">
        <v>103</v>
      </c>
      <c r="BK55" s="118">
        <v>984.73</v>
      </c>
      <c r="BL55" s="118">
        <v>960.74000000000024</v>
      </c>
      <c r="BM55" s="118">
        <v>976.35999999999956</v>
      </c>
      <c r="BN55" s="118">
        <v>916.13000000000034</v>
      </c>
      <c r="BO55" s="118">
        <v>974.01000000000022</v>
      </c>
      <c r="BP55" s="118">
        <v>1075.19</v>
      </c>
      <c r="BQ55" s="118">
        <v>1072.9600000000003</v>
      </c>
      <c r="BR55" s="118">
        <v>1134.26</v>
      </c>
      <c r="BS55" s="118">
        <v>1075.6400000000001</v>
      </c>
      <c r="BT55" s="118">
        <v>1148.79</v>
      </c>
      <c r="BU55" s="118">
        <v>1119.72</v>
      </c>
      <c r="BV55" s="118">
        <v>1208.8800000000001</v>
      </c>
      <c r="BW55" s="118">
        <v>1177.3</v>
      </c>
      <c r="BX55" s="118">
        <v>1023.89</v>
      </c>
      <c r="BY55" s="118">
        <v>1062.08</v>
      </c>
      <c r="BZ55" s="118">
        <v>1062.08</v>
      </c>
      <c r="CA55" s="118">
        <v>938.42999999999961</v>
      </c>
      <c r="CB55" s="118">
        <v>943.70000000000027</v>
      </c>
      <c r="CC55" s="118">
        <v>863.18</v>
      </c>
      <c r="CD55" s="118">
        <v>883.45</v>
      </c>
      <c r="CE55" s="118">
        <v>983.84</v>
      </c>
      <c r="CF55" s="118">
        <v>960.42</v>
      </c>
      <c r="CG55" s="118">
        <v>948.09000000000015</v>
      </c>
      <c r="CH55" s="118">
        <v>885.69</v>
      </c>
      <c r="CI55" s="118">
        <v>894.1400000000001</v>
      </c>
      <c r="CJ55" s="118">
        <v>856.80999999999972</v>
      </c>
      <c r="CK55" s="118">
        <v>843.62999999999977</v>
      </c>
      <c r="CL55" s="118">
        <v>913.86000000000024</v>
      </c>
      <c r="CM55" s="118">
        <v>978.62999999999988</v>
      </c>
      <c r="CN55" s="118">
        <v>1008.4499999999996</v>
      </c>
      <c r="CO55" s="118">
        <v>1061.6299999999999</v>
      </c>
      <c r="CP55" s="118">
        <v>1041.4399999999996</v>
      </c>
      <c r="CQ55" s="118">
        <v>1054.1099999999997</v>
      </c>
      <c r="CR55" s="118">
        <v>1123.7399999999998</v>
      </c>
      <c r="CS55" s="118">
        <v>1173.9699999999998</v>
      </c>
      <c r="CT55" s="118">
        <v>1139.3700000000003</v>
      </c>
      <c r="CU55" s="118">
        <v>1140.7091018524716</v>
      </c>
      <c r="CV55" s="118">
        <v>1109.17</v>
      </c>
      <c r="CW55" s="118">
        <v>1041.2400000000007</v>
      </c>
      <c r="CX55" s="118">
        <v>1015.0199999999995</v>
      </c>
      <c r="CY55" s="118">
        <v>946.69999999999982</v>
      </c>
      <c r="CZ55" s="118">
        <v>991.32999999999993</v>
      </c>
      <c r="DA55" s="118">
        <v>1076.48</v>
      </c>
      <c r="DB55" s="118">
        <v>1088.1899999999996</v>
      </c>
      <c r="DC55" s="118">
        <f>+DC52-DC53-DC54</f>
        <v>1108.3999999999996</v>
      </c>
      <c r="DD55" s="118">
        <f>+DD52-DD53-DD54</f>
        <v>1068.4000000000001</v>
      </c>
    </row>
    <row r="56" spans="1:121" s="114" customFormat="1" ht="18.75" x14ac:dyDescent="0.25">
      <c r="B56" s="114" t="s">
        <v>104</v>
      </c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6">
        <v>325000</v>
      </c>
      <c r="CL56" s="116">
        <v>194000</v>
      </c>
      <c r="CM56" s="116">
        <v>322000</v>
      </c>
      <c r="CN56" s="116">
        <v>317000</v>
      </c>
      <c r="CO56" s="116">
        <v>291000</v>
      </c>
      <c r="CP56" s="116">
        <v>300000</v>
      </c>
      <c r="CQ56" s="116">
        <v>205000</v>
      </c>
      <c r="CS56" s="116">
        <v>231000</v>
      </c>
      <c r="CT56" s="116">
        <v>179000</v>
      </c>
      <c r="CU56" s="116">
        <v>217000</v>
      </c>
      <c r="CV56" s="116">
        <v>254000</v>
      </c>
      <c r="CW56" s="116">
        <v>257000</v>
      </c>
      <c r="CX56" s="116">
        <v>248000</v>
      </c>
      <c r="CY56" s="198">
        <v>333000</v>
      </c>
      <c r="CZ56" s="116">
        <v>256000</v>
      </c>
      <c r="DA56" s="116">
        <v>195000</v>
      </c>
      <c r="DB56" s="116">
        <v>232000</v>
      </c>
      <c r="DC56" s="116">
        <v>237000</v>
      </c>
      <c r="DD56" s="115">
        <v>222000</v>
      </c>
    </row>
    <row r="57" spans="1:121" s="114" customFormat="1" ht="18.75" x14ac:dyDescent="0.25">
      <c r="B57" s="114" t="s">
        <v>105</v>
      </c>
      <c r="CK57" s="116">
        <v>459000</v>
      </c>
      <c r="CL57" s="116">
        <v>224000</v>
      </c>
      <c r="CM57" s="116">
        <v>371000</v>
      </c>
      <c r="CN57" s="116">
        <v>403000</v>
      </c>
      <c r="CO57" s="116">
        <v>354000</v>
      </c>
      <c r="CP57" s="116">
        <v>252000</v>
      </c>
      <c r="CQ57" s="116">
        <v>343000</v>
      </c>
      <c r="CS57" s="116">
        <v>405000</v>
      </c>
      <c r="CT57" s="116">
        <v>230000</v>
      </c>
      <c r="CU57" s="198">
        <v>397000</v>
      </c>
      <c r="CV57" s="198">
        <v>501000</v>
      </c>
      <c r="CW57" s="116">
        <v>427000</v>
      </c>
      <c r="CX57" s="116">
        <v>386000</v>
      </c>
      <c r="CY57" s="198">
        <v>533000</v>
      </c>
      <c r="CZ57" s="198">
        <v>407000</v>
      </c>
      <c r="DA57" s="198">
        <v>603000</v>
      </c>
      <c r="DB57" s="198">
        <v>497000</v>
      </c>
      <c r="DC57" s="198">
        <v>394000</v>
      </c>
      <c r="DD57" s="118">
        <v>205000</v>
      </c>
    </row>
    <row r="58" spans="1:121" s="75" customFormat="1" x14ac:dyDescent="0.25"/>
    <row r="59" spans="1:121" s="75" customFormat="1" x14ac:dyDescent="0.25"/>
    <row r="60" spans="1:121" s="75" customFormat="1" x14ac:dyDescent="0.25"/>
    <row r="61" spans="1:121" s="75" customFormat="1" x14ac:dyDescent="0.25"/>
    <row r="62" spans="1:121" s="75" customFormat="1" x14ac:dyDescent="0.25"/>
    <row r="63" spans="1:121" s="75" customFormat="1" x14ac:dyDescent="0.25"/>
    <row r="64" spans="1:121" s="75" customFormat="1" x14ac:dyDescent="0.25"/>
    <row r="65" s="75" customFormat="1" x14ac:dyDescent="0.25"/>
    <row r="66" s="75" customFormat="1" x14ac:dyDescent="0.25"/>
    <row r="67" s="75" customFormat="1" x14ac:dyDescent="0.25"/>
    <row r="68" s="75" customFormat="1" x14ac:dyDescent="0.25"/>
    <row r="69" s="75" customFormat="1" x14ac:dyDescent="0.25"/>
    <row r="70" s="75" customFormat="1" x14ac:dyDescent="0.25"/>
    <row r="71" s="75" customFormat="1" x14ac:dyDescent="0.25"/>
    <row r="72" s="75" customFormat="1" x14ac:dyDescent="0.25"/>
    <row r="73" s="75" customFormat="1" x14ac:dyDescent="0.25"/>
    <row r="74" s="75" customFormat="1" x14ac:dyDescent="0.25"/>
    <row r="75" s="75" customFormat="1" x14ac:dyDescent="0.25"/>
    <row r="76" s="75" customFormat="1" x14ac:dyDescent="0.25"/>
    <row r="77" s="75" customFormat="1" x14ac:dyDescent="0.25"/>
    <row r="78" s="75" customFormat="1" x14ac:dyDescent="0.25"/>
    <row r="79" s="75" customFormat="1" x14ac:dyDescent="0.25"/>
    <row r="80" s="75" customFormat="1" x14ac:dyDescent="0.25"/>
    <row r="81" s="75" customFormat="1" x14ac:dyDescent="0.25"/>
    <row r="82" s="75" customFormat="1" x14ac:dyDescent="0.25"/>
    <row r="83" s="75" customFormat="1" x14ac:dyDescent="0.25"/>
    <row r="84" s="75" customFormat="1" x14ac:dyDescent="0.25"/>
    <row r="85" s="75" customFormat="1" x14ac:dyDescent="0.25"/>
    <row r="86" s="75" customFormat="1" x14ac:dyDescent="0.25"/>
    <row r="87" s="75" customFormat="1" x14ac:dyDescent="0.25"/>
    <row r="88" s="75" customFormat="1" x14ac:dyDescent="0.25"/>
    <row r="89" s="75" customFormat="1" x14ac:dyDescent="0.25"/>
    <row r="90" s="75" customFormat="1" x14ac:dyDescent="0.25"/>
    <row r="91" s="75" customFormat="1" x14ac:dyDescent="0.25"/>
    <row r="92" s="75" customFormat="1" x14ac:dyDescent="0.25"/>
    <row r="93" s="75" customFormat="1" x14ac:dyDescent="0.25"/>
    <row r="94" s="75" customFormat="1" x14ac:dyDescent="0.25"/>
    <row r="95" s="75" customFormat="1" x14ac:dyDescent="0.25"/>
    <row r="96" s="75" customFormat="1" x14ac:dyDescent="0.25"/>
    <row r="97" s="75" customFormat="1" x14ac:dyDescent="0.25"/>
    <row r="98" s="75" customFormat="1" x14ac:dyDescent="0.25"/>
    <row r="99" s="75" customFormat="1" x14ac:dyDescent="0.25"/>
    <row r="100" s="75" customFormat="1" x14ac:dyDescent="0.25"/>
    <row r="101" s="75" customFormat="1" x14ac:dyDescent="0.25"/>
    <row r="102" s="75" customFormat="1" x14ac:dyDescent="0.25"/>
    <row r="103" s="75" customFormat="1" x14ac:dyDescent="0.25"/>
    <row r="104" s="75" customFormat="1" x14ac:dyDescent="0.25"/>
    <row r="105" s="75" customFormat="1" x14ac:dyDescent="0.25"/>
    <row r="106" s="75" customFormat="1" x14ac:dyDescent="0.25"/>
    <row r="107" s="75" customFormat="1" x14ac:dyDescent="0.25"/>
    <row r="108" s="75" customFormat="1" x14ac:dyDescent="0.25"/>
    <row r="109" s="75" customFormat="1" x14ac:dyDescent="0.25"/>
    <row r="110" s="75" customFormat="1" x14ac:dyDescent="0.25"/>
    <row r="111" s="75" customFormat="1" x14ac:dyDescent="0.25"/>
    <row r="112" s="75" customFormat="1" x14ac:dyDescent="0.25"/>
    <row r="113" s="75" customFormat="1" x14ac:dyDescent="0.25"/>
    <row r="114" s="75" customFormat="1" x14ac:dyDescent="0.25"/>
    <row r="115" s="75" customFormat="1" x14ac:dyDescent="0.25"/>
    <row r="116" s="75" customFormat="1" x14ac:dyDescent="0.25"/>
    <row r="117" s="75" customFormat="1" x14ac:dyDescent="0.25"/>
    <row r="118" s="75" customFormat="1" x14ac:dyDescent="0.25"/>
    <row r="119" s="75" customFormat="1" x14ac:dyDescent="0.25"/>
    <row r="120" s="75" customFormat="1" x14ac:dyDescent="0.25"/>
    <row r="121" s="75" customFormat="1" x14ac:dyDescent="0.25"/>
    <row r="122" s="75" customFormat="1" x14ac:dyDescent="0.25"/>
    <row r="123" s="75" customFormat="1" x14ac:dyDescent="0.25"/>
    <row r="124" s="75" customFormat="1" x14ac:dyDescent="0.25"/>
    <row r="125" s="75" customFormat="1" x14ac:dyDescent="0.25"/>
    <row r="126" s="75" customFormat="1" x14ac:dyDescent="0.25"/>
    <row r="127" s="75" customFormat="1" x14ac:dyDescent="0.25"/>
    <row r="128" s="75" customFormat="1" x14ac:dyDescent="0.25"/>
    <row r="129" s="75" customFormat="1" x14ac:dyDescent="0.25"/>
    <row r="130" s="75" customFormat="1" x14ac:dyDescent="0.25"/>
    <row r="131" s="75" customFormat="1" x14ac:dyDescent="0.25"/>
    <row r="132" s="75" customFormat="1" x14ac:dyDescent="0.25"/>
    <row r="133" s="75" customFormat="1" x14ac:dyDescent="0.25"/>
    <row r="134" s="75" customFormat="1" x14ac:dyDescent="0.25"/>
    <row r="135" s="75" customFormat="1" x14ac:dyDescent="0.25"/>
    <row r="136" s="75" customFormat="1" x14ac:dyDescent="0.25"/>
    <row r="137" s="75" customFormat="1" x14ac:dyDescent="0.25"/>
    <row r="138" s="75" customFormat="1" x14ac:dyDescent="0.25"/>
    <row r="139" s="75" customFormat="1" x14ac:dyDescent="0.25"/>
    <row r="140" s="75" customFormat="1" x14ac:dyDescent="0.25"/>
    <row r="141" s="75" customFormat="1" x14ac:dyDescent="0.25"/>
    <row r="142" s="75" customFormat="1" x14ac:dyDescent="0.25"/>
    <row r="143" s="75" customFormat="1" x14ac:dyDescent="0.25"/>
    <row r="144" s="75" customFormat="1" x14ac:dyDescent="0.25"/>
    <row r="145" s="75" customFormat="1" x14ac:dyDescent="0.25"/>
    <row r="146" s="75" customFormat="1" x14ac:dyDescent="0.25"/>
    <row r="147" s="75" customFormat="1" x14ac:dyDescent="0.25"/>
    <row r="148" s="75" customFormat="1" x14ac:dyDescent="0.25"/>
    <row r="149" s="75" customFormat="1" x14ac:dyDescent="0.25"/>
    <row r="150" s="75" customFormat="1" x14ac:dyDescent="0.25"/>
    <row r="151" s="75" customFormat="1" x14ac:dyDescent="0.25"/>
    <row r="152" s="75" customFormat="1" x14ac:dyDescent="0.25"/>
    <row r="153" s="75" customFormat="1" x14ac:dyDescent="0.25"/>
    <row r="154" s="75" customFormat="1" x14ac:dyDescent="0.25"/>
    <row r="155" s="75" customFormat="1" x14ac:dyDescent="0.25"/>
    <row r="156" s="75" customFormat="1" x14ac:dyDescent="0.25"/>
    <row r="157" s="75" customFormat="1" x14ac:dyDescent="0.25"/>
    <row r="158" s="75" customFormat="1" x14ac:dyDescent="0.25"/>
    <row r="159" s="75" customFormat="1" x14ac:dyDescent="0.25"/>
    <row r="160" s="75" customFormat="1" x14ac:dyDescent="0.25"/>
    <row r="161" s="75" customFormat="1" x14ac:dyDescent="0.25"/>
    <row r="162" s="75" customFormat="1" x14ac:dyDescent="0.25"/>
    <row r="163" s="75" customFormat="1" x14ac:dyDescent="0.25"/>
    <row r="164" s="75" customFormat="1" x14ac:dyDescent="0.25"/>
    <row r="165" s="75" customFormat="1" x14ac:dyDescent="0.25"/>
    <row r="166" s="75" customFormat="1" x14ac:dyDescent="0.25"/>
    <row r="167" s="75" customFormat="1" x14ac:dyDescent="0.25"/>
    <row r="168" s="75" customFormat="1" x14ac:dyDescent="0.25"/>
    <row r="169" s="75" customFormat="1" x14ac:dyDescent="0.25"/>
    <row r="170" s="75" customFormat="1" x14ac:dyDescent="0.25"/>
    <row r="171" s="75" customFormat="1" x14ac:dyDescent="0.25"/>
    <row r="172" s="75" customFormat="1" x14ac:dyDescent="0.25"/>
    <row r="173" s="75" customFormat="1" x14ac:dyDescent="0.25"/>
    <row r="174" s="75" customFormat="1" x14ac:dyDescent="0.25"/>
    <row r="175" s="75" customFormat="1" x14ac:dyDescent="0.25"/>
    <row r="176" s="75" customFormat="1" x14ac:dyDescent="0.25"/>
    <row r="177" s="75" customFormat="1" x14ac:dyDescent="0.25"/>
    <row r="178" s="75" customFormat="1" x14ac:dyDescent="0.25"/>
    <row r="179" s="75" customFormat="1" x14ac:dyDescent="0.25"/>
    <row r="180" s="75" customFormat="1" x14ac:dyDescent="0.25"/>
    <row r="181" s="75" customFormat="1" x14ac:dyDescent="0.25"/>
    <row r="182" s="75" customFormat="1" x14ac:dyDescent="0.25"/>
    <row r="183" s="75" customFormat="1" x14ac:dyDescent="0.25"/>
    <row r="184" s="75" customFormat="1" x14ac:dyDescent="0.25"/>
    <row r="185" s="75" customFormat="1" x14ac:dyDescent="0.25"/>
    <row r="186" s="75" customFormat="1" x14ac:dyDescent="0.25"/>
    <row r="187" s="75" customFormat="1" x14ac:dyDescent="0.25"/>
    <row r="188" s="75" customFormat="1" x14ac:dyDescent="0.25"/>
    <row r="189" s="75" customFormat="1" x14ac:dyDescent="0.25"/>
    <row r="190" s="75" customFormat="1" x14ac:dyDescent="0.25"/>
    <row r="191" s="75" customFormat="1" x14ac:dyDescent="0.25"/>
    <row r="192" s="75" customFormat="1" x14ac:dyDescent="0.25"/>
    <row r="193" s="75" customFormat="1" x14ac:dyDescent="0.25"/>
    <row r="194" s="75" customFormat="1" x14ac:dyDescent="0.25"/>
    <row r="195" s="75" customFormat="1" x14ac:dyDescent="0.25"/>
    <row r="196" s="75" customFormat="1" x14ac:dyDescent="0.25"/>
    <row r="197" s="75" customFormat="1" x14ac:dyDescent="0.25"/>
    <row r="198" s="75" customFormat="1" x14ac:dyDescent="0.25"/>
    <row r="199" s="75" customFormat="1" x14ac:dyDescent="0.25"/>
    <row r="200" s="75" customFormat="1" x14ac:dyDescent="0.25"/>
    <row r="201" s="75" customFormat="1" x14ac:dyDescent="0.25"/>
    <row r="202" s="75" customFormat="1" x14ac:dyDescent="0.25"/>
    <row r="203" s="75" customFormat="1" x14ac:dyDescent="0.25"/>
    <row r="204" s="75" customFormat="1" x14ac:dyDescent="0.25"/>
    <row r="205" s="75" customFormat="1" x14ac:dyDescent="0.25"/>
    <row r="206" s="75" customFormat="1" x14ac:dyDescent="0.25"/>
    <row r="207" s="75" customFormat="1" x14ac:dyDescent="0.25"/>
    <row r="208" s="75" customFormat="1" x14ac:dyDescent="0.25"/>
    <row r="209" s="75" customFormat="1" x14ac:dyDescent="0.25"/>
    <row r="210" s="75" customFormat="1" x14ac:dyDescent="0.25"/>
    <row r="211" s="75" customFormat="1" x14ac:dyDescent="0.25"/>
    <row r="212" s="75" customFormat="1" x14ac:dyDescent="0.25"/>
    <row r="213" s="75" customFormat="1" x14ac:dyDescent="0.25"/>
    <row r="214" s="75" customFormat="1" x14ac:dyDescent="0.25"/>
    <row r="215" s="75" customFormat="1" x14ac:dyDescent="0.25"/>
    <row r="216" s="75" customFormat="1" x14ac:dyDescent="0.25"/>
    <row r="217" s="75" customFormat="1" x14ac:dyDescent="0.25"/>
    <row r="218" s="75" customFormat="1" x14ac:dyDescent="0.25"/>
    <row r="219" s="75" customFormat="1" x14ac:dyDescent="0.25"/>
    <row r="220" s="75" customFormat="1" x14ac:dyDescent="0.25"/>
    <row r="221" s="75" customFormat="1" x14ac:dyDescent="0.25"/>
    <row r="222" s="75" customFormat="1" x14ac:dyDescent="0.25"/>
    <row r="223" s="75" customFormat="1" x14ac:dyDescent="0.25"/>
    <row r="224" s="75" customFormat="1" x14ac:dyDescent="0.25"/>
    <row r="225" s="75" customFormat="1" x14ac:dyDescent="0.25"/>
    <row r="226" s="75" customFormat="1" x14ac:dyDescent="0.25"/>
    <row r="227" s="75" customFormat="1" x14ac:dyDescent="0.25"/>
    <row r="228" s="75" customFormat="1" x14ac:dyDescent="0.25"/>
    <row r="229" s="75" customFormat="1" x14ac:dyDescent="0.25"/>
    <row r="230" s="75" customFormat="1" x14ac:dyDescent="0.25"/>
    <row r="231" s="75" customFormat="1" x14ac:dyDescent="0.25"/>
    <row r="232" s="75" customFormat="1" x14ac:dyDescent="0.25"/>
    <row r="233" s="75" customFormat="1" x14ac:dyDescent="0.25"/>
    <row r="234" s="75" customFormat="1" x14ac:dyDescent="0.25"/>
    <row r="235" s="75" customFormat="1" x14ac:dyDescent="0.25"/>
    <row r="236" s="75" customFormat="1" x14ac:dyDescent="0.25"/>
    <row r="237" s="75" customFormat="1" x14ac:dyDescent="0.25"/>
    <row r="238" s="75" customFormat="1" x14ac:dyDescent="0.25"/>
    <row r="239" s="75" customFormat="1" x14ac:dyDescent="0.25"/>
    <row r="240" s="75" customFormat="1" x14ac:dyDescent="0.25"/>
    <row r="241" s="75" customFormat="1" x14ac:dyDescent="0.25"/>
    <row r="242" s="75" customFormat="1" x14ac:dyDescent="0.25"/>
    <row r="243" s="75" customFormat="1" x14ac:dyDescent="0.25"/>
    <row r="244" s="75" customFormat="1" x14ac:dyDescent="0.25"/>
    <row r="245" s="75" customFormat="1" x14ac:dyDescent="0.25"/>
    <row r="246" s="75" customFormat="1" x14ac:dyDescent="0.25"/>
    <row r="247" s="75" customFormat="1" x14ac:dyDescent="0.25"/>
    <row r="248" s="75" customFormat="1" x14ac:dyDescent="0.25"/>
    <row r="249" s="75" customFormat="1" x14ac:dyDescent="0.25"/>
    <row r="250" s="75" customFormat="1" x14ac:dyDescent="0.25"/>
    <row r="251" s="75" customFormat="1" x14ac:dyDescent="0.25"/>
    <row r="252" s="75" customFormat="1" x14ac:dyDescent="0.25"/>
    <row r="253" s="75" customFormat="1" x14ac:dyDescent="0.25"/>
    <row r="254" s="75" customFormat="1" x14ac:dyDescent="0.25"/>
    <row r="255" s="75" customFormat="1" x14ac:dyDescent="0.25"/>
    <row r="256" s="75" customFormat="1" x14ac:dyDescent="0.25"/>
    <row r="257" s="75" customFormat="1" x14ac:dyDescent="0.25"/>
    <row r="258" s="75" customFormat="1" x14ac:dyDescent="0.25"/>
    <row r="259" s="75" customFormat="1" x14ac:dyDescent="0.25"/>
    <row r="260" s="75" customFormat="1" x14ac:dyDescent="0.25"/>
    <row r="261" s="75" customFormat="1" x14ac:dyDescent="0.25"/>
    <row r="262" s="75" customFormat="1" x14ac:dyDescent="0.25"/>
    <row r="263" s="75" customFormat="1" x14ac:dyDescent="0.25"/>
    <row r="264" s="75" customFormat="1" x14ac:dyDescent="0.25"/>
    <row r="265" s="75" customFormat="1" x14ac:dyDescent="0.25"/>
    <row r="266" s="75" customFormat="1" x14ac:dyDescent="0.25"/>
    <row r="267" s="75" customFormat="1" x14ac:dyDescent="0.25"/>
    <row r="268" s="75" customFormat="1" x14ac:dyDescent="0.25"/>
    <row r="269" s="75" customFormat="1" x14ac:dyDescent="0.25"/>
    <row r="270" s="75" customFormat="1" x14ac:dyDescent="0.25"/>
    <row r="271" s="75" customFormat="1" x14ac:dyDescent="0.25"/>
    <row r="272" s="75" customFormat="1" x14ac:dyDescent="0.25"/>
    <row r="273" s="75" customFormat="1" x14ac:dyDescent="0.25"/>
    <row r="274" s="75" customFormat="1" x14ac:dyDescent="0.25"/>
    <row r="275" s="75" customFormat="1" x14ac:dyDescent="0.25"/>
    <row r="276" s="75" customFormat="1" x14ac:dyDescent="0.25"/>
    <row r="277" s="75" customFormat="1" x14ac:dyDescent="0.25"/>
    <row r="278" s="75" customFormat="1" x14ac:dyDescent="0.25"/>
    <row r="279" s="75" customFormat="1" x14ac:dyDescent="0.25"/>
    <row r="280" s="75" customFormat="1" x14ac:dyDescent="0.25"/>
    <row r="281" s="75" customFormat="1" x14ac:dyDescent="0.25"/>
    <row r="282" s="75" customFormat="1" x14ac:dyDescent="0.25"/>
    <row r="283" s="75" customFormat="1" x14ac:dyDescent="0.25"/>
    <row r="284" s="75" customFormat="1" x14ac:dyDescent="0.25"/>
    <row r="285" s="75" customFormat="1" x14ac:dyDescent="0.25"/>
    <row r="286" s="75" customFormat="1" x14ac:dyDescent="0.25"/>
    <row r="287" s="75" customFormat="1" x14ac:dyDescent="0.25"/>
    <row r="288" s="75" customFormat="1" x14ac:dyDescent="0.25"/>
    <row r="289" s="75" customFormat="1" x14ac:dyDescent="0.25"/>
    <row r="290" s="75" customFormat="1" x14ac:dyDescent="0.25"/>
    <row r="291" s="75" customFormat="1" x14ac:dyDescent="0.25"/>
    <row r="292" s="75" customFormat="1" x14ac:dyDescent="0.25"/>
    <row r="293" s="75" customFormat="1" x14ac:dyDescent="0.25"/>
    <row r="294" s="75" customFormat="1" x14ac:dyDescent="0.25"/>
    <row r="295" s="75" customFormat="1" x14ac:dyDescent="0.25"/>
    <row r="296" s="75" customFormat="1" x14ac:dyDescent="0.25"/>
    <row r="297" s="75" customFormat="1" x14ac:dyDescent="0.25"/>
    <row r="298" s="75" customFormat="1" x14ac:dyDescent="0.25"/>
    <row r="299" s="75" customFormat="1" x14ac:dyDescent="0.25"/>
    <row r="300" s="75" customFormat="1" x14ac:dyDescent="0.25"/>
    <row r="301" s="75" customFormat="1" x14ac:dyDescent="0.25"/>
    <row r="302" s="75" customFormat="1" x14ac:dyDescent="0.25"/>
    <row r="303" s="75" customFormat="1" x14ac:dyDescent="0.25"/>
    <row r="304" s="75" customFormat="1" x14ac:dyDescent="0.25"/>
    <row r="305" s="75" customFormat="1" x14ac:dyDescent="0.25"/>
    <row r="306" s="75" customFormat="1" x14ac:dyDescent="0.25"/>
    <row r="307" s="75" customFormat="1" x14ac:dyDescent="0.25"/>
    <row r="308" s="75" customFormat="1" x14ac:dyDescent="0.25"/>
    <row r="309" s="75" customFormat="1" x14ac:dyDescent="0.25"/>
    <row r="310" s="75" customFormat="1" x14ac:dyDescent="0.25"/>
    <row r="311" s="75" customFormat="1" x14ac:dyDescent="0.25"/>
    <row r="312" s="75" customFormat="1" x14ac:dyDescent="0.25"/>
    <row r="313" s="75" customFormat="1" x14ac:dyDescent="0.25"/>
    <row r="314" s="75" customFormat="1" x14ac:dyDescent="0.25"/>
    <row r="315" s="75" customFormat="1" x14ac:dyDescent="0.25"/>
    <row r="316" s="75" customFormat="1" x14ac:dyDescent="0.25"/>
    <row r="317" s="75" customFormat="1" x14ac:dyDescent="0.25"/>
    <row r="318" s="75" customFormat="1" x14ac:dyDescent="0.25"/>
    <row r="319" s="75" customFormat="1" x14ac:dyDescent="0.25"/>
    <row r="320" s="75" customFormat="1" x14ac:dyDescent="0.25"/>
    <row r="321" s="75" customFormat="1" x14ac:dyDescent="0.25"/>
    <row r="322" s="75" customFormat="1" x14ac:dyDescent="0.25"/>
    <row r="323" s="75" customFormat="1" x14ac:dyDescent="0.25"/>
    <row r="324" s="75" customFormat="1" x14ac:dyDescent="0.25"/>
    <row r="325" s="75" customFormat="1" x14ac:dyDescent="0.25"/>
    <row r="326" s="75" customFormat="1" x14ac:dyDescent="0.25"/>
    <row r="327" s="75" customFormat="1" x14ac:dyDescent="0.25"/>
    <row r="328" s="75" customFormat="1" x14ac:dyDescent="0.25"/>
    <row r="329" s="75" customFormat="1" x14ac:dyDescent="0.25"/>
    <row r="330" s="75" customFormat="1" x14ac:dyDescent="0.25"/>
    <row r="331" s="75" customFormat="1" x14ac:dyDescent="0.25"/>
    <row r="332" s="75" customFormat="1" x14ac:dyDescent="0.25"/>
    <row r="333" s="75" customFormat="1" x14ac:dyDescent="0.25"/>
    <row r="334" s="75" customFormat="1" x14ac:dyDescent="0.25"/>
    <row r="335" s="75" customFormat="1" x14ac:dyDescent="0.25"/>
    <row r="336" s="75" customFormat="1" x14ac:dyDescent="0.25"/>
    <row r="337" s="75" customFormat="1" x14ac:dyDescent="0.25"/>
    <row r="338" s="75" customFormat="1" x14ac:dyDescent="0.25"/>
    <row r="339" s="75" customFormat="1" x14ac:dyDescent="0.25"/>
    <row r="340" s="75" customFormat="1" x14ac:dyDescent="0.25"/>
    <row r="341" s="75" customFormat="1" x14ac:dyDescent="0.25"/>
    <row r="342" s="75" customFormat="1" x14ac:dyDescent="0.25"/>
    <row r="343" s="75" customFormat="1" x14ac:dyDescent="0.25"/>
    <row r="344" s="75" customFormat="1" x14ac:dyDescent="0.25"/>
    <row r="345" s="75" customFormat="1" x14ac:dyDescent="0.25"/>
    <row r="346" s="75" customFormat="1" x14ac:dyDescent="0.25"/>
    <row r="347" s="75" customFormat="1" x14ac:dyDescent="0.25"/>
    <row r="348" s="75" customFormat="1" x14ac:dyDescent="0.25"/>
    <row r="349" s="75" customFormat="1" x14ac:dyDescent="0.25"/>
    <row r="350" s="75" customFormat="1" x14ac:dyDescent="0.25"/>
    <row r="351" s="75" customFormat="1" x14ac:dyDescent="0.25"/>
    <row r="352" s="75" customFormat="1" x14ac:dyDescent="0.25"/>
    <row r="353" s="75" customFormat="1" x14ac:dyDescent="0.25"/>
    <row r="354" s="75" customFormat="1" x14ac:dyDescent="0.25"/>
    <row r="355" s="75" customFormat="1" x14ac:dyDescent="0.25"/>
    <row r="356" s="75" customFormat="1" x14ac:dyDescent="0.25"/>
    <row r="357" s="75" customFormat="1" x14ac:dyDescent="0.25"/>
    <row r="358" s="75" customFormat="1" x14ac:dyDescent="0.25"/>
    <row r="359" s="75" customFormat="1" x14ac:dyDescent="0.25"/>
    <row r="360" s="75" customFormat="1" x14ac:dyDescent="0.25"/>
    <row r="361" s="75" customFormat="1" x14ac:dyDescent="0.25"/>
    <row r="362" s="75" customFormat="1" x14ac:dyDescent="0.25"/>
    <row r="363" s="75" customFormat="1" x14ac:dyDescent="0.25"/>
    <row r="364" s="75" customFormat="1" x14ac:dyDescent="0.25"/>
    <row r="365" s="75" customFormat="1" x14ac:dyDescent="0.25"/>
    <row r="366" s="75" customFormat="1" x14ac:dyDescent="0.25"/>
    <row r="367" s="75" customFormat="1" x14ac:dyDescent="0.25"/>
    <row r="368" s="75" customFormat="1" x14ac:dyDescent="0.25"/>
    <row r="369" s="75" customFormat="1" x14ac:dyDescent="0.25"/>
    <row r="370" s="75" customFormat="1" x14ac:dyDescent="0.25"/>
    <row r="371" s="75" customFormat="1" x14ac:dyDescent="0.25"/>
    <row r="372" s="75" customFormat="1" x14ac:dyDescent="0.25"/>
    <row r="373" s="75" customFormat="1" x14ac:dyDescent="0.25"/>
    <row r="374" s="75" customFormat="1" x14ac:dyDescent="0.25"/>
    <row r="375" s="75" customFormat="1" x14ac:dyDescent="0.25"/>
    <row r="376" s="75" customFormat="1" x14ac:dyDescent="0.25"/>
    <row r="377" s="75" customFormat="1" x14ac:dyDescent="0.25"/>
    <row r="378" s="75" customFormat="1" x14ac:dyDescent="0.25"/>
    <row r="379" s="75" customFormat="1" x14ac:dyDescent="0.25"/>
    <row r="380" s="75" customFormat="1" x14ac:dyDescent="0.25"/>
    <row r="381" s="75" customFormat="1" x14ac:dyDescent="0.25"/>
    <row r="382" s="75" customFormat="1" x14ac:dyDescent="0.25"/>
    <row r="383" s="75" customFormat="1" x14ac:dyDescent="0.25"/>
    <row r="384" s="75" customFormat="1" x14ac:dyDescent="0.25"/>
    <row r="385" s="75" customFormat="1" x14ac:dyDescent="0.25"/>
    <row r="386" s="75" customFormat="1" x14ac:dyDescent="0.25"/>
    <row r="387" s="75" customFormat="1" x14ac:dyDescent="0.25"/>
    <row r="388" s="75" customFormat="1" x14ac:dyDescent="0.25"/>
    <row r="389" s="75" customFormat="1" x14ac:dyDescent="0.25"/>
    <row r="390" s="75" customFormat="1" x14ac:dyDescent="0.25"/>
    <row r="391" s="75" customFormat="1" x14ac:dyDescent="0.25"/>
    <row r="392" s="75" customFormat="1" x14ac:dyDescent="0.25"/>
    <row r="393" s="75" customFormat="1" x14ac:dyDescent="0.25"/>
    <row r="394" s="75" customFormat="1" x14ac:dyDescent="0.25"/>
    <row r="395" s="75" customFormat="1" x14ac:dyDescent="0.25"/>
    <row r="396" s="75" customFormat="1" x14ac:dyDescent="0.25"/>
    <row r="397" s="75" customFormat="1" x14ac:dyDescent="0.25"/>
    <row r="398" s="75" customFormat="1" x14ac:dyDescent="0.25"/>
    <row r="399" s="75" customFormat="1" x14ac:dyDescent="0.25"/>
    <row r="400" s="75" customFormat="1" x14ac:dyDescent="0.25"/>
    <row r="401" s="75" customFormat="1" x14ac:dyDescent="0.25"/>
    <row r="402" s="75" customFormat="1" x14ac:dyDescent="0.25"/>
    <row r="403" s="75" customFormat="1" x14ac:dyDescent="0.25"/>
    <row r="404" s="75" customFormat="1" x14ac:dyDescent="0.25"/>
    <row r="405" s="75" customFormat="1" x14ac:dyDescent="0.25"/>
    <row r="406" s="75" customFormat="1" x14ac:dyDescent="0.25"/>
    <row r="407" s="75" customFormat="1" x14ac:dyDescent="0.25"/>
    <row r="408" s="75" customFormat="1" x14ac:dyDescent="0.25"/>
    <row r="409" s="75" customFormat="1" x14ac:dyDescent="0.25"/>
    <row r="410" s="75" customFormat="1" x14ac:dyDescent="0.25"/>
    <row r="411" s="75" customFormat="1" x14ac:dyDescent="0.25"/>
    <row r="412" s="75" customFormat="1" x14ac:dyDescent="0.25"/>
    <row r="413" s="75" customFormat="1" x14ac:dyDescent="0.25"/>
    <row r="414" s="75" customFormat="1" x14ac:dyDescent="0.25"/>
    <row r="415" s="75" customFormat="1" x14ac:dyDescent="0.25"/>
    <row r="416" s="75" customFormat="1" x14ac:dyDescent="0.25"/>
    <row r="417" s="75" customFormat="1" x14ac:dyDescent="0.25"/>
    <row r="418" s="75" customFormat="1" x14ac:dyDescent="0.25"/>
    <row r="419" s="75" customFormat="1" x14ac:dyDescent="0.25"/>
    <row r="420" s="75" customFormat="1" x14ac:dyDescent="0.25"/>
    <row r="421" s="75" customFormat="1" x14ac:dyDescent="0.25"/>
    <row r="422" s="75" customFormat="1" x14ac:dyDescent="0.25"/>
    <row r="423" s="75" customFormat="1" x14ac:dyDescent="0.25"/>
    <row r="424" s="75" customFormat="1" x14ac:dyDescent="0.25"/>
    <row r="425" s="75" customFormat="1" x14ac:dyDescent="0.25"/>
    <row r="426" s="75" customFormat="1" x14ac:dyDescent="0.25"/>
    <row r="427" s="75" customFormat="1" x14ac:dyDescent="0.25"/>
    <row r="428" s="75" customFormat="1" x14ac:dyDescent="0.25"/>
    <row r="429" s="75" customFormat="1" x14ac:dyDescent="0.25"/>
    <row r="430" s="75" customFormat="1" x14ac:dyDescent="0.25"/>
    <row r="431" s="75" customFormat="1" x14ac:dyDescent="0.25"/>
    <row r="432" s="75" customFormat="1" x14ac:dyDescent="0.25"/>
    <row r="433" s="75" customFormat="1" x14ac:dyDescent="0.25"/>
    <row r="434" s="75" customFormat="1" x14ac:dyDescent="0.25"/>
    <row r="435" s="75" customFormat="1" x14ac:dyDescent="0.25"/>
    <row r="436" s="75" customFormat="1" x14ac:dyDescent="0.25"/>
    <row r="437" s="75" customFormat="1" x14ac:dyDescent="0.25"/>
    <row r="438" s="75" customFormat="1" x14ac:dyDescent="0.25"/>
    <row r="439" s="75" customFormat="1" x14ac:dyDescent="0.25"/>
    <row r="440" s="75" customFormat="1" x14ac:dyDescent="0.25"/>
    <row r="441" s="75" customFormat="1" x14ac:dyDescent="0.25"/>
    <row r="442" s="75" customFormat="1" x14ac:dyDescent="0.25"/>
    <row r="443" s="75" customFormat="1" x14ac:dyDescent="0.25"/>
    <row r="444" s="75" customFormat="1" x14ac:dyDescent="0.25"/>
    <row r="445" s="75" customFormat="1" x14ac:dyDescent="0.25"/>
    <row r="446" s="75" customFormat="1" x14ac:dyDescent="0.25"/>
    <row r="447" s="75" customFormat="1" x14ac:dyDescent="0.25"/>
    <row r="448" s="75" customFormat="1" x14ac:dyDescent="0.25"/>
    <row r="449" s="75" customFormat="1" x14ac:dyDescent="0.25"/>
    <row r="450" s="75" customFormat="1" x14ac:dyDescent="0.25"/>
    <row r="451" s="75" customFormat="1" x14ac:dyDescent="0.25"/>
    <row r="452" s="75" customFormat="1" x14ac:dyDescent="0.25"/>
    <row r="453" s="75" customFormat="1" x14ac:dyDescent="0.25"/>
    <row r="454" s="75" customFormat="1" x14ac:dyDescent="0.25"/>
    <row r="455" s="75" customFormat="1" x14ac:dyDescent="0.25"/>
    <row r="456" s="75" customFormat="1" x14ac:dyDescent="0.25"/>
    <row r="457" s="75" customFormat="1" x14ac:dyDescent="0.25"/>
    <row r="458" s="75" customFormat="1" x14ac:dyDescent="0.25"/>
    <row r="459" s="75" customFormat="1" x14ac:dyDescent="0.25"/>
    <row r="460" s="75" customFormat="1" x14ac:dyDescent="0.25"/>
    <row r="461" s="75" customFormat="1" x14ac:dyDescent="0.25"/>
    <row r="462" s="75" customFormat="1" x14ac:dyDescent="0.25"/>
    <row r="463" s="75" customFormat="1" x14ac:dyDescent="0.25"/>
    <row r="464" s="75" customFormat="1" x14ac:dyDescent="0.25"/>
    <row r="465" s="75" customFormat="1" x14ac:dyDescent="0.25"/>
    <row r="466" s="75" customFormat="1" x14ac:dyDescent="0.25"/>
    <row r="467" s="75" customFormat="1" x14ac:dyDescent="0.25"/>
    <row r="468" s="75" customFormat="1" x14ac:dyDescent="0.25"/>
    <row r="469" s="75" customFormat="1" x14ac:dyDescent="0.25"/>
    <row r="470" s="75" customFormat="1" x14ac:dyDescent="0.25"/>
    <row r="471" s="75" customFormat="1" x14ac:dyDescent="0.25"/>
    <row r="472" s="75" customFormat="1" x14ac:dyDescent="0.25"/>
    <row r="473" s="75" customFormat="1" x14ac:dyDescent="0.25"/>
    <row r="474" s="75" customFormat="1" x14ac:dyDescent="0.25"/>
    <row r="475" s="75" customFormat="1" x14ac:dyDescent="0.25"/>
    <row r="476" s="75" customFormat="1" x14ac:dyDescent="0.25"/>
    <row r="477" s="75" customFormat="1" x14ac:dyDescent="0.25"/>
    <row r="478" s="75" customFormat="1" x14ac:dyDescent="0.25"/>
    <row r="479" s="75" customFormat="1" x14ac:dyDescent="0.25"/>
    <row r="480" s="75" customFormat="1" x14ac:dyDescent="0.25"/>
    <row r="481" s="75" customFormat="1" x14ac:dyDescent="0.25"/>
    <row r="482" s="75" customFormat="1" x14ac:dyDescent="0.25"/>
    <row r="483" s="75" customFormat="1" x14ac:dyDescent="0.25"/>
    <row r="484" s="75" customFormat="1" x14ac:dyDescent="0.25"/>
    <row r="485" s="75" customFormat="1" x14ac:dyDescent="0.25"/>
    <row r="486" s="75" customFormat="1" x14ac:dyDescent="0.25"/>
    <row r="487" s="75" customFormat="1" x14ac:dyDescent="0.25"/>
    <row r="488" s="75" customFormat="1" x14ac:dyDescent="0.25"/>
    <row r="489" s="75" customFormat="1" x14ac:dyDescent="0.25"/>
    <row r="490" s="75" customFormat="1" x14ac:dyDescent="0.25"/>
    <row r="491" s="75" customFormat="1" x14ac:dyDescent="0.25"/>
    <row r="492" s="75" customFormat="1" x14ac:dyDescent="0.25"/>
    <row r="493" s="75" customFormat="1" x14ac:dyDescent="0.25"/>
    <row r="494" s="75" customFormat="1" x14ac:dyDescent="0.25"/>
    <row r="495" s="75" customFormat="1" x14ac:dyDescent="0.25"/>
    <row r="496" s="75" customFormat="1" x14ac:dyDescent="0.25"/>
    <row r="497" s="75" customFormat="1" x14ac:dyDescent="0.25"/>
    <row r="498" s="75" customFormat="1" x14ac:dyDescent="0.25"/>
    <row r="499" s="75" customFormat="1" x14ac:dyDescent="0.25"/>
    <row r="500" s="75" customFormat="1" x14ac:dyDescent="0.25"/>
    <row r="501" s="75" customFormat="1" x14ac:dyDescent="0.25"/>
    <row r="502" s="75" customFormat="1" x14ac:dyDescent="0.25"/>
    <row r="503" s="75" customFormat="1" x14ac:dyDescent="0.25"/>
    <row r="504" s="75" customFormat="1" x14ac:dyDescent="0.25"/>
    <row r="505" s="75" customFormat="1" x14ac:dyDescent="0.25"/>
    <row r="506" s="75" customFormat="1" x14ac:dyDescent="0.25"/>
    <row r="507" s="75" customFormat="1" x14ac:dyDescent="0.25"/>
    <row r="508" s="75" customFormat="1" x14ac:dyDescent="0.25"/>
    <row r="509" s="75" customFormat="1" x14ac:dyDescent="0.25"/>
    <row r="510" s="75" customFormat="1" x14ac:dyDescent="0.25"/>
    <row r="511" s="75" customFormat="1" x14ac:dyDescent="0.25"/>
    <row r="512" s="75" customFormat="1" x14ac:dyDescent="0.25"/>
    <row r="513" s="75" customFormat="1" x14ac:dyDescent="0.25"/>
    <row r="514" s="75" customFormat="1" x14ac:dyDescent="0.25"/>
    <row r="515" s="75" customFormat="1" x14ac:dyDescent="0.25"/>
    <row r="516" s="75" customFormat="1" x14ac:dyDescent="0.25"/>
    <row r="517" s="75" customFormat="1" x14ac:dyDescent="0.25"/>
    <row r="518" s="75" customFormat="1" x14ac:dyDescent="0.25"/>
    <row r="519" s="75" customFormat="1" x14ac:dyDescent="0.25"/>
    <row r="520" s="75" customFormat="1" x14ac:dyDescent="0.25"/>
    <row r="521" s="75" customFormat="1" x14ac:dyDescent="0.25"/>
    <row r="522" s="75" customFormat="1" x14ac:dyDescent="0.25"/>
    <row r="523" s="75" customFormat="1" x14ac:dyDescent="0.25"/>
    <row r="524" s="75" customFormat="1" x14ac:dyDescent="0.25"/>
    <row r="525" s="75" customFormat="1" x14ac:dyDescent="0.25"/>
    <row r="526" s="75" customFormat="1" x14ac:dyDescent="0.25"/>
    <row r="527" s="75" customFormat="1" x14ac:dyDescent="0.25"/>
    <row r="528" s="75" customFormat="1" x14ac:dyDescent="0.25"/>
    <row r="529" s="75" customFormat="1" x14ac:dyDescent="0.25"/>
    <row r="530" s="75" customFormat="1" x14ac:dyDescent="0.25"/>
    <row r="531" s="75" customFormat="1" x14ac:dyDescent="0.25"/>
    <row r="532" s="75" customFormat="1" x14ac:dyDescent="0.25"/>
    <row r="533" s="75" customFormat="1" x14ac:dyDescent="0.25"/>
    <row r="534" s="75" customFormat="1" x14ac:dyDescent="0.25"/>
    <row r="535" s="75" customFormat="1" x14ac:dyDescent="0.25"/>
    <row r="536" s="75" customFormat="1" x14ac:dyDescent="0.25"/>
    <row r="537" s="75" customFormat="1" x14ac:dyDescent="0.25"/>
    <row r="538" s="75" customFormat="1" x14ac:dyDescent="0.25"/>
    <row r="539" s="75" customFormat="1" x14ac:dyDescent="0.25"/>
    <row r="540" s="75" customFormat="1" x14ac:dyDescent="0.25"/>
    <row r="541" s="75" customFormat="1" x14ac:dyDescent="0.25"/>
    <row r="542" s="75" customFormat="1" x14ac:dyDescent="0.25"/>
    <row r="543" s="75" customFormat="1" x14ac:dyDescent="0.25"/>
    <row r="544" s="75" customFormat="1" x14ac:dyDescent="0.25"/>
    <row r="545" s="75" customFormat="1" x14ac:dyDescent="0.25"/>
    <row r="546" s="75" customFormat="1" x14ac:dyDescent="0.25"/>
    <row r="547" s="75" customFormat="1" x14ac:dyDescent="0.25"/>
    <row r="548" s="75" customFormat="1" x14ac:dyDescent="0.25"/>
    <row r="549" s="75" customFormat="1" x14ac:dyDescent="0.25"/>
    <row r="550" s="75" customFormat="1" x14ac:dyDescent="0.25"/>
    <row r="551" s="75" customFormat="1" x14ac:dyDescent="0.25"/>
    <row r="552" s="75" customFormat="1" x14ac:dyDescent="0.25"/>
    <row r="553" s="75" customFormat="1" x14ac:dyDescent="0.25"/>
    <row r="554" s="75" customFormat="1" x14ac:dyDescent="0.25"/>
    <row r="555" s="75" customFormat="1" x14ac:dyDescent="0.25"/>
    <row r="556" s="75" customFormat="1" x14ac:dyDescent="0.25"/>
    <row r="557" s="75" customFormat="1" x14ac:dyDescent="0.25"/>
    <row r="558" s="75" customFormat="1" x14ac:dyDescent="0.25"/>
    <row r="559" s="75" customFormat="1" x14ac:dyDescent="0.25"/>
    <row r="560" s="75" customFormat="1" x14ac:dyDescent="0.25"/>
    <row r="561" s="75" customFormat="1" x14ac:dyDescent="0.25"/>
    <row r="562" s="75" customFormat="1" x14ac:dyDescent="0.25"/>
    <row r="563" s="75" customFormat="1" x14ac:dyDescent="0.25"/>
    <row r="564" s="75" customFormat="1" x14ac:dyDescent="0.25"/>
    <row r="565" s="75" customFormat="1" x14ac:dyDescent="0.25"/>
    <row r="566" s="75" customFormat="1" x14ac:dyDescent="0.25"/>
    <row r="567" s="75" customFormat="1" x14ac:dyDescent="0.25"/>
    <row r="568" s="75" customFormat="1" x14ac:dyDescent="0.25"/>
    <row r="569" s="75" customFormat="1" x14ac:dyDescent="0.25"/>
    <row r="570" s="75" customFormat="1" x14ac:dyDescent="0.25"/>
    <row r="571" s="75" customFormat="1" x14ac:dyDescent="0.25"/>
    <row r="572" s="75" customFormat="1" x14ac:dyDescent="0.25"/>
    <row r="573" s="75" customFormat="1" x14ac:dyDescent="0.25"/>
    <row r="574" s="75" customFormat="1" x14ac:dyDescent="0.25"/>
    <row r="575" s="75" customFormat="1" x14ac:dyDescent="0.25"/>
    <row r="576" s="75" customFormat="1" x14ac:dyDescent="0.25"/>
    <row r="577" s="75" customFormat="1" x14ac:dyDescent="0.25"/>
    <row r="578" s="75" customFormat="1" x14ac:dyDescent="0.25"/>
    <row r="579" s="75" customFormat="1" x14ac:dyDescent="0.25"/>
    <row r="580" s="75" customFormat="1" x14ac:dyDescent="0.25"/>
    <row r="581" s="75" customFormat="1" x14ac:dyDescent="0.25"/>
    <row r="582" s="75" customFormat="1" x14ac:dyDescent="0.25"/>
    <row r="583" s="75" customFormat="1" x14ac:dyDescent="0.25"/>
    <row r="584" s="75" customFormat="1" x14ac:dyDescent="0.25"/>
    <row r="585" s="75" customFormat="1" x14ac:dyDescent="0.25"/>
    <row r="586" s="75" customFormat="1" x14ac:dyDescent="0.25"/>
    <row r="587" s="75" customFormat="1" x14ac:dyDescent="0.25"/>
    <row r="588" s="75" customFormat="1" x14ac:dyDescent="0.25"/>
    <row r="589" s="75" customFormat="1" x14ac:dyDescent="0.25"/>
    <row r="590" s="75" customFormat="1" x14ac:dyDescent="0.25"/>
    <row r="591" s="75" customFormat="1" x14ac:dyDescent="0.25"/>
    <row r="592" s="75" customFormat="1" x14ac:dyDescent="0.25"/>
    <row r="593" s="75" customFormat="1" x14ac:dyDescent="0.25"/>
    <row r="594" s="75" customFormat="1" x14ac:dyDescent="0.25"/>
    <row r="595" s="75" customFormat="1" x14ac:dyDescent="0.25"/>
    <row r="596" s="75" customFormat="1" x14ac:dyDescent="0.25"/>
    <row r="597" s="75" customFormat="1" x14ac:dyDescent="0.25"/>
    <row r="598" s="75" customFormat="1" x14ac:dyDescent="0.25"/>
    <row r="599" s="75" customFormat="1" x14ac:dyDescent="0.25"/>
    <row r="600" s="75" customFormat="1" x14ac:dyDescent="0.25"/>
    <row r="601" s="75" customFormat="1" x14ac:dyDescent="0.25"/>
    <row r="602" s="75" customFormat="1" x14ac:dyDescent="0.25"/>
    <row r="603" s="75" customFormat="1" x14ac:dyDescent="0.25"/>
    <row r="604" s="75" customFormat="1" x14ac:dyDescent="0.25"/>
    <row r="605" s="75" customFormat="1" x14ac:dyDescent="0.25"/>
    <row r="606" s="75" customFormat="1" x14ac:dyDescent="0.25"/>
    <row r="607" s="75" customFormat="1" x14ac:dyDescent="0.25"/>
    <row r="608" s="75" customFormat="1" x14ac:dyDescent="0.25"/>
    <row r="609" s="75" customFormat="1" x14ac:dyDescent="0.25"/>
    <row r="610" s="75" customFormat="1" x14ac:dyDescent="0.25"/>
    <row r="611" s="75" customFormat="1" x14ac:dyDescent="0.25"/>
    <row r="612" s="75" customFormat="1" x14ac:dyDescent="0.25"/>
    <row r="613" s="75" customFormat="1" x14ac:dyDescent="0.25"/>
    <row r="614" s="75" customFormat="1" x14ac:dyDescent="0.25"/>
    <row r="615" s="75" customFormat="1" x14ac:dyDescent="0.25"/>
    <row r="616" s="75" customFormat="1" x14ac:dyDescent="0.25"/>
    <row r="617" s="75" customFormat="1" x14ac:dyDescent="0.25"/>
    <row r="618" s="75" customFormat="1" x14ac:dyDescent="0.25"/>
    <row r="619" s="75" customFormat="1" x14ac:dyDescent="0.25"/>
    <row r="620" s="75" customFormat="1" x14ac:dyDescent="0.25"/>
    <row r="621" s="75" customFormat="1" x14ac:dyDescent="0.25"/>
    <row r="622" s="75" customFormat="1" x14ac:dyDescent="0.25"/>
    <row r="623" s="75" customFormat="1" x14ac:dyDescent="0.25"/>
    <row r="624" s="75" customFormat="1" x14ac:dyDescent="0.25"/>
    <row r="625" s="75" customFormat="1" x14ac:dyDescent="0.25"/>
    <row r="626" s="75" customFormat="1" x14ac:dyDescent="0.25"/>
    <row r="627" s="75" customFormat="1" x14ac:dyDescent="0.25"/>
    <row r="628" s="75" customFormat="1" x14ac:dyDescent="0.25"/>
    <row r="629" s="75" customFormat="1" x14ac:dyDescent="0.25"/>
    <row r="630" s="75" customFormat="1" x14ac:dyDescent="0.25"/>
    <row r="631" s="75" customFormat="1" x14ac:dyDescent="0.25"/>
    <row r="632" s="75" customFormat="1" x14ac:dyDescent="0.25"/>
    <row r="633" s="75" customFormat="1" x14ac:dyDescent="0.25"/>
    <row r="634" s="75" customFormat="1" x14ac:dyDescent="0.25"/>
    <row r="635" s="75" customFormat="1" x14ac:dyDescent="0.25"/>
    <row r="636" s="75" customFormat="1" x14ac:dyDescent="0.25"/>
    <row r="637" s="75" customFormat="1" x14ac:dyDescent="0.25"/>
    <row r="638" s="75" customFormat="1" x14ac:dyDescent="0.25"/>
    <row r="639" s="75" customFormat="1" x14ac:dyDescent="0.25"/>
    <row r="640" s="75" customFormat="1" x14ac:dyDescent="0.25"/>
    <row r="641" s="75" customFormat="1" x14ac:dyDescent="0.25"/>
    <row r="642" s="75" customFormat="1" x14ac:dyDescent="0.25"/>
    <row r="643" s="75" customFormat="1" x14ac:dyDescent="0.25"/>
    <row r="644" s="75" customFormat="1" x14ac:dyDescent="0.25"/>
    <row r="645" s="75" customFormat="1" x14ac:dyDescent="0.25"/>
    <row r="646" s="75" customFormat="1" x14ac:dyDescent="0.25"/>
    <row r="647" s="75" customFormat="1" x14ac:dyDescent="0.25"/>
    <row r="648" s="75" customFormat="1" x14ac:dyDescent="0.25"/>
    <row r="649" s="75" customFormat="1" x14ac:dyDescent="0.25"/>
    <row r="650" s="75" customFormat="1" x14ac:dyDescent="0.25"/>
    <row r="651" s="75" customFormat="1" x14ac:dyDescent="0.25"/>
    <row r="652" s="75" customFormat="1" x14ac:dyDescent="0.25"/>
    <row r="653" s="75" customFormat="1" x14ac:dyDescent="0.25"/>
    <row r="654" s="75" customFormat="1" x14ac:dyDescent="0.25"/>
    <row r="655" s="75" customFormat="1" x14ac:dyDescent="0.25"/>
    <row r="656" s="75" customFormat="1" x14ac:dyDescent="0.25"/>
    <row r="657" s="75" customFormat="1" x14ac:dyDescent="0.25"/>
    <row r="658" s="75" customFormat="1" x14ac:dyDescent="0.25"/>
    <row r="659" s="75" customFormat="1" x14ac:dyDescent="0.25"/>
    <row r="660" s="75" customFormat="1" x14ac:dyDescent="0.25"/>
    <row r="661" s="75" customFormat="1" x14ac:dyDescent="0.25"/>
    <row r="662" s="75" customFormat="1" x14ac:dyDescent="0.25"/>
    <row r="663" s="75" customFormat="1" x14ac:dyDescent="0.25"/>
    <row r="664" s="75" customFormat="1" x14ac:dyDescent="0.25"/>
    <row r="665" s="75" customFormat="1" x14ac:dyDescent="0.25"/>
    <row r="666" s="75" customFormat="1" x14ac:dyDescent="0.25"/>
    <row r="667" s="75" customFormat="1" x14ac:dyDescent="0.25"/>
    <row r="668" s="75" customFormat="1" x14ac:dyDescent="0.25"/>
    <row r="669" s="75" customFormat="1" x14ac:dyDescent="0.25"/>
    <row r="670" s="75" customFormat="1" x14ac:dyDescent="0.25"/>
    <row r="671" s="75" customFormat="1" x14ac:dyDescent="0.25"/>
    <row r="672" s="75" customFormat="1" x14ac:dyDescent="0.25"/>
    <row r="673" s="75" customFormat="1" x14ac:dyDescent="0.25"/>
    <row r="674" s="75" customFormat="1" x14ac:dyDescent="0.25"/>
    <row r="675" s="75" customFormat="1" x14ac:dyDescent="0.25"/>
    <row r="676" s="75" customFormat="1" x14ac:dyDescent="0.25"/>
    <row r="677" s="75" customFormat="1" x14ac:dyDescent="0.25"/>
    <row r="678" s="75" customFormat="1" x14ac:dyDescent="0.25"/>
    <row r="679" s="75" customFormat="1" x14ac:dyDescent="0.25"/>
    <row r="680" s="75" customFormat="1" x14ac:dyDescent="0.25"/>
    <row r="681" s="75" customFormat="1" x14ac:dyDescent="0.25"/>
    <row r="682" s="75" customFormat="1" x14ac:dyDescent="0.25"/>
    <row r="683" s="75" customFormat="1" x14ac:dyDescent="0.25"/>
    <row r="684" s="75" customFormat="1" x14ac:dyDescent="0.25"/>
    <row r="685" s="75" customFormat="1" x14ac:dyDescent="0.25"/>
    <row r="686" s="75" customFormat="1" x14ac:dyDescent="0.25"/>
    <row r="687" s="75" customFormat="1" x14ac:dyDescent="0.25"/>
    <row r="688" s="75" customFormat="1" x14ac:dyDescent="0.25"/>
    <row r="689" s="75" customFormat="1" x14ac:dyDescent="0.25"/>
    <row r="690" s="75" customFormat="1" x14ac:dyDescent="0.25"/>
    <row r="691" s="75" customFormat="1" x14ac:dyDescent="0.25"/>
    <row r="692" s="75" customFormat="1" x14ac:dyDescent="0.25"/>
    <row r="693" s="75" customFormat="1" x14ac:dyDescent="0.25"/>
    <row r="694" s="75" customFormat="1" x14ac:dyDescent="0.25"/>
    <row r="695" s="75" customFormat="1" x14ac:dyDescent="0.25"/>
    <row r="696" s="75" customFormat="1" x14ac:dyDescent="0.25"/>
    <row r="697" s="75" customFormat="1" x14ac:dyDescent="0.25"/>
    <row r="698" s="75" customFormat="1" x14ac:dyDescent="0.25"/>
    <row r="699" s="75" customFormat="1" x14ac:dyDescent="0.25"/>
    <row r="700" s="75" customFormat="1" x14ac:dyDescent="0.25"/>
    <row r="701" s="75" customFormat="1" x14ac:dyDescent="0.25"/>
    <row r="702" s="75" customFormat="1" x14ac:dyDescent="0.25"/>
    <row r="703" s="75" customFormat="1" x14ac:dyDescent="0.25"/>
    <row r="704" s="75" customFormat="1" x14ac:dyDescent="0.25"/>
    <row r="705" s="75" customFormat="1" x14ac:dyDescent="0.25"/>
    <row r="706" s="75" customFormat="1" x14ac:dyDescent="0.25"/>
    <row r="707" s="75" customFormat="1" x14ac:dyDescent="0.25"/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71"/>
  <sheetViews>
    <sheetView topLeftCell="A55" workbookViewId="0">
      <selection activeCell="E11" sqref="E11"/>
    </sheetView>
  </sheetViews>
  <sheetFormatPr baseColWidth="10" defaultRowHeight="19.5" customHeight="1" x14ac:dyDescent="0.25"/>
  <cols>
    <col min="1" max="1" width="3.28515625" style="1" customWidth="1"/>
    <col min="2" max="2" width="17.7109375" style="1" bestFit="1" customWidth="1"/>
    <col min="3" max="4" width="9.28515625" style="1" bestFit="1" customWidth="1"/>
    <col min="5" max="5" width="13" style="1" bestFit="1" customWidth="1"/>
    <col min="6" max="6" width="16.42578125" style="1" bestFit="1" customWidth="1"/>
    <col min="7" max="7" width="8" style="1" bestFit="1" customWidth="1"/>
    <col min="8" max="10" width="12.85546875" style="1" customWidth="1"/>
    <col min="11" max="11" width="12" style="1" customWidth="1"/>
    <col min="12" max="12" width="12.42578125" style="1" bestFit="1" customWidth="1"/>
    <col min="13" max="13" width="13.42578125" style="1" customWidth="1"/>
    <col min="14" max="14" width="3.7109375" style="1" customWidth="1"/>
    <col min="15" max="16384" width="11.42578125" style="1"/>
  </cols>
  <sheetData>
    <row r="2" spans="2:13" ht="18" x14ac:dyDescent="0.25">
      <c r="C2" s="2" t="s">
        <v>14</v>
      </c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18" x14ac:dyDescent="0.25">
      <c r="C3" s="5" t="s">
        <v>16</v>
      </c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8" x14ac:dyDescent="0.25">
      <c r="C4" s="8" t="s">
        <v>15</v>
      </c>
      <c r="D4" s="9"/>
      <c r="E4" s="9"/>
      <c r="F4" s="9"/>
      <c r="G4" s="9"/>
      <c r="H4" s="9"/>
      <c r="I4" s="9"/>
      <c r="J4" s="9"/>
      <c r="K4" s="9"/>
      <c r="L4" s="9"/>
      <c r="M4" s="10"/>
    </row>
    <row r="5" spans="2:13" s="11" customFormat="1" ht="33" customHeight="1" x14ac:dyDescent="0.25"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</row>
    <row r="6" spans="2:13" s="13" customFormat="1" ht="19.5" customHeight="1" x14ac:dyDescent="0.25">
      <c r="B6" s="14" t="s">
        <v>11</v>
      </c>
      <c r="C6" s="14">
        <v>654</v>
      </c>
      <c r="D6" s="15">
        <v>4</v>
      </c>
      <c r="E6" s="16">
        <v>34.700000000000003</v>
      </c>
      <c r="F6" s="15">
        <v>88</v>
      </c>
      <c r="G6" s="15">
        <v>0</v>
      </c>
      <c r="H6" s="16">
        <v>10</v>
      </c>
      <c r="I6" s="17">
        <v>0.2</v>
      </c>
      <c r="J6" s="16">
        <v>1.5</v>
      </c>
      <c r="K6" s="16">
        <v>0.1</v>
      </c>
      <c r="L6" s="16">
        <v>1.5</v>
      </c>
      <c r="M6" s="15">
        <v>52.54</v>
      </c>
    </row>
    <row r="7" spans="2:13" s="13" customFormat="1" ht="19.5" customHeight="1" x14ac:dyDescent="0.25">
      <c r="B7" s="18"/>
      <c r="C7" s="14">
        <v>659</v>
      </c>
      <c r="D7" s="15">
        <v>4</v>
      </c>
      <c r="E7" s="16">
        <v>25.38</v>
      </c>
      <c r="F7" s="15">
        <v>244</v>
      </c>
      <c r="G7" s="15">
        <v>103</v>
      </c>
      <c r="H7" s="16">
        <v>9.76</v>
      </c>
      <c r="I7" s="17">
        <v>0.2</v>
      </c>
      <c r="J7" s="16">
        <v>1.5</v>
      </c>
      <c r="K7" s="16">
        <v>0.1</v>
      </c>
      <c r="L7" s="16">
        <v>1.5</v>
      </c>
      <c r="M7" s="15">
        <v>30.23</v>
      </c>
    </row>
    <row r="8" spans="2:13" s="13" customFormat="1" ht="19.5" customHeight="1" x14ac:dyDescent="0.25">
      <c r="B8" s="18"/>
      <c r="C8" s="14">
        <v>663</v>
      </c>
      <c r="D8" s="15">
        <v>5</v>
      </c>
      <c r="E8" s="16">
        <v>31.37</v>
      </c>
      <c r="F8" s="15">
        <v>114</v>
      </c>
      <c r="G8" s="15">
        <v>0</v>
      </c>
      <c r="H8" s="16">
        <v>10</v>
      </c>
      <c r="I8" s="17">
        <v>0.2</v>
      </c>
      <c r="J8" s="16">
        <v>1.5</v>
      </c>
      <c r="K8" s="16">
        <v>0.1</v>
      </c>
      <c r="L8" s="16">
        <v>1.5</v>
      </c>
      <c r="M8" s="15">
        <v>44.06</v>
      </c>
    </row>
    <row r="9" spans="2:13" s="13" customFormat="1" ht="19.5" customHeight="1" x14ac:dyDescent="0.25">
      <c r="B9" s="18"/>
      <c r="C9" s="14">
        <v>803</v>
      </c>
      <c r="D9" s="15">
        <v>4</v>
      </c>
      <c r="E9" s="16">
        <v>33.1</v>
      </c>
      <c r="F9" s="15">
        <v>102</v>
      </c>
      <c r="G9" s="15">
        <v>0</v>
      </c>
      <c r="H9" s="16">
        <v>10</v>
      </c>
      <c r="I9" s="17">
        <v>0.2</v>
      </c>
      <c r="J9" s="16">
        <v>1.5</v>
      </c>
      <c r="K9" s="16">
        <v>0.1</v>
      </c>
      <c r="L9" s="16">
        <v>1.5</v>
      </c>
      <c r="M9" s="15">
        <v>48.49</v>
      </c>
    </row>
    <row r="10" spans="2:13" s="13" customFormat="1" ht="19.5" customHeight="1" x14ac:dyDescent="0.25">
      <c r="B10" s="18"/>
      <c r="C10" s="14">
        <v>811</v>
      </c>
      <c r="D10" s="15">
        <v>3</v>
      </c>
      <c r="E10" s="16">
        <v>23.1</v>
      </c>
      <c r="F10" s="15">
        <v>59</v>
      </c>
      <c r="G10" s="15">
        <v>0</v>
      </c>
      <c r="H10" s="16">
        <v>8.8800000000000008</v>
      </c>
      <c r="I10" s="17">
        <v>0.2</v>
      </c>
      <c r="J10" s="16">
        <v>1.5</v>
      </c>
      <c r="K10" s="16">
        <v>0.1</v>
      </c>
      <c r="L10" s="16">
        <v>1.5</v>
      </c>
      <c r="M10" s="15">
        <v>29.53</v>
      </c>
    </row>
    <row r="11" spans="2:13" s="13" customFormat="1" ht="19.5" customHeight="1" x14ac:dyDescent="0.25">
      <c r="B11" s="18"/>
      <c r="C11" s="14">
        <v>812</v>
      </c>
      <c r="D11" s="15">
        <v>3</v>
      </c>
      <c r="E11" s="16">
        <v>30.9</v>
      </c>
      <c r="F11" s="15">
        <v>99</v>
      </c>
      <c r="G11" s="15">
        <v>50</v>
      </c>
      <c r="H11" s="16">
        <v>10</v>
      </c>
      <c r="I11" s="17">
        <v>0.2</v>
      </c>
      <c r="J11" s="16">
        <v>1.5</v>
      </c>
      <c r="K11" s="16">
        <v>0.1</v>
      </c>
      <c r="L11" s="16">
        <v>1.5</v>
      </c>
      <c r="M11" s="15">
        <v>42.87</v>
      </c>
    </row>
    <row r="12" spans="2:13" s="13" customFormat="1" ht="19.5" customHeight="1" x14ac:dyDescent="0.25">
      <c r="B12" s="18"/>
      <c r="C12" s="14">
        <v>820</v>
      </c>
      <c r="D12" s="15">
        <v>3</v>
      </c>
      <c r="E12" s="16">
        <v>29.7</v>
      </c>
      <c r="F12" s="15">
        <v>89</v>
      </c>
      <c r="G12" s="15">
        <v>65</v>
      </c>
      <c r="H12" s="16">
        <v>10</v>
      </c>
      <c r="I12" s="17">
        <v>0.2</v>
      </c>
      <c r="J12" s="16">
        <v>1.5</v>
      </c>
      <c r="K12" s="16">
        <v>0.1</v>
      </c>
      <c r="L12" s="16">
        <v>1.5</v>
      </c>
      <c r="M12" s="15">
        <v>39.83</v>
      </c>
    </row>
    <row r="13" spans="2:13" s="13" customFormat="1" ht="19.5" customHeight="1" x14ac:dyDescent="0.25">
      <c r="B13" s="18"/>
      <c r="C13" s="14">
        <v>821</v>
      </c>
      <c r="D13" s="15">
        <v>3</v>
      </c>
      <c r="E13" s="16">
        <v>23.58</v>
      </c>
      <c r="F13" s="15">
        <v>142</v>
      </c>
      <c r="G13" s="15">
        <v>85</v>
      </c>
      <c r="H13" s="16">
        <v>9.07</v>
      </c>
      <c r="I13" s="17">
        <v>0.2</v>
      </c>
      <c r="J13" s="16">
        <v>1.5</v>
      </c>
      <c r="K13" s="16">
        <v>0.1</v>
      </c>
      <c r="L13" s="16">
        <v>1.5</v>
      </c>
      <c r="M13" s="15">
        <v>29.67</v>
      </c>
    </row>
    <row r="14" spans="2:13" s="13" customFormat="1" ht="19.5" customHeight="1" x14ac:dyDescent="0.25">
      <c r="B14" s="18"/>
      <c r="C14" s="14">
        <v>824</v>
      </c>
      <c r="D14" s="15">
        <v>3</v>
      </c>
      <c r="E14" s="16">
        <v>20</v>
      </c>
      <c r="F14" s="15">
        <v>9</v>
      </c>
      <c r="G14" s="15">
        <v>0</v>
      </c>
      <c r="H14" s="16">
        <v>7.69</v>
      </c>
      <c r="I14" s="17">
        <v>0.2</v>
      </c>
      <c r="J14" s="16">
        <v>1.5</v>
      </c>
      <c r="K14" s="16">
        <v>0.1</v>
      </c>
      <c r="L14" s="16">
        <v>1.5</v>
      </c>
      <c r="M14" s="15">
        <v>28.59</v>
      </c>
    </row>
    <row r="15" spans="2:13" s="13" customFormat="1" ht="19.5" customHeight="1" x14ac:dyDescent="0.25">
      <c r="B15" s="18"/>
      <c r="C15" s="14">
        <v>825</v>
      </c>
      <c r="D15" s="15">
        <v>2</v>
      </c>
      <c r="E15" s="16">
        <v>24.5</v>
      </c>
      <c r="F15" s="15">
        <v>200</v>
      </c>
      <c r="G15" s="15">
        <v>0</v>
      </c>
      <c r="H15" s="16">
        <v>9.42</v>
      </c>
      <c r="I15" s="17">
        <v>0.2</v>
      </c>
      <c r="J15" s="16">
        <v>1.5</v>
      </c>
      <c r="K15" s="16">
        <v>0.1</v>
      </c>
      <c r="L15" s="16">
        <v>1.5</v>
      </c>
      <c r="M15" s="15">
        <v>33.69</v>
      </c>
    </row>
    <row r="16" spans="2:13" s="13" customFormat="1" ht="19.5" customHeight="1" x14ac:dyDescent="0.25">
      <c r="B16" s="18"/>
      <c r="C16" s="14">
        <v>826</v>
      </c>
      <c r="D16" s="15">
        <v>2</v>
      </c>
      <c r="E16" s="16">
        <v>28.15</v>
      </c>
      <c r="F16" s="15">
        <v>167</v>
      </c>
      <c r="G16" s="15">
        <v>105</v>
      </c>
      <c r="H16" s="16">
        <v>10</v>
      </c>
      <c r="I16" s="17">
        <v>0.2</v>
      </c>
      <c r="J16" s="16">
        <v>1.5</v>
      </c>
      <c r="K16" s="16">
        <v>0.1</v>
      </c>
      <c r="L16" s="16">
        <v>1.5</v>
      </c>
      <c r="M16" s="15">
        <v>39.590000000000003</v>
      </c>
    </row>
    <row r="17" spans="2:13" s="13" customFormat="1" ht="19.5" customHeight="1" x14ac:dyDescent="0.25">
      <c r="B17" s="18"/>
      <c r="C17" s="14">
        <v>835</v>
      </c>
      <c r="D17" s="15">
        <v>2</v>
      </c>
      <c r="E17" s="16">
        <v>26.05</v>
      </c>
      <c r="F17" s="15">
        <v>100</v>
      </c>
      <c r="G17" s="15">
        <v>0</v>
      </c>
      <c r="H17" s="16">
        <v>10</v>
      </c>
      <c r="I17" s="17">
        <v>0.2</v>
      </c>
      <c r="J17" s="16">
        <v>1.5</v>
      </c>
      <c r="K17" s="16">
        <v>0.1</v>
      </c>
      <c r="L17" s="16">
        <v>1.5</v>
      </c>
      <c r="M17" s="15">
        <v>34.25</v>
      </c>
    </row>
    <row r="18" spans="2:13" s="13" customFormat="1" ht="19.5" customHeight="1" x14ac:dyDescent="0.25">
      <c r="B18" s="18"/>
      <c r="C18" s="14">
        <v>855</v>
      </c>
      <c r="D18" s="15">
        <v>1</v>
      </c>
      <c r="E18" s="16">
        <v>20</v>
      </c>
      <c r="F18" s="15">
        <v>7</v>
      </c>
      <c r="G18" s="15">
        <v>0</v>
      </c>
      <c r="H18" s="16">
        <v>7.69</v>
      </c>
      <c r="I18" s="17">
        <v>0.2</v>
      </c>
      <c r="J18" s="16">
        <v>1.5</v>
      </c>
      <c r="K18" s="16">
        <v>0.1</v>
      </c>
      <c r="L18" s="16">
        <v>1.5</v>
      </c>
      <c r="M18" s="15">
        <v>36.03</v>
      </c>
    </row>
    <row r="19" spans="2:13" s="13" customFormat="1" ht="19.5" customHeight="1" x14ac:dyDescent="0.25">
      <c r="B19" s="18"/>
      <c r="C19" s="14">
        <v>859</v>
      </c>
      <c r="D19" s="15">
        <v>1</v>
      </c>
      <c r="E19" s="16">
        <v>26.95</v>
      </c>
      <c r="F19" s="15">
        <v>37</v>
      </c>
      <c r="G19" s="15">
        <v>0</v>
      </c>
      <c r="H19" s="16">
        <v>10</v>
      </c>
      <c r="I19" s="17">
        <v>0.2</v>
      </c>
      <c r="J19" s="16">
        <v>1.5</v>
      </c>
      <c r="K19" s="16">
        <v>0.1</v>
      </c>
      <c r="L19" s="16">
        <v>1.5</v>
      </c>
      <c r="M19" s="15">
        <v>40.29</v>
      </c>
    </row>
    <row r="20" spans="2:13" s="13" customFormat="1" ht="19.5" customHeight="1" x14ac:dyDescent="0.25">
      <c r="B20" s="18"/>
      <c r="C20" s="14">
        <v>863</v>
      </c>
      <c r="D20" s="15">
        <v>1</v>
      </c>
      <c r="E20" s="16">
        <v>24.7</v>
      </c>
      <c r="F20" s="15">
        <v>63</v>
      </c>
      <c r="G20" s="15">
        <v>0</v>
      </c>
      <c r="H20" s="16">
        <v>9.5</v>
      </c>
      <c r="I20" s="17">
        <v>0.2</v>
      </c>
      <c r="J20" s="16">
        <v>1.5</v>
      </c>
      <c r="K20" s="16">
        <v>0.1</v>
      </c>
      <c r="L20" s="16">
        <v>1.5</v>
      </c>
      <c r="M20" s="15">
        <v>37.46</v>
      </c>
    </row>
    <row r="21" spans="2:13" s="13" customFormat="1" ht="19.5" customHeight="1" x14ac:dyDescent="0.25">
      <c r="B21" s="18"/>
      <c r="C21" s="14">
        <v>867</v>
      </c>
      <c r="D21" s="15">
        <v>1</v>
      </c>
      <c r="E21" s="16">
        <v>20</v>
      </c>
      <c r="F21" s="15">
        <v>2</v>
      </c>
      <c r="G21" s="15">
        <v>0</v>
      </c>
      <c r="H21" s="16">
        <v>7.69</v>
      </c>
      <c r="I21" s="17">
        <v>0.2</v>
      </c>
      <c r="J21" s="16">
        <v>1.5</v>
      </c>
      <c r="K21" s="16">
        <v>0.1</v>
      </c>
      <c r="L21" s="16">
        <v>1.5</v>
      </c>
      <c r="M21" s="15">
        <v>36.03</v>
      </c>
    </row>
    <row r="22" spans="2:13" s="13" customFormat="1" ht="19.5" customHeight="1" x14ac:dyDescent="0.25">
      <c r="B22" s="18"/>
      <c r="C22" s="14">
        <v>1245</v>
      </c>
      <c r="D22" s="15">
        <v>1</v>
      </c>
      <c r="E22" s="16">
        <v>20</v>
      </c>
      <c r="F22" s="15">
        <v>6</v>
      </c>
      <c r="G22" s="15">
        <v>0</v>
      </c>
      <c r="H22" s="16">
        <v>7.69</v>
      </c>
      <c r="I22" s="17">
        <v>0.2</v>
      </c>
      <c r="J22" s="16">
        <v>1.5</v>
      </c>
      <c r="K22" s="16">
        <v>0.1</v>
      </c>
      <c r="L22" s="16">
        <v>1.5</v>
      </c>
      <c r="M22" s="15">
        <v>34.6</v>
      </c>
    </row>
    <row r="23" spans="2:13" s="13" customFormat="1" ht="19.5" customHeight="1" x14ac:dyDescent="0.25">
      <c r="B23" s="18"/>
      <c r="C23" s="14">
        <v>1250</v>
      </c>
      <c r="D23" s="15">
        <v>1</v>
      </c>
      <c r="E23" s="16">
        <v>23.05</v>
      </c>
      <c r="F23" s="15">
        <v>239</v>
      </c>
      <c r="G23" s="15">
        <v>0</v>
      </c>
      <c r="H23" s="16">
        <v>8.8699999999999992</v>
      </c>
      <c r="I23" s="17">
        <v>0.2</v>
      </c>
      <c r="J23" s="16">
        <v>1.5</v>
      </c>
      <c r="K23" s="16">
        <v>0.1</v>
      </c>
      <c r="L23" s="16">
        <v>1.5</v>
      </c>
      <c r="M23" s="15">
        <v>35.68</v>
      </c>
    </row>
    <row r="24" spans="2:13" s="13" customFormat="1" ht="19.5" customHeight="1" x14ac:dyDescent="0.25">
      <c r="B24" s="18"/>
      <c r="C24" s="14">
        <v>1254</v>
      </c>
      <c r="D24" s="15">
        <v>1</v>
      </c>
      <c r="E24" s="16">
        <v>24.22</v>
      </c>
      <c r="F24" s="15">
        <v>157</v>
      </c>
      <c r="G24" s="15">
        <v>0</v>
      </c>
      <c r="H24" s="16">
        <v>9.31</v>
      </c>
      <c r="I24" s="17">
        <v>0.2</v>
      </c>
      <c r="J24" s="16">
        <v>1.5</v>
      </c>
      <c r="K24" s="16">
        <v>0.1</v>
      </c>
      <c r="L24" s="16">
        <v>1.5</v>
      </c>
      <c r="M24" s="15">
        <v>36.06</v>
      </c>
    </row>
    <row r="25" spans="2:13" s="13" customFormat="1" ht="19.5" customHeight="1" x14ac:dyDescent="0.25">
      <c r="B25" s="18"/>
      <c r="C25" s="14">
        <v>1265</v>
      </c>
      <c r="D25" s="15">
        <v>1</v>
      </c>
      <c r="E25" s="16">
        <v>20</v>
      </c>
      <c r="F25" s="15">
        <v>17</v>
      </c>
      <c r="G25" s="15">
        <v>0</v>
      </c>
      <c r="H25" s="16">
        <v>7.69</v>
      </c>
      <c r="I25" s="17">
        <v>0.2</v>
      </c>
      <c r="J25" s="16">
        <v>1.5</v>
      </c>
      <c r="K25" s="16">
        <v>0.1</v>
      </c>
      <c r="L25" s="16">
        <v>1.5</v>
      </c>
      <c r="M25" s="15">
        <v>34.6</v>
      </c>
    </row>
    <row r="26" spans="2:13" s="13" customFormat="1" ht="19.5" customHeight="1" x14ac:dyDescent="0.25">
      <c r="B26" s="18"/>
      <c r="C26" s="14">
        <v>1557</v>
      </c>
      <c r="D26" s="15">
        <v>5</v>
      </c>
      <c r="E26" s="16">
        <v>20</v>
      </c>
      <c r="F26" s="15">
        <v>2</v>
      </c>
      <c r="G26" s="15">
        <v>0</v>
      </c>
      <c r="H26" s="16">
        <v>7.69</v>
      </c>
      <c r="I26" s="17">
        <v>0.2</v>
      </c>
      <c r="J26" s="16">
        <v>1.5</v>
      </c>
      <c r="K26" s="16">
        <v>0.1</v>
      </c>
      <c r="L26" s="16">
        <v>1.5</v>
      </c>
      <c r="M26" s="15">
        <v>27.55</v>
      </c>
    </row>
    <row r="27" spans="2:13" s="13" customFormat="1" ht="19.5" customHeight="1" x14ac:dyDescent="0.25">
      <c r="B27" s="18"/>
      <c r="C27" s="14">
        <v>1566</v>
      </c>
      <c r="D27" s="15">
        <v>5</v>
      </c>
      <c r="E27" s="16">
        <v>31.8</v>
      </c>
      <c r="F27" s="15">
        <v>85</v>
      </c>
      <c r="G27" s="15">
        <v>0</v>
      </c>
      <c r="H27" s="16">
        <v>10</v>
      </c>
      <c r="I27" s="17">
        <v>0.2</v>
      </c>
      <c r="J27" s="16">
        <v>1.5</v>
      </c>
      <c r="K27" s="16">
        <v>0.1</v>
      </c>
      <c r="L27" s="16">
        <v>1.5</v>
      </c>
      <c r="M27" s="15">
        <v>45.18</v>
      </c>
    </row>
    <row r="28" spans="2:13" s="13" customFormat="1" ht="19.5" customHeight="1" x14ac:dyDescent="0.25">
      <c r="B28" s="18"/>
      <c r="C28" s="14">
        <v>1700</v>
      </c>
      <c r="D28" s="15">
        <v>5</v>
      </c>
      <c r="E28" s="16">
        <v>26.8</v>
      </c>
      <c r="F28" s="15">
        <v>147</v>
      </c>
      <c r="G28" s="15">
        <v>50</v>
      </c>
      <c r="H28" s="16">
        <v>10</v>
      </c>
      <c r="I28" s="17">
        <v>0.2</v>
      </c>
      <c r="J28" s="16">
        <v>1.5</v>
      </c>
      <c r="K28" s="16">
        <v>0.1</v>
      </c>
      <c r="L28" s="16">
        <v>1.5</v>
      </c>
      <c r="M28" s="15">
        <v>31.77</v>
      </c>
    </row>
    <row r="29" spans="2:13" s="13" customFormat="1" ht="19.5" customHeight="1" x14ac:dyDescent="0.25">
      <c r="B29" s="18"/>
      <c r="C29" s="14">
        <v>1714</v>
      </c>
      <c r="D29" s="15">
        <v>4</v>
      </c>
      <c r="E29" s="16">
        <v>26.7</v>
      </c>
      <c r="F29" s="15">
        <v>213</v>
      </c>
      <c r="G29" s="15">
        <v>90</v>
      </c>
      <c r="H29" s="16">
        <v>10</v>
      </c>
      <c r="I29" s="17">
        <v>0.2</v>
      </c>
      <c r="J29" s="16">
        <v>1.5</v>
      </c>
      <c r="K29" s="16">
        <v>0.1</v>
      </c>
      <c r="L29" s="16">
        <v>1.5</v>
      </c>
      <c r="M29" s="15">
        <v>31.49</v>
      </c>
    </row>
    <row r="30" spans="2:13" s="13" customFormat="1" ht="19.5" customHeight="1" x14ac:dyDescent="0.25">
      <c r="B30" s="18"/>
      <c r="C30" s="14">
        <v>1721</v>
      </c>
      <c r="D30" s="15">
        <v>3</v>
      </c>
      <c r="E30" s="16">
        <v>26.9</v>
      </c>
      <c r="F30" s="15">
        <v>146</v>
      </c>
      <c r="G30" s="15">
        <v>103</v>
      </c>
      <c r="H30" s="16">
        <v>10</v>
      </c>
      <c r="I30" s="17">
        <v>0.2</v>
      </c>
      <c r="J30" s="16">
        <v>1.5</v>
      </c>
      <c r="K30" s="16">
        <v>0.1</v>
      </c>
      <c r="L30" s="16">
        <v>1.5</v>
      </c>
      <c r="M30" s="15">
        <v>32.01</v>
      </c>
    </row>
    <row r="31" spans="2:13" s="13" customFormat="1" ht="19.5" customHeight="1" x14ac:dyDescent="0.25">
      <c r="B31" s="18"/>
      <c r="C31" s="14">
        <v>1733</v>
      </c>
      <c r="D31" s="15">
        <v>4</v>
      </c>
      <c r="E31" s="16">
        <v>25.9</v>
      </c>
      <c r="F31" s="15">
        <v>92</v>
      </c>
      <c r="G31" s="15">
        <v>0</v>
      </c>
      <c r="H31" s="16">
        <v>9.9600000000000009</v>
      </c>
      <c r="I31" s="17">
        <v>0.2</v>
      </c>
      <c r="J31" s="16">
        <v>1.5</v>
      </c>
      <c r="K31" s="16">
        <v>0.1</v>
      </c>
      <c r="L31" s="16">
        <v>1.5</v>
      </c>
      <c r="M31" s="15">
        <v>29.64</v>
      </c>
    </row>
    <row r="32" spans="2:13" s="13" customFormat="1" ht="19.5" customHeight="1" x14ac:dyDescent="0.25">
      <c r="B32" s="18"/>
      <c r="C32" s="14">
        <v>1738</v>
      </c>
      <c r="D32" s="15">
        <v>4</v>
      </c>
      <c r="E32" s="16">
        <v>31.4</v>
      </c>
      <c r="F32" s="15">
        <v>26</v>
      </c>
      <c r="G32" s="15">
        <v>0</v>
      </c>
      <c r="H32" s="16">
        <v>10</v>
      </c>
      <c r="I32" s="17">
        <v>0.2</v>
      </c>
      <c r="J32" s="16">
        <v>1.5</v>
      </c>
      <c r="K32" s="16">
        <v>0.1</v>
      </c>
      <c r="L32" s="16">
        <v>1.5</v>
      </c>
      <c r="M32" s="15">
        <v>43.71</v>
      </c>
    </row>
    <row r="33" spans="2:13" s="13" customFormat="1" ht="19.5" customHeight="1" x14ac:dyDescent="0.25">
      <c r="B33" s="18"/>
      <c r="C33" s="14">
        <v>1741</v>
      </c>
      <c r="D33" s="15">
        <v>4</v>
      </c>
      <c r="E33" s="16">
        <v>25.55</v>
      </c>
      <c r="F33" s="15">
        <v>198</v>
      </c>
      <c r="G33" s="15">
        <v>174</v>
      </c>
      <c r="H33" s="16">
        <v>9.83</v>
      </c>
      <c r="I33" s="17">
        <v>0.2</v>
      </c>
      <c r="J33" s="16">
        <v>1.5</v>
      </c>
      <c r="K33" s="16">
        <v>0.1</v>
      </c>
      <c r="L33" s="16">
        <v>1.5</v>
      </c>
      <c r="M33" s="15">
        <v>29.5</v>
      </c>
    </row>
    <row r="34" spans="2:13" s="13" customFormat="1" ht="19.5" customHeight="1" x14ac:dyDescent="0.25">
      <c r="B34" s="18"/>
      <c r="C34" s="14">
        <v>1762</v>
      </c>
      <c r="D34" s="15">
        <v>4</v>
      </c>
      <c r="E34" s="16">
        <v>28.8</v>
      </c>
      <c r="F34" s="15">
        <v>66</v>
      </c>
      <c r="G34" s="15">
        <v>0</v>
      </c>
      <c r="H34" s="16">
        <v>10</v>
      </c>
      <c r="I34" s="17">
        <v>0.2</v>
      </c>
      <c r="J34" s="16">
        <v>1.5</v>
      </c>
      <c r="K34" s="16">
        <v>0.1</v>
      </c>
      <c r="L34" s="16">
        <v>1.5</v>
      </c>
      <c r="M34" s="15">
        <v>36.97</v>
      </c>
    </row>
    <row r="35" spans="2:13" s="13" customFormat="1" ht="19.5" customHeight="1" x14ac:dyDescent="0.25">
      <c r="B35" s="18"/>
      <c r="C35" s="14">
        <v>1763</v>
      </c>
      <c r="D35" s="15">
        <v>4</v>
      </c>
      <c r="E35" s="16">
        <v>25</v>
      </c>
      <c r="F35" s="15">
        <v>19</v>
      </c>
      <c r="G35" s="15">
        <v>0</v>
      </c>
      <c r="H35" s="16">
        <v>9.6199999999999992</v>
      </c>
      <c r="I35" s="17">
        <v>0.2</v>
      </c>
      <c r="J35" s="16">
        <v>1.5</v>
      </c>
      <c r="K35" s="16">
        <v>0.1</v>
      </c>
      <c r="L35" s="16">
        <v>1.5</v>
      </c>
      <c r="M35" s="15">
        <v>30.13</v>
      </c>
    </row>
    <row r="36" spans="2:13" s="13" customFormat="1" ht="19.5" customHeight="1" x14ac:dyDescent="0.25">
      <c r="B36" s="18"/>
      <c r="C36" s="14">
        <v>1764</v>
      </c>
      <c r="D36" s="15">
        <v>3</v>
      </c>
      <c r="E36" s="16">
        <v>29.57</v>
      </c>
      <c r="F36" s="15">
        <v>161</v>
      </c>
      <c r="G36" s="15">
        <v>90</v>
      </c>
      <c r="H36" s="16">
        <v>10</v>
      </c>
      <c r="I36" s="17">
        <v>0.2</v>
      </c>
      <c r="J36" s="16">
        <v>1.5</v>
      </c>
      <c r="K36" s="16">
        <v>0.1</v>
      </c>
      <c r="L36" s="16">
        <v>1.5</v>
      </c>
      <c r="M36" s="15">
        <v>38.96</v>
      </c>
    </row>
    <row r="37" spans="2:13" s="13" customFormat="1" ht="19.5" customHeight="1" x14ac:dyDescent="0.25">
      <c r="B37" s="18"/>
      <c r="C37" s="14">
        <v>1772</v>
      </c>
      <c r="D37" s="15">
        <v>3</v>
      </c>
      <c r="E37" s="16">
        <v>30.48</v>
      </c>
      <c r="F37" s="15">
        <v>142</v>
      </c>
      <c r="G37" s="15">
        <v>0</v>
      </c>
      <c r="H37" s="16">
        <v>10</v>
      </c>
      <c r="I37" s="17">
        <v>0.2</v>
      </c>
      <c r="J37" s="16">
        <v>1.5</v>
      </c>
      <c r="K37" s="16">
        <v>0.1</v>
      </c>
      <c r="L37" s="16">
        <v>1.5</v>
      </c>
      <c r="M37" s="15">
        <v>41.82</v>
      </c>
    </row>
    <row r="38" spans="2:13" s="13" customFormat="1" ht="19.5" customHeight="1" x14ac:dyDescent="0.25">
      <c r="B38" s="18"/>
      <c r="C38" s="14">
        <v>1782</v>
      </c>
      <c r="D38" s="15">
        <v>3</v>
      </c>
      <c r="E38" s="16">
        <v>25.6</v>
      </c>
      <c r="F38" s="15">
        <v>190</v>
      </c>
      <c r="G38" s="15">
        <v>115</v>
      </c>
      <c r="H38" s="16">
        <v>9.85</v>
      </c>
      <c r="I38" s="17">
        <v>0.2</v>
      </c>
      <c r="J38" s="16">
        <v>1.5</v>
      </c>
      <c r="K38" s="16">
        <v>0.1</v>
      </c>
      <c r="L38" s="16">
        <v>1.5</v>
      </c>
      <c r="M38" s="15">
        <v>29.57</v>
      </c>
    </row>
    <row r="39" spans="2:13" s="13" customFormat="1" ht="19.5" customHeight="1" x14ac:dyDescent="0.25">
      <c r="B39" s="18"/>
      <c r="C39" s="14">
        <v>1799</v>
      </c>
      <c r="D39" s="15">
        <v>3</v>
      </c>
      <c r="E39" s="16">
        <v>26.8</v>
      </c>
      <c r="F39" s="15">
        <v>157</v>
      </c>
      <c r="G39" s="15">
        <v>0</v>
      </c>
      <c r="H39" s="16">
        <v>10</v>
      </c>
      <c r="I39" s="17">
        <v>0.2</v>
      </c>
      <c r="J39" s="16">
        <v>1.5</v>
      </c>
      <c r="K39" s="16">
        <v>0.1</v>
      </c>
      <c r="L39" s="16">
        <v>1.5</v>
      </c>
      <c r="M39" s="15">
        <v>32.43</v>
      </c>
    </row>
    <row r="40" spans="2:13" s="13" customFormat="1" ht="19.5" customHeight="1" x14ac:dyDescent="0.25">
      <c r="B40" s="18"/>
      <c r="C40" s="14">
        <v>1907</v>
      </c>
      <c r="D40" s="15">
        <v>2</v>
      </c>
      <c r="E40" s="16">
        <v>29</v>
      </c>
      <c r="F40" s="15">
        <v>143</v>
      </c>
      <c r="G40" s="15">
        <v>98</v>
      </c>
      <c r="H40" s="16">
        <v>10</v>
      </c>
      <c r="I40" s="17">
        <v>0.2</v>
      </c>
      <c r="J40" s="16">
        <v>1.5</v>
      </c>
      <c r="K40" s="16">
        <v>0.1</v>
      </c>
      <c r="L40" s="16">
        <v>1.5</v>
      </c>
      <c r="M40" s="15">
        <v>41.75</v>
      </c>
    </row>
    <row r="41" spans="2:13" s="13" customFormat="1" ht="19.5" customHeight="1" x14ac:dyDescent="0.25">
      <c r="B41" s="18"/>
      <c r="C41" s="14">
        <v>1910</v>
      </c>
      <c r="D41" s="15">
        <v>3</v>
      </c>
      <c r="E41" s="16">
        <v>28.5</v>
      </c>
      <c r="F41" s="15">
        <v>90</v>
      </c>
      <c r="G41" s="15">
        <v>0</v>
      </c>
      <c r="H41" s="16">
        <v>10</v>
      </c>
      <c r="I41" s="17">
        <v>0.2</v>
      </c>
      <c r="J41" s="16">
        <v>1.5</v>
      </c>
      <c r="K41" s="16">
        <v>0.1</v>
      </c>
      <c r="L41" s="16">
        <v>1.5</v>
      </c>
      <c r="M41" s="15">
        <v>36.200000000000003</v>
      </c>
    </row>
    <row r="42" spans="2:13" s="13" customFormat="1" ht="19.5" customHeight="1" x14ac:dyDescent="0.25">
      <c r="B42" s="18"/>
      <c r="C42" s="14">
        <v>1931</v>
      </c>
      <c r="D42" s="15">
        <v>1</v>
      </c>
      <c r="E42" s="16">
        <v>25.8</v>
      </c>
      <c r="F42" s="15">
        <v>263</v>
      </c>
      <c r="G42" s="15">
        <v>163</v>
      </c>
      <c r="H42" s="16">
        <v>9.92</v>
      </c>
      <c r="I42" s="17">
        <v>0.2</v>
      </c>
      <c r="J42" s="16">
        <v>1.5</v>
      </c>
      <c r="K42" s="16">
        <v>0.1</v>
      </c>
      <c r="L42" s="16">
        <v>1.5</v>
      </c>
      <c r="M42" s="15">
        <v>36.659999999999997</v>
      </c>
    </row>
    <row r="43" spans="2:13" s="13" customFormat="1" ht="19.5" customHeight="1" x14ac:dyDescent="0.25">
      <c r="B43" s="18"/>
      <c r="C43" s="14">
        <v>1932</v>
      </c>
      <c r="D43" s="15">
        <v>2</v>
      </c>
      <c r="E43" s="16">
        <v>32.83</v>
      </c>
      <c r="F43" s="15">
        <v>171</v>
      </c>
      <c r="G43" s="15">
        <v>0</v>
      </c>
      <c r="H43" s="16">
        <v>10</v>
      </c>
      <c r="I43" s="17">
        <v>0.2</v>
      </c>
      <c r="J43" s="16">
        <v>1.5</v>
      </c>
      <c r="K43" s="16">
        <v>0.1</v>
      </c>
      <c r="L43" s="16">
        <v>1.5</v>
      </c>
      <c r="M43" s="15">
        <v>50.97</v>
      </c>
    </row>
    <row r="44" spans="2:13" s="13" customFormat="1" ht="19.5" customHeight="1" x14ac:dyDescent="0.25">
      <c r="B44" s="18"/>
      <c r="C44" s="14">
        <v>1939</v>
      </c>
      <c r="D44" s="19">
        <v>2</v>
      </c>
      <c r="E44" s="20">
        <v>27.9</v>
      </c>
      <c r="F44" s="19">
        <v>110</v>
      </c>
      <c r="G44" s="19">
        <v>0</v>
      </c>
      <c r="H44" s="20">
        <v>10</v>
      </c>
      <c r="I44" s="21">
        <v>0.2</v>
      </c>
      <c r="J44" s="20">
        <v>1.5</v>
      </c>
      <c r="K44" s="20">
        <v>0.1</v>
      </c>
      <c r="L44" s="20">
        <v>1.5</v>
      </c>
      <c r="M44" s="19">
        <v>38.96</v>
      </c>
    </row>
    <row r="45" spans="2:13" s="13" customFormat="1" ht="19.5" customHeight="1" x14ac:dyDescent="0.25">
      <c r="B45" s="18"/>
      <c r="C45" s="14">
        <v>1946</v>
      </c>
      <c r="D45" s="19">
        <v>1</v>
      </c>
      <c r="E45" s="16">
        <v>28.8</v>
      </c>
      <c r="F45" s="15">
        <v>118</v>
      </c>
      <c r="G45" s="15">
        <v>97</v>
      </c>
      <c r="H45" s="16">
        <v>10</v>
      </c>
      <c r="I45" s="17">
        <v>0.2</v>
      </c>
      <c r="J45" s="16">
        <v>1.5</v>
      </c>
      <c r="K45" s="16">
        <v>0.1</v>
      </c>
      <c r="L45" s="16">
        <v>1.5</v>
      </c>
      <c r="M45" s="15">
        <v>44.97</v>
      </c>
    </row>
    <row r="46" spans="2:13" s="13" customFormat="1" ht="19.5" customHeight="1" x14ac:dyDescent="0.25">
      <c r="B46" s="18"/>
      <c r="C46" s="14">
        <v>1950</v>
      </c>
      <c r="D46" s="19">
        <v>1</v>
      </c>
      <c r="E46" s="16">
        <v>24.6</v>
      </c>
      <c r="F46" s="15">
        <v>85</v>
      </c>
      <c r="G46" s="15">
        <v>0</v>
      </c>
      <c r="H46" s="16">
        <v>9.4600000000000009</v>
      </c>
      <c r="I46" s="17">
        <v>0.2</v>
      </c>
      <c r="J46" s="16">
        <v>1.5</v>
      </c>
      <c r="K46" s="16">
        <v>0.1</v>
      </c>
      <c r="L46" s="16">
        <v>1.5</v>
      </c>
      <c r="M46" s="15">
        <v>36.200000000000003</v>
      </c>
    </row>
    <row r="47" spans="2:13" s="13" customFormat="1" ht="19.5" customHeight="1" x14ac:dyDescent="0.25">
      <c r="B47" s="18"/>
      <c r="C47" s="22">
        <v>1959</v>
      </c>
      <c r="D47" s="19">
        <v>1</v>
      </c>
      <c r="E47" s="16">
        <v>27.4</v>
      </c>
      <c r="F47" s="15">
        <v>100</v>
      </c>
      <c r="G47" s="15">
        <v>0</v>
      </c>
      <c r="H47" s="16">
        <v>10</v>
      </c>
      <c r="I47" s="17">
        <v>0.2</v>
      </c>
      <c r="J47" s="16">
        <v>1.5</v>
      </c>
      <c r="K47" s="16">
        <v>0.1</v>
      </c>
      <c r="L47" s="16">
        <v>1.5</v>
      </c>
      <c r="M47" s="15">
        <v>41.4</v>
      </c>
    </row>
    <row r="48" spans="2:13" s="13" customFormat="1" ht="19.5" customHeight="1" x14ac:dyDescent="0.25">
      <c r="B48" s="14" t="s">
        <v>12</v>
      </c>
      <c r="C48" s="22">
        <v>699</v>
      </c>
      <c r="D48" s="19">
        <v>3</v>
      </c>
      <c r="E48" s="16">
        <v>18</v>
      </c>
      <c r="F48" s="15">
        <v>280</v>
      </c>
      <c r="G48" s="15">
        <v>105</v>
      </c>
      <c r="H48" s="16">
        <v>6</v>
      </c>
      <c r="I48" s="17">
        <v>0</v>
      </c>
      <c r="J48" s="16">
        <v>1.5</v>
      </c>
      <c r="K48" s="16">
        <v>0.1</v>
      </c>
      <c r="L48" s="16">
        <v>1.5</v>
      </c>
      <c r="M48" s="15">
        <v>37.11</v>
      </c>
    </row>
    <row r="49" spans="2:13" s="13" customFormat="1" ht="19.5" customHeight="1" x14ac:dyDescent="0.25">
      <c r="B49" s="18"/>
      <c r="C49" s="14">
        <v>686</v>
      </c>
      <c r="D49" s="19">
        <v>4</v>
      </c>
      <c r="E49" s="16">
        <v>15</v>
      </c>
      <c r="F49" s="15">
        <v>198</v>
      </c>
      <c r="G49" s="15">
        <v>172</v>
      </c>
      <c r="H49" s="16">
        <v>5</v>
      </c>
      <c r="I49" s="17">
        <v>0</v>
      </c>
      <c r="J49" s="16">
        <v>1.5</v>
      </c>
      <c r="K49" s="16">
        <v>0.1</v>
      </c>
      <c r="L49" s="16">
        <v>1.5</v>
      </c>
      <c r="M49" s="15">
        <v>35.299999999999997</v>
      </c>
    </row>
    <row r="50" spans="2:13" s="13" customFormat="1" ht="19.5" customHeight="1" x14ac:dyDescent="0.25">
      <c r="B50" s="18"/>
      <c r="C50" s="14">
        <v>694</v>
      </c>
      <c r="D50" s="19">
        <v>4</v>
      </c>
      <c r="E50" s="16">
        <v>22.8</v>
      </c>
      <c r="F50" s="15">
        <v>262</v>
      </c>
      <c r="G50" s="15">
        <v>125</v>
      </c>
      <c r="H50" s="16">
        <v>7.6</v>
      </c>
      <c r="I50" s="17">
        <v>0</v>
      </c>
      <c r="J50" s="16">
        <v>1.5</v>
      </c>
      <c r="K50" s="16">
        <v>0.1</v>
      </c>
      <c r="L50" s="16">
        <v>1.5</v>
      </c>
      <c r="M50" s="15">
        <v>39.97</v>
      </c>
    </row>
    <row r="51" spans="2:13" s="13" customFormat="1" ht="19.5" customHeight="1" x14ac:dyDescent="0.25">
      <c r="B51" s="18"/>
      <c r="C51" s="14">
        <v>808</v>
      </c>
      <c r="D51" s="19">
        <v>3</v>
      </c>
      <c r="E51" s="16">
        <v>21.8</v>
      </c>
      <c r="F51" s="15">
        <v>255</v>
      </c>
      <c r="G51" s="15">
        <v>135</v>
      </c>
      <c r="H51" s="16">
        <v>7.27</v>
      </c>
      <c r="I51" s="17">
        <v>0</v>
      </c>
      <c r="J51" s="16">
        <v>1.5</v>
      </c>
      <c r="K51" s="16">
        <v>0.1</v>
      </c>
      <c r="L51" s="16">
        <v>1.5</v>
      </c>
      <c r="M51" s="15">
        <v>39.409999999999997</v>
      </c>
    </row>
    <row r="52" spans="2:13" s="13" customFormat="1" ht="19.5" customHeight="1" x14ac:dyDescent="0.25">
      <c r="B52" s="18"/>
      <c r="C52" s="22">
        <v>830</v>
      </c>
      <c r="D52" s="19">
        <v>2</v>
      </c>
      <c r="E52" s="16">
        <v>18.5</v>
      </c>
      <c r="F52" s="15">
        <v>204</v>
      </c>
      <c r="G52" s="15">
        <v>135</v>
      </c>
      <c r="H52" s="16">
        <v>6.17</v>
      </c>
      <c r="I52" s="17">
        <v>0</v>
      </c>
      <c r="J52" s="16">
        <v>1.5</v>
      </c>
      <c r="K52" s="16">
        <v>0.1</v>
      </c>
      <c r="L52" s="16">
        <v>1.5</v>
      </c>
      <c r="M52" s="15">
        <v>41.09</v>
      </c>
    </row>
    <row r="53" spans="2:13" s="13" customFormat="1" ht="19.5" customHeight="1" x14ac:dyDescent="0.25">
      <c r="B53" s="18"/>
      <c r="C53" s="14">
        <v>832</v>
      </c>
      <c r="D53" s="19">
        <v>2</v>
      </c>
      <c r="E53" s="16">
        <v>16.100000000000001</v>
      </c>
      <c r="F53" s="15">
        <v>111</v>
      </c>
      <c r="G53" s="15">
        <v>0</v>
      </c>
      <c r="H53" s="16">
        <v>5.37</v>
      </c>
      <c r="I53" s="17">
        <v>0</v>
      </c>
      <c r="J53" s="16">
        <v>1.5</v>
      </c>
      <c r="K53" s="16">
        <v>0.1</v>
      </c>
      <c r="L53" s="16">
        <v>1.5</v>
      </c>
      <c r="M53" s="15">
        <v>39.69</v>
      </c>
    </row>
    <row r="54" spans="2:13" s="13" customFormat="1" ht="19.5" customHeight="1" x14ac:dyDescent="0.25">
      <c r="B54" s="18"/>
      <c r="C54" s="14">
        <v>1251</v>
      </c>
      <c r="D54" s="19">
        <v>1</v>
      </c>
      <c r="E54" s="16">
        <v>19.68</v>
      </c>
      <c r="F54" s="15">
        <v>166</v>
      </c>
      <c r="G54" s="15">
        <v>80</v>
      </c>
      <c r="H54" s="16">
        <v>6.56</v>
      </c>
      <c r="I54" s="17">
        <v>0</v>
      </c>
      <c r="J54" s="16">
        <v>1.5</v>
      </c>
      <c r="K54" s="16">
        <v>0.1</v>
      </c>
      <c r="L54" s="16">
        <v>1.5</v>
      </c>
      <c r="M54" s="15">
        <v>44.09</v>
      </c>
    </row>
    <row r="55" spans="2:13" s="13" customFormat="1" ht="19.5" customHeight="1" x14ac:dyDescent="0.25">
      <c r="B55" s="18"/>
      <c r="C55" s="14">
        <v>1710</v>
      </c>
      <c r="D55" s="19">
        <v>4</v>
      </c>
      <c r="E55" s="16">
        <v>20.7</v>
      </c>
      <c r="F55" s="15">
        <v>256</v>
      </c>
      <c r="G55" s="15">
        <v>182</v>
      </c>
      <c r="H55" s="16">
        <v>6.9</v>
      </c>
      <c r="I55" s="17">
        <v>0</v>
      </c>
      <c r="J55" s="16">
        <v>1.5</v>
      </c>
      <c r="K55" s="16">
        <v>0.1</v>
      </c>
      <c r="L55" s="16">
        <v>1.5</v>
      </c>
      <c r="M55" s="15">
        <v>38.72</v>
      </c>
    </row>
    <row r="56" spans="2:13" s="13" customFormat="1" ht="19.5" customHeight="1" x14ac:dyDescent="0.25">
      <c r="B56" s="18"/>
      <c r="C56" s="14">
        <v>1793</v>
      </c>
      <c r="D56" s="19">
        <v>2</v>
      </c>
      <c r="E56" s="16">
        <v>17.899999999999999</v>
      </c>
      <c r="F56" s="15">
        <v>256</v>
      </c>
      <c r="G56" s="15">
        <v>115</v>
      </c>
      <c r="H56" s="16">
        <v>5.97</v>
      </c>
      <c r="I56" s="17">
        <v>0</v>
      </c>
      <c r="J56" s="16">
        <v>1.5</v>
      </c>
      <c r="K56" s="16">
        <v>0.1</v>
      </c>
      <c r="L56" s="16">
        <v>1.5</v>
      </c>
      <c r="M56" s="15">
        <v>40.78</v>
      </c>
    </row>
    <row r="57" spans="2:13" s="13" customFormat="1" ht="19.5" customHeight="1" x14ac:dyDescent="0.25">
      <c r="B57" s="18"/>
      <c r="C57" s="14">
        <v>1903</v>
      </c>
      <c r="D57" s="19">
        <v>3</v>
      </c>
      <c r="E57" s="16">
        <v>21.6</v>
      </c>
      <c r="F57" s="15">
        <v>97</v>
      </c>
      <c r="G57" s="15">
        <v>0</v>
      </c>
      <c r="H57" s="16">
        <v>7.2</v>
      </c>
      <c r="I57" s="17">
        <v>0</v>
      </c>
      <c r="J57" s="16">
        <v>1.5</v>
      </c>
      <c r="K57" s="16">
        <v>0.1</v>
      </c>
      <c r="L57" s="16">
        <v>1.5</v>
      </c>
      <c r="M57" s="15">
        <v>38.299999999999997</v>
      </c>
    </row>
    <row r="58" spans="2:13" s="13" customFormat="1" ht="19.5" customHeight="1" x14ac:dyDescent="0.25">
      <c r="B58" s="18"/>
      <c r="C58" s="14">
        <v>1934</v>
      </c>
      <c r="D58" s="19">
        <v>2</v>
      </c>
      <c r="E58" s="16">
        <v>22.27</v>
      </c>
      <c r="F58" s="15">
        <v>160</v>
      </c>
      <c r="G58" s="15">
        <v>100</v>
      </c>
      <c r="H58" s="16">
        <v>7.42</v>
      </c>
      <c r="I58" s="17">
        <v>0</v>
      </c>
      <c r="J58" s="16">
        <v>1.5</v>
      </c>
      <c r="K58" s="16">
        <v>0.1</v>
      </c>
      <c r="L58" s="16">
        <v>1.5</v>
      </c>
      <c r="M58" s="15">
        <v>43.39</v>
      </c>
    </row>
    <row r="59" spans="2:13" s="13" customFormat="1" ht="19.5" customHeight="1" x14ac:dyDescent="0.25">
      <c r="B59" s="14" t="s">
        <v>13</v>
      </c>
      <c r="C59" s="14">
        <v>829</v>
      </c>
      <c r="D59" s="19">
        <v>2</v>
      </c>
      <c r="E59" s="16">
        <v>14.7</v>
      </c>
      <c r="F59" s="15">
        <v>318</v>
      </c>
      <c r="G59" s="15">
        <v>0</v>
      </c>
      <c r="H59" s="16">
        <v>4.32</v>
      </c>
      <c r="I59" s="17">
        <v>0</v>
      </c>
      <c r="J59" s="16">
        <v>1.5</v>
      </c>
      <c r="K59" s="16">
        <v>0.1</v>
      </c>
      <c r="L59" s="16">
        <v>1.5</v>
      </c>
      <c r="M59" s="15">
        <v>42.24</v>
      </c>
    </row>
    <row r="60" spans="2:13" s="13" customFormat="1" ht="19.5" customHeight="1" x14ac:dyDescent="0.25">
      <c r="B60" s="18"/>
      <c r="C60" s="14">
        <v>848</v>
      </c>
      <c r="D60" s="19">
        <v>1</v>
      </c>
      <c r="E60" s="16">
        <v>14.6</v>
      </c>
      <c r="F60" s="15">
        <v>104</v>
      </c>
      <c r="G60" s="15">
        <v>0</v>
      </c>
      <c r="H60" s="16">
        <v>4.29</v>
      </c>
      <c r="I60" s="17">
        <v>0</v>
      </c>
      <c r="J60" s="16">
        <v>1.5</v>
      </c>
      <c r="K60" s="16">
        <v>0.1</v>
      </c>
      <c r="L60" s="16">
        <v>1.5</v>
      </c>
      <c r="M60" s="15">
        <v>45.84</v>
      </c>
    </row>
    <row r="61" spans="2:13" s="13" customFormat="1" ht="19.5" customHeight="1" x14ac:dyDescent="0.25">
      <c r="B61" s="18"/>
      <c r="C61" s="14">
        <v>1248</v>
      </c>
      <c r="D61" s="19">
        <v>1</v>
      </c>
      <c r="E61" s="16">
        <v>14.5</v>
      </c>
      <c r="F61" s="15">
        <v>178</v>
      </c>
      <c r="G61" s="15">
        <v>151</v>
      </c>
      <c r="H61" s="16">
        <v>4.26</v>
      </c>
      <c r="I61" s="17">
        <v>0</v>
      </c>
      <c r="J61" s="16">
        <v>1.5</v>
      </c>
      <c r="K61" s="16">
        <v>0.1</v>
      </c>
      <c r="L61" s="16">
        <v>1.5</v>
      </c>
      <c r="M61" s="15">
        <v>44.02</v>
      </c>
    </row>
    <row r="62" spans="2:13" s="13" customFormat="1" ht="19.5" customHeight="1" x14ac:dyDescent="0.25">
      <c r="B62" s="18"/>
      <c r="C62" s="14">
        <v>1533</v>
      </c>
      <c r="D62" s="19">
        <v>6</v>
      </c>
      <c r="E62" s="16">
        <v>14.1</v>
      </c>
      <c r="F62" s="15">
        <v>341</v>
      </c>
      <c r="G62" s="15">
        <v>135</v>
      </c>
      <c r="H62" s="16">
        <v>4.1500000000000004</v>
      </c>
      <c r="I62" s="17">
        <v>0</v>
      </c>
      <c r="J62" s="16">
        <v>1.5</v>
      </c>
      <c r="K62" s="16">
        <v>0.1</v>
      </c>
      <c r="L62" s="16">
        <v>1.5</v>
      </c>
      <c r="M62" s="15">
        <v>36.619999999999997</v>
      </c>
    </row>
    <row r="63" spans="2:13" s="13" customFormat="1" ht="19.5" customHeight="1" x14ac:dyDescent="0.25">
      <c r="B63" s="18"/>
      <c r="C63" s="14">
        <v>1786</v>
      </c>
      <c r="D63" s="19">
        <v>3</v>
      </c>
      <c r="E63" s="16">
        <v>13.5</v>
      </c>
      <c r="F63" s="15">
        <v>240</v>
      </c>
      <c r="G63" s="15">
        <v>165</v>
      </c>
      <c r="H63" s="16">
        <v>3.97</v>
      </c>
      <c r="I63" s="17">
        <v>0</v>
      </c>
      <c r="J63" s="16">
        <v>1.5</v>
      </c>
      <c r="K63" s="16">
        <v>0.1</v>
      </c>
      <c r="L63" s="16">
        <v>1.5</v>
      </c>
      <c r="M63" s="15">
        <v>37.53</v>
      </c>
    </row>
    <row r="64" spans="2:13" s="13" customFormat="1" ht="19.5" customHeight="1" x14ac:dyDescent="0.25">
      <c r="B64" s="18"/>
      <c r="C64" s="14">
        <v>1787</v>
      </c>
      <c r="D64" s="19">
        <v>3</v>
      </c>
      <c r="E64" s="16">
        <v>6.7</v>
      </c>
      <c r="F64" s="15">
        <v>247</v>
      </c>
      <c r="G64" s="15">
        <v>177</v>
      </c>
      <c r="H64" s="16">
        <v>1.97</v>
      </c>
      <c r="I64" s="17">
        <v>0</v>
      </c>
      <c r="J64" s="16">
        <v>1.5</v>
      </c>
      <c r="K64" s="16">
        <v>0.1</v>
      </c>
      <c r="L64" s="16">
        <v>1.5</v>
      </c>
      <c r="M64" s="15">
        <v>30.13</v>
      </c>
    </row>
    <row r="65" spans="2:13" ht="19.5" customHeight="1" x14ac:dyDescent="0.25">
      <c r="B65" s="23" t="s">
        <v>17</v>
      </c>
      <c r="C65" s="24">
        <f>+COUNT(C5:C64)</f>
        <v>59</v>
      </c>
      <c r="D65" s="24"/>
      <c r="E65" s="25">
        <f>SUM(E5:E64)</f>
        <v>1408.0299999999995</v>
      </c>
      <c r="F65" s="26"/>
      <c r="G65" s="25"/>
      <c r="H65" s="25">
        <f>SUM(H5:H64)</f>
        <v>494.0100000000001</v>
      </c>
      <c r="I65" s="25">
        <f t="shared" ref="H65:M65" si="0">SUM(I6:I64)</f>
        <v>8.4000000000000021</v>
      </c>
      <c r="J65" s="25">
        <f t="shared" si="0"/>
        <v>88.5</v>
      </c>
      <c r="K65" s="25">
        <f t="shared" si="0"/>
        <v>5.899999999999995</v>
      </c>
      <c r="L65" s="25">
        <f t="shared" si="0"/>
        <v>88.5</v>
      </c>
      <c r="M65" s="27">
        <f t="shared" si="0"/>
        <v>2226.1600000000003</v>
      </c>
    </row>
    <row r="66" spans="2:13" ht="19.5" customHeight="1" x14ac:dyDescent="0.25">
      <c r="B66" s="28" t="s">
        <v>18</v>
      </c>
      <c r="C66" s="18"/>
      <c r="D66" s="29">
        <f>AVERAGE(D6:D64)</f>
        <v>2.6949152542372881</v>
      </c>
      <c r="E66" s="29">
        <f t="shared" ref="E66:M66" si="1">AVERAGE(E6:E64)</f>
        <v>23.864915254237278</v>
      </c>
      <c r="F66" s="29">
        <f t="shared" si="1"/>
        <v>141.32203389830508</v>
      </c>
      <c r="G66" s="29">
        <f t="shared" si="1"/>
        <v>53.644067796610166</v>
      </c>
      <c r="H66" s="29">
        <f t="shared" si="1"/>
        <v>8.3730508474576286</v>
      </c>
      <c r="I66" s="29">
        <f t="shared" si="1"/>
        <v>0.14237288135593223</v>
      </c>
      <c r="J66" s="29">
        <f t="shared" si="1"/>
        <v>1.5</v>
      </c>
      <c r="K66" s="29">
        <f t="shared" si="1"/>
        <v>9.9999999999999922E-2</v>
      </c>
      <c r="L66" s="29">
        <f t="shared" si="1"/>
        <v>1.5</v>
      </c>
      <c r="M66" s="30">
        <f t="shared" si="1"/>
        <v>37.731525423728819</v>
      </c>
    </row>
    <row r="67" spans="2:13" ht="19.5" customHeight="1" x14ac:dyDescent="0.25">
      <c r="B67" s="31" t="s">
        <v>19</v>
      </c>
      <c r="C67" s="32"/>
      <c r="D67" s="33"/>
      <c r="E67" s="33"/>
      <c r="F67" s="33"/>
      <c r="G67" s="33"/>
      <c r="H67" s="34">
        <f>+H65*7/46</f>
        <v>75.175434782608704</v>
      </c>
      <c r="I67" s="35">
        <f>+I65*7/25</f>
        <v>2.3520000000000003</v>
      </c>
      <c r="J67" s="35">
        <f>+J65*7/46</f>
        <v>13.467391304347826</v>
      </c>
      <c r="K67" s="35">
        <f>+K65*7/20</f>
        <v>2.0649999999999986</v>
      </c>
      <c r="L67" s="35">
        <f>+L65*7/16</f>
        <v>38.71875</v>
      </c>
      <c r="M67" s="36"/>
    </row>
    <row r="68" spans="2:13" ht="19.5" customHeight="1" x14ac:dyDescent="0.25">
      <c r="B68" s="18"/>
      <c r="C68" s="37"/>
      <c r="D68" s="38"/>
      <c r="E68" s="38"/>
      <c r="F68" s="39"/>
      <c r="G68" s="13"/>
      <c r="H68" s="13"/>
      <c r="I68" s="13"/>
      <c r="J68" s="13"/>
      <c r="L68" s="13"/>
      <c r="M68" s="13"/>
    </row>
    <row r="69" spans="2:13" ht="19.5" customHeight="1" x14ac:dyDescent="0.25">
      <c r="B69" s="18"/>
      <c r="C69" s="23" t="s">
        <v>20</v>
      </c>
      <c r="D69" s="40"/>
      <c r="E69" s="40"/>
      <c r="F69" s="41">
        <f>(E65*7*305)*1.15</f>
        <v>3457065.6574999988</v>
      </c>
      <c r="G69" s="13"/>
      <c r="H69" s="42" t="s">
        <v>21</v>
      </c>
      <c r="I69" s="43"/>
      <c r="J69" s="44"/>
      <c r="L69" s="45">
        <f>+(E65*7)/((H67*46))</f>
        <v>2.8502054614279051</v>
      </c>
      <c r="M69" s="13"/>
    </row>
    <row r="70" spans="2:13" ht="19.5" customHeight="1" x14ac:dyDescent="0.25">
      <c r="B70" s="18"/>
      <c r="C70" s="28" t="s">
        <v>22</v>
      </c>
      <c r="D70" s="38"/>
      <c r="E70" s="38"/>
      <c r="F70" s="46">
        <f>+(H67*(206*46))+(I67*20000)+(J67*6500)+(K67*20000)+(L67*1200)</f>
        <v>934702.96347826091</v>
      </c>
      <c r="G70" s="13"/>
      <c r="H70" s="47" t="s">
        <v>23</v>
      </c>
      <c r="I70" s="43"/>
      <c r="J70" s="44"/>
      <c r="L70" s="45">
        <f>+(E65*7)/(F70/206)</f>
        <v>2.1722187040516658</v>
      </c>
      <c r="M70" s="13"/>
    </row>
    <row r="71" spans="2:13" ht="19.5" customHeight="1" x14ac:dyDescent="0.25">
      <c r="B71" s="18"/>
      <c r="C71" s="31" t="s">
        <v>24</v>
      </c>
      <c r="D71" s="33"/>
      <c r="E71" s="33"/>
      <c r="F71" s="48">
        <f>+F70/F69</f>
        <v>0.27037466339421445</v>
      </c>
      <c r="G71" s="13"/>
      <c r="H71" s="13"/>
      <c r="I71" s="13"/>
      <c r="J71" s="13"/>
      <c r="L71" s="13"/>
      <c r="M71" s="13"/>
    </row>
  </sheetData>
  <sortState ref="C59:M64">
    <sortCondition ref="C59"/>
  </sortState>
  <mergeCells count="3">
    <mergeCell ref="C2:M2"/>
    <mergeCell ref="C3:M3"/>
    <mergeCell ref="C4:M4"/>
  </mergeCells>
  <printOptions horizontalCentered="1" verticalCentered="1"/>
  <pageMargins left="0.22" right="0.24" top="0.28000000000000003" bottom="0.35" header="0.31496062992125984" footer="0.31496062992125984"/>
  <pageSetup paperSize="9" scale="5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1"/>
  <sheetViews>
    <sheetView topLeftCell="A22" workbookViewId="0">
      <selection activeCell="I31" sqref="I31"/>
    </sheetView>
  </sheetViews>
  <sheetFormatPr baseColWidth="10" defaultRowHeight="23.25" x14ac:dyDescent="0.35"/>
  <cols>
    <col min="1" max="1" width="3.28515625" style="50" customWidth="1"/>
    <col min="2" max="3" width="25.140625" style="50" customWidth="1"/>
    <col min="4" max="4" width="3.7109375" style="50" customWidth="1"/>
    <col min="5" max="6" width="25.140625" style="50" customWidth="1"/>
    <col min="7" max="7" width="3.140625" style="50" customWidth="1"/>
    <col min="8" max="16384" width="11.42578125" style="50"/>
  </cols>
  <sheetData>
    <row r="2" spans="2:8" x14ac:dyDescent="0.35">
      <c r="B2" s="51" t="s">
        <v>14</v>
      </c>
      <c r="C2" s="52"/>
      <c r="D2" s="52"/>
      <c r="E2" s="52"/>
      <c r="F2" s="53"/>
    </row>
    <row r="3" spans="2:8" x14ac:dyDescent="0.35">
      <c r="B3" s="54" t="s">
        <v>16</v>
      </c>
      <c r="C3" s="55"/>
      <c r="D3" s="55"/>
      <c r="E3" s="55"/>
      <c r="F3" s="56"/>
      <c r="H3" s="57"/>
    </row>
    <row r="4" spans="2:8" x14ac:dyDescent="0.35">
      <c r="B4" s="58" t="s">
        <v>15</v>
      </c>
      <c r="C4" s="59"/>
      <c r="D4" s="59"/>
      <c r="E4" s="59"/>
      <c r="F4" s="60"/>
      <c r="H4" s="57"/>
    </row>
    <row r="5" spans="2:8" s="61" customFormat="1" ht="35.25" customHeight="1" x14ac:dyDescent="0.25">
      <c r="B5" s="62" t="s">
        <v>0</v>
      </c>
      <c r="C5" s="62" t="s">
        <v>5</v>
      </c>
      <c r="E5" s="62" t="s">
        <v>0</v>
      </c>
      <c r="F5" s="62" t="s">
        <v>5</v>
      </c>
      <c r="H5" s="57"/>
    </row>
    <row r="6" spans="2:8" s="57" customFormat="1" x14ac:dyDescent="0.35">
      <c r="B6" s="63">
        <v>654</v>
      </c>
      <c r="C6" s="64">
        <v>5</v>
      </c>
      <c r="E6" s="79">
        <v>1533</v>
      </c>
      <c r="F6" s="67">
        <v>2</v>
      </c>
      <c r="H6" s="65"/>
    </row>
    <row r="7" spans="2:8" s="57" customFormat="1" x14ac:dyDescent="0.35">
      <c r="B7" s="63">
        <v>659</v>
      </c>
      <c r="C7" s="64">
        <v>5</v>
      </c>
      <c r="E7" s="63">
        <v>1557</v>
      </c>
      <c r="F7" s="64">
        <v>4</v>
      </c>
      <c r="H7" s="65"/>
    </row>
    <row r="8" spans="2:8" s="57" customFormat="1" x14ac:dyDescent="0.35">
      <c r="B8" s="63">
        <v>663</v>
      </c>
      <c r="C8" s="64">
        <v>5</v>
      </c>
      <c r="E8" s="63">
        <v>1566</v>
      </c>
      <c r="F8" s="64">
        <v>5</v>
      </c>
      <c r="H8" s="65"/>
    </row>
    <row r="9" spans="2:8" s="57" customFormat="1" x14ac:dyDescent="0.35">
      <c r="B9" s="66">
        <v>686</v>
      </c>
      <c r="C9" s="67">
        <v>2.5</v>
      </c>
      <c r="E9" s="63">
        <v>1700</v>
      </c>
      <c r="F9" s="64">
        <v>5</v>
      </c>
      <c r="H9" s="50"/>
    </row>
    <row r="10" spans="2:8" s="57" customFormat="1" x14ac:dyDescent="0.35">
      <c r="B10" s="66">
        <v>694</v>
      </c>
      <c r="C10" s="67">
        <v>4</v>
      </c>
      <c r="E10" s="66">
        <v>1710</v>
      </c>
      <c r="F10" s="67">
        <v>3.45</v>
      </c>
      <c r="H10" s="50"/>
    </row>
    <row r="11" spans="2:8" s="57" customFormat="1" x14ac:dyDescent="0.35">
      <c r="B11" s="66">
        <v>699</v>
      </c>
      <c r="C11" s="67">
        <v>3</v>
      </c>
      <c r="E11" s="63">
        <v>1714</v>
      </c>
      <c r="F11" s="64">
        <v>5</v>
      </c>
      <c r="H11" s="50"/>
    </row>
    <row r="12" spans="2:8" s="57" customFormat="1" x14ac:dyDescent="0.35">
      <c r="B12" s="63">
        <v>803</v>
      </c>
      <c r="C12" s="64">
        <v>5</v>
      </c>
      <c r="E12" s="68">
        <v>1721</v>
      </c>
      <c r="F12" s="64">
        <v>5</v>
      </c>
      <c r="H12" s="50"/>
    </row>
    <row r="13" spans="2:8" s="57" customFormat="1" x14ac:dyDescent="0.35">
      <c r="B13" s="66">
        <v>808</v>
      </c>
      <c r="C13" s="67">
        <v>3.5</v>
      </c>
      <c r="E13" s="63">
        <v>1733</v>
      </c>
      <c r="F13" s="64">
        <v>4.9800000000000004</v>
      </c>
      <c r="H13" s="50"/>
    </row>
    <row r="14" spans="2:8" s="57" customFormat="1" x14ac:dyDescent="0.35">
      <c r="B14" s="63">
        <v>811</v>
      </c>
      <c r="C14" s="64">
        <v>4.5</v>
      </c>
      <c r="E14" s="63">
        <v>1738</v>
      </c>
      <c r="F14" s="64">
        <v>5</v>
      </c>
      <c r="H14" s="50"/>
    </row>
    <row r="15" spans="2:8" s="57" customFormat="1" x14ac:dyDescent="0.35">
      <c r="B15" s="63">
        <v>812</v>
      </c>
      <c r="C15" s="64">
        <v>5</v>
      </c>
      <c r="E15" s="68">
        <v>1741</v>
      </c>
      <c r="F15" s="64">
        <v>5</v>
      </c>
      <c r="H15" s="50"/>
    </row>
    <row r="16" spans="2:8" s="57" customFormat="1" x14ac:dyDescent="0.35">
      <c r="B16" s="63">
        <v>820</v>
      </c>
      <c r="C16" s="64">
        <v>5</v>
      </c>
      <c r="E16" s="63">
        <v>1762</v>
      </c>
      <c r="F16" s="64">
        <v>5</v>
      </c>
      <c r="H16" s="50"/>
    </row>
    <row r="17" spans="2:8" s="57" customFormat="1" x14ac:dyDescent="0.35">
      <c r="B17" s="63">
        <v>821</v>
      </c>
      <c r="C17" s="64">
        <v>4.5350000000000001</v>
      </c>
      <c r="E17" s="63">
        <v>1763</v>
      </c>
      <c r="F17" s="64">
        <v>5</v>
      </c>
      <c r="H17" s="50"/>
    </row>
    <row r="18" spans="2:8" s="57" customFormat="1" x14ac:dyDescent="0.35">
      <c r="B18" s="63">
        <v>824</v>
      </c>
      <c r="C18" s="64">
        <v>4</v>
      </c>
      <c r="E18" s="68">
        <v>1764</v>
      </c>
      <c r="F18" s="64">
        <v>5</v>
      </c>
      <c r="H18" s="50"/>
    </row>
    <row r="19" spans="2:8" s="57" customFormat="1" x14ac:dyDescent="0.35">
      <c r="B19" s="69">
        <v>825</v>
      </c>
      <c r="C19" s="64">
        <v>4.5</v>
      </c>
      <c r="E19" s="68">
        <v>1772</v>
      </c>
      <c r="F19" s="64">
        <v>5</v>
      </c>
      <c r="H19" s="50"/>
    </row>
    <row r="20" spans="2:8" s="57" customFormat="1" x14ac:dyDescent="0.35">
      <c r="B20" s="69">
        <v>826</v>
      </c>
      <c r="C20" s="64">
        <v>5</v>
      </c>
      <c r="E20" s="68">
        <v>1782</v>
      </c>
      <c r="F20" s="64">
        <v>5</v>
      </c>
      <c r="H20" s="50"/>
    </row>
    <row r="21" spans="2:8" s="57" customFormat="1" x14ac:dyDescent="0.35">
      <c r="B21" s="66">
        <v>829</v>
      </c>
      <c r="C21" s="67">
        <v>2</v>
      </c>
      <c r="E21" s="70">
        <v>1786</v>
      </c>
      <c r="F21" s="67">
        <v>1.9850000000000001</v>
      </c>
      <c r="H21" s="50"/>
    </row>
    <row r="22" spans="2:8" s="57" customFormat="1" x14ac:dyDescent="0.35">
      <c r="B22" s="66">
        <v>830</v>
      </c>
      <c r="C22" s="67">
        <v>3</v>
      </c>
      <c r="E22" s="66">
        <v>1787</v>
      </c>
      <c r="F22" s="67">
        <v>0.98499999999999999</v>
      </c>
      <c r="H22" s="50"/>
    </row>
    <row r="23" spans="2:8" s="57" customFormat="1" x14ac:dyDescent="0.35">
      <c r="B23" s="66">
        <v>832</v>
      </c>
      <c r="C23" s="67">
        <v>2.5</v>
      </c>
      <c r="E23" s="70">
        <v>1793</v>
      </c>
      <c r="F23" s="67">
        <v>2.9849999999999999</v>
      </c>
      <c r="H23" s="50"/>
    </row>
    <row r="24" spans="2:8" s="57" customFormat="1" x14ac:dyDescent="0.35">
      <c r="B24" s="63">
        <v>835</v>
      </c>
      <c r="C24" s="64">
        <v>5</v>
      </c>
      <c r="E24" s="68">
        <v>1799</v>
      </c>
      <c r="F24" s="64">
        <v>5</v>
      </c>
      <c r="H24" s="50"/>
    </row>
    <row r="25" spans="2:8" s="57" customFormat="1" x14ac:dyDescent="0.35">
      <c r="B25" s="66">
        <v>848</v>
      </c>
      <c r="C25" s="67">
        <v>2</v>
      </c>
      <c r="E25" s="70">
        <v>1903</v>
      </c>
      <c r="F25" s="67">
        <v>3.5</v>
      </c>
      <c r="H25" s="50"/>
    </row>
    <row r="26" spans="2:8" s="57" customFormat="1" x14ac:dyDescent="0.35">
      <c r="B26" s="63">
        <v>855</v>
      </c>
      <c r="C26" s="64">
        <v>4</v>
      </c>
      <c r="E26" s="68">
        <v>1907</v>
      </c>
      <c r="F26" s="71">
        <v>5</v>
      </c>
      <c r="H26" s="50"/>
    </row>
    <row r="27" spans="2:8" s="57" customFormat="1" x14ac:dyDescent="0.35">
      <c r="B27" s="63">
        <v>859</v>
      </c>
      <c r="C27" s="64">
        <v>5</v>
      </c>
      <c r="E27" s="68">
        <v>1910</v>
      </c>
      <c r="F27" s="64">
        <v>5</v>
      </c>
      <c r="H27" s="50"/>
    </row>
    <row r="28" spans="2:8" s="57" customFormat="1" x14ac:dyDescent="0.35">
      <c r="B28" s="63">
        <v>863</v>
      </c>
      <c r="C28" s="64">
        <v>5</v>
      </c>
      <c r="E28" s="68">
        <v>1931</v>
      </c>
      <c r="F28" s="64">
        <v>4.96</v>
      </c>
      <c r="H28" s="50"/>
    </row>
    <row r="29" spans="2:8" s="57" customFormat="1" x14ac:dyDescent="0.35">
      <c r="B29" s="63">
        <v>867</v>
      </c>
      <c r="C29" s="64">
        <v>4</v>
      </c>
      <c r="E29" s="68">
        <v>1932</v>
      </c>
      <c r="F29" s="64">
        <v>5</v>
      </c>
      <c r="H29" s="50"/>
    </row>
    <row r="30" spans="2:8" s="57" customFormat="1" x14ac:dyDescent="0.35">
      <c r="B30" s="63">
        <v>1245</v>
      </c>
      <c r="C30" s="64">
        <v>4</v>
      </c>
      <c r="E30" s="70">
        <v>1934</v>
      </c>
      <c r="F30" s="67">
        <v>3.5</v>
      </c>
      <c r="H30" s="50"/>
    </row>
    <row r="31" spans="2:8" s="57" customFormat="1" x14ac:dyDescent="0.35">
      <c r="B31" s="66">
        <v>1248</v>
      </c>
      <c r="C31" s="67">
        <v>2</v>
      </c>
      <c r="E31" s="68">
        <v>1939</v>
      </c>
      <c r="F31" s="64">
        <v>5</v>
      </c>
      <c r="H31" s="50"/>
    </row>
    <row r="32" spans="2:8" s="57" customFormat="1" x14ac:dyDescent="0.35">
      <c r="B32" s="63">
        <v>1250</v>
      </c>
      <c r="C32" s="64">
        <v>4.5</v>
      </c>
      <c r="E32" s="68">
        <v>1946</v>
      </c>
      <c r="F32" s="64">
        <v>5</v>
      </c>
      <c r="H32" s="50"/>
    </row>
    <row r="33" spans="2:8" s="57" customFormat="1" x14ac:dyDescent="0.35">
      <c r="B33" s="80">
        <v>1251</v>
      </c>
      <c r="C33" s="67">
        <v>3.5</v>
      </c>
      <c r="E33" s="68">
        <v>1950</v>
      </c>
      <c r="F33" s="64">
        <v>4.5</v>
      </c>
      <c r="H33" s="50"/>
    </row>
    <row r="34" spans="2:8" s="57" customFormat="1" x14ac:dyDescent="0.35">
      <c r="B34" s="69">
        <v>1254</v>
      </c>
      <c r="C34" s="64">
        <v>4.5</v>
      </c>
      <c r="E34" s="68">
        <v>1959</v>
      </c>
      <c r="F34" s="64">
        <v>5</v>
      </c>
      <c r="H34" s="50"/>
    </row>
    <row r="35" spans="2:8" s="57" customFormat="1" x14ac:dyDescent="0.35">
      <c r="B35" s="63">
        <v>1265</v>
      </c>
      <c r="C35" s="64">
        <v>4</v>
      </c>
      <c r="E35" s="70"/>
      <c r="F35" s="67"/>
      <c r="H35" s="50"/>
    </row>
    <row r="36" spans="2:8" s="57" customFormat="1" x14ac:dyDescent="0.35">
      <c r="B36" s="73" t="s">
        <v>25</v>
      </c>
      <c r="C36" s="74">
        <f>+SUM(C6:C35,F6:F35)*2/46</f>
        <v>10.755652173913045</v>
      </c>
      <c r="D36" s="75"/>
      <c r="E36" s="76" t="s">
        <v>26</v>
      </c>
      <c r="F36" s="77">
        <f>+C36*7</f>
        <v>75.289565217391313</v>
      </c>
      <c r="H36" s="50"/>
    </row>
    <row r="37" spans="2:8" s="57" customFormat="1" x14ac:dyDescent="0.35">
      <c r="B37" s="78" t="s">
        <v>27</v>
      </c>
      <c r="C37" s="75"/>
      <c r="D37" s="75"/>
      <c r="E37" s="75"/>
      <c r="F37" s="75"/>
      <c r="H37" s="50"/>
    </row>
    <row r="38" spans="2:8" s="57" customFormat="1" x14ac:dyDescent="0.35">
      <c r="E38" s="72"/>
      <c r="H38" s="50"/>
    </row>
    <row r="39" spans="2:8" s="57" customFormat="1" x14ac:dyDescent="0.35">
      <c r="E39" s="72"/>
      <c r="H39" s="50"/>
    </row>
    <row r="40" spans="2:8" s="57" customFormat="1" x14ac:dyDescent="0.35">
      <c r="E40" s="72"/>
      <c r="H40" s="50"/>
    </row>
    <row r="41" spans="2:8" s="57" customFormat="1" x14ac:dyDescent="0.35">
      <c r="E41" s="50"/>
      <c r="F41" s="50"/>
      <c r="H41" s="50"/>
    </row>
    <row r="42" spans="2:8" s="57" customFormat="1" x14ac:dyDescent="0.35">
      <c r="E42" s="50"/>
      <c r="F42" s="50"/>
      <c r="H42" s="50"/>
    </row>
    <row r="43" spans="2:8" s="57" customFormat="1" x14ac:dyDescent="0.35">
      <c r="E43" s="50"/>
      <c r="F43" s="50"/>
      <c r="H43" s="50"/>
    </row>
    <row r="44" spans="2:8" s="57" customFormat="1" x14ac:dyDescent="0.35">
      <c r="E44" s="50"/>
      <c r="F44" s="50"/>
      <c r="H44" s="50"/>
    </row>
    <row r="45" spans="2:8" s="57" customFormat="1" x14ac:dyDescent="0.35">
      <c r="E45" s="50"/>
      <c r="F45" s="50"/>
      <c r="H45" s="50"/>
    </row>
    <row r="46" spans="2:8" s="57" customFormat="1" x14ac:dyDescent="0.35">
      <c r="E46" s="50"/>
      <c r="F46" s="50"/>
      <c r="H46" s="50"/>
    </row>
    <row r="47" spans="2:8" s="57" customFormat="1" x14ac:dyDescent="0.35">
      <c r="E47" s="50"/>
      <c r="F47" s="50"/>
      <c r="H47" s="50"/>
    </row>
    <row r="48" spans="2:8" s="57" customFormat="1" x14ac:dyDescent="0.35">
      <c r="E48" s="50"/>
      <c r="F48" s="50"/>
      <c r="H48" s="50"/>
    </row>
    <row r="49" spans="2:8" s="57" customFormat="1" x14ac:dyDescent="0.35">
      <c r="E49" s="50"/>
      <c r="F49" s="50"/>
      <c r="H49" s="50"/>
    </row>
    <row r="50" spans="2:8" s="57" customFormat="1" x14ac:dyDescent="0.35">
      <c r="E50" s="50"/>
      <c r="F50" s="50"/>
      <c r="H50" s="50"/>
    </row>
    <row r="51" spans="2:8" x14ac:dyDescent="0.35">
      <c r="B51" s="57"/>
      <c r="C51" s="57"/>
    </row>
  </sheetData>
  <sortState ref="B6:C64">
    <sortCondition ref="B6"/>
  </sortState>
  <mergeCells count="3">
    <mergeCell ref="B2:F2"/>
    <mergeCell ref="B3:F3"/>
    <mergeCell ref="B4:F4"/>
  </mergeCells>
  <printOptions horizontalCentered="1" verticalCentered="1"/>
  <pageMargins left="0.27" right="0.22" top="0.31" bottom="0.33" header="0.31496062992125984" footer="0.31496062992125984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69"/>
  <sheetViews>
    <sheetView topLeftCell="A46" workbookViewId="0">
      <selection activeCell="F49" sqref="F49"/>
    </sheetView>
  </sheetViews>
  <sheetFormatPr baseColWidth="10" defaultRowHeight="15.75" customHeight="1" x14ac:dyDescent="0.25"/>
  <cols>
    <col min="1" max="1" width="4.140625" style="1" customWidth="1"/>
    <col min="2" max="2" width="18.7109375" style="1" customWidth="1"/>
    <col min="3" max="5" width="11.42578125" style="1"/>
    <col min="6" max="6" width="16.5703125" style="1" bestFit="1" customWidth="1"/>
    <col min="7" max="8" width="11.42578125" style="1"/>
    <col min="9" max="9" width="14" style="1" customWidth="1"/>
    <col min="10" max="10" width="13.7109375" style="1" customWidth="1"/>
    <col min="11" max="12" width="13.140625" style="1" customWidth="1"/>
    <col min="13" max="13" width="3.7109375" style="1" customWidth="1"/>
    <col min="14" max="16384" width="11.42578125" style="1"/>
  </cols>
  <sheetData>
    <row r="2" spans="2:12" ht="18" x14ac:dyDescent="0.25">
      <c r="C2" s="2" t="s">
        <v>14</v>
      </c>
      <c r="D2" s="3"/>
      <c r="E2" s="3"/>
      <c r="F2" s="3"/>
      <c r="G2" s="3"/>
      <c r="H2" s="3"/>
      <c r="I2" s="3"/>
      <c r="J2" s="3"/>
      <c r="K2" s="3"/>
      <c r="L2" s="4"/>
    </row>
    <row r="3" spans="2:12" ht="18" x14ac:dyDescent="0.25">
      <c r="C3" s="5" t="s">
        <v>16</v>
      </c>
      <c r="D3" s="6"/>
      <c r="E3" s="6"/>
      <c r="F3" s="6"/>
      <c r="G3" s="6"/>
      <c r="H3" s="6"/>
      <c r="I3" s="6"/>
      <c r="J3" s="6"/>
      <c r="K3" s="6"/>
      <c r="L3" s="7"/>
    </row>
    <row r="4" spans="2:12" ht="18" x14ac:dyDescent="0.25">
      <c r="C4" s="8" t="s">
        <v>29</v>
      </c>
      <c r="D4" s="9"/>
      <c r="E4" s="9"/>
      <c r="F4" s="9"/>
      <c r="G4" s="9"/>
      <c r="H4" s="9"/>
      <c r="I4" s="9"/>
      <c r="J4" s="9"/>
      <c r="K4" s="9"/>
      <c r="L4" s="10"/>
    </row>
    <row r="5" spans="2:12" s="11" customFormat="1" ht="38.25" x14ac:dyDescent="0.25"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7</v>
      </c>
      <c r="J5" s="12" t="s">
        <v>8</v>
      </c>
      <c r="K5" s="12" t="s">
        <v>9</v>
      </c>
      <c r="L5" s="12" t="s">
        <v>28</v>
      </c>
    </row>
    <row r="6" spans="2:12" s="13" customFormat="1" ht="15.75" customHeight="1" x14ac:dyDescent="0.25">
      <c r="B6" s="14" t="s">
        <v>11</v>
      </c>
      <c r="C6" s="81">
        <v>688</v>
      </c>
      <c r="D6" s="19">
        <v>4</v>
      </c>
      <c r="E6" s="16">
        <v>26.2</v>
      </c>
      <c r="F6" s="15">
        <v>202</v>
      </c>
      <c r="G6" s="17">
        <v>155</v>
      </c>
      <c r="H6" s="16">
        <v>10</v>
      </c>
      <c r="I6" s="16">
        <v>1.5</v>
      </c>
      <c r="J6" s="16">
        <v>0.1</v>
      </c>
      <c r="K6" s="16">
        <v>1.5</v>
      </c>
      <c r="L6" s="15">
        <v>33.97</v>
      </c>
    </row>
    <row r="7" spans="2:12" s="13" customFormat="1" ht="15.75" customHeight="1" x14ac:dyDescent="0.25">
      <c r="B7" s="18"/>
      <c r="C7" s="14">
        <v>807</v>
      </c>
      <c r="D7" s="82">
        <v>3</v>
      </c>
      <c r="E7" s="16">
        <v>29.3</v>
      </c>
      <c r="F7" s="15">
        <v>17</v>
      </c>
      <c r="G7" s="17">
        <v>0</v>
      </c>
      <c r="H7" s="16">
        <v>10</v>
      </c>
      <c r="I7" s="16">
        <v>1.5</v>
      </c>
      <c r="J7" s="16">
        <v>0.1</v>
      </c>
      <c r="K7" s="16">
        <v>1.5</v>
      </c>
      <c r="L7" s="15">
        <v>41.71</v>
      </c>
    </row>
    <row r="8" spans="2:12" s="13" customFormat="1" ht="15.75" customHeight="1" x14ac:dyDescent="0.25">
      <c r="B8" s="18"/>
      <c r="C8" s="22">
        <v>809</v>
      </c>
      <c r="D8" s="82">
        <v>4</v>
      </c>
      <c r="E8" s="16">
        <v>20</v>
      </c>
      <c r="F8" s="17">
        <v>11</v>
      </c>
      <c r="G8" s="15">
        <v>0</v>
      </c>
      <c r="H8" s="16">
        <v>7.69</v>
      </c>
      <c r="I8" s="16">
        <v>1.5</v>
      </c>
      <c r="J8" s="16">
        <v>0.1</v>
      </c>
      <c r="K8" s="16">
        <v>1.5</v>
      </c>
      <c r="L8" s="15">
        <v>31.68</v>
      </c>
    </row>
    <row r="9" spans="2:12" s="13" customFormat="1" ht="15.75" customHeight="1" x14ac:dyDescent="0.25">
      <c r="B9" s="18"/>
      <c r="C9" s="14">
        <v>823</v>
      </c>
      <c r="D9" s="82">
        <v>3</v>
      </c>
      <c r="E9" s="16">
        <v>29.1</v>
      </c>
      <c r="F9" s="15">
        <v>118</v>
      </c>
      <c r="G9" s="17">
        <v>80</v>
      </c>
      <c r="H9" s="16">
        <v>10</v>
      </c>
      <c r="I9" s="16">
        <v>1.5</v>
      </c>
      <c r="J9" s="16">
        <v>0.1</v>
      </c>
      <c r="K9" s="16">
        <v>1.5</v>
      </c>
      <c r="L9" s="15">
        <v>41.2</v>
      </c>
    </row>
    <row r="10" spans="2:12" s="13" customFormat="1" ht="15.75" customHeight="1" x14ac:dyDescent="0.25">
      <c r="B10" s="18"/>
      <c r="C10" s="81">
        <v>839</v>
      </c>
      <c r="D10" s="82">
        <v>2</v>
      </c>
      <c r="E10" s="16">
        <v>20</v>
      </c>
      <c r="F10" s="15">
        <v>3</v>
      </c>
      <c r="G10" s="17">
        <v>0</v>
      </c>
      <c r="H10" s="16">
        <v>7.69</v>
      </c>
      <c r="I10" s="16">
        <v>1.5</v>
      </c>
      <c r="J10" s="16">
        <v>0.1</v>
      </c>
      <c r="K10" s="16">
        <v>1.5</v>
      </c>
      <c r="L10" s="15">
        <v>35.340000000000003</v>
      </c>
    </row>
    <row r="11" spans="2:12" s="13" customFormat="1" ht="15.75" customHeight="1" x14ac:dyDescent="0.25">
      <c r="B11" s="18"/>
      <c r="C11" s="14">
        <v>843</v>
      </c>
      <c r="D11" s="82">
        <v>1</v>
      </c>
      <c r="E11" s="16">
        <v>24.7</v>
      </c>
      <c r="F11" s="15">
        <v>266</v>
      </c>
      <c r="G11" s="17">
        <v>158</v>
      </c>
      <c r="H11" s="16">
        <v>9.5</v>
      </c>
      <c r="I11" s="16">
        <v>1.5</v>
      </c>
      <c r="J11" s="16">
        <v>0.1</v>
      </c>
      <c r="K11" s="16">
        <v>1.5</v>
      </c>
      <c r="L11" s="15">
        <v>40.369999999999997</v>
      </c>
    </row>
    <row r="12" spans="2:12" s="13" customFormat="1" ht="15.75" customHeight="1" x14ac:dyDescent="0.25">
      <c r="B12" s="18"/>
      <c r="C12" s="81">
        <v>851</v>
      </c>
      <c r="D12" s="83">
        <v>1</v>
      </c>
      <c r="E12" s="20">
        <v>22.06</v>
      </c>
      <c r="F12" s="15">
        <v>77</v>
      </c>
      <c r="G12" s="17">
        <v>0</v>
      </c>
      <c r="H12" s="16">
        <v>8.48</v>
      </c>
      <c r="I12" s="16">
        <v>1.5</v>
      </c>
      <c r="J12" s="16">
        <v>0.1</v>
      </c>
      <c r="K12" s="16">
        <v>1.5</v>
      </c>
      <c r="L12" s="15">
        <v>39.590000000000003</v>
      </c>
    </row>
    <row r="13" spans="2:12" s="13" customFormat="1" ht="15.75" customHeight="1" x14ac:dyDescent="0.25">
      <c r="B13" s="18"/>
      <c r="C13" s="14">
        <v>853</v>
      </c>
      <c r="D13" s="83">
        <v>1</v>
      </c>
      <c r="E13" s="20">
        <v>23.42</v>
      </c>
      <c r="F13" s="15">
        <v>100</v>
      </c>
      <c r="G13" s="17">
        <v>0</v>
      </c>
      <c r="H13" s="16">
        <v>9.01</v>
      </c>
      <c r="I13" s="16">
        <v>1.5</v>
      </c>
      <c r="J13" s="16">
        <v>0.1</v>
      </c>
      <c r="K13" s="16">
        <v>1.5</v>
      </c>
      <c r="L13" s="15">
        <v>40</v>
      </c>
    </row>
    <row r="14" spans="2:12" s="13" customFormat="1" ht="15.75" customHeight="1" x14ac:dyDescent="0.25">
      <c r="B14" s="18"/>
      <c r="C14" s="14">
        <v>857</v>
      </c>
      <c r="D14" s="82">
        <v>1</v>
      </c>
      <c r="E14" s="16">
        <v>23.3</v>
      </c>
      <c r="F14" s="15">
        <v>64</v>
      </c>
      <c r="G14" s="17">
        <v>0</v>
      </c>
      <c r="H14" s="16">
        <v>8.9600000000000009</v>
      </c>
      <c r="I14" s="16">
        <v>1.5</v>
      </c>
      <c r="J14" s="16">
        <v>0.1</v>
      </c>
      <c r="K14" s="16">
        <v>1.5</v>
      </c>
      <c r="L14" s="15">
        <v>39.96</v>
      </c>
    </row>
    <row r="15" spans="2:12" s="13" customFormat="1" ht="15.75" customHeight="1" x14ac:dyDescent="0.25">
      <c r="B15" s="18"/>
      <c r="C15" s="14">
        <v>860</v>
      </c>
      <c r="D15" s="82">
        <v>1</v>
      </c>
      <c r="E15" s="16">
        <v>29.69</v>
      </c>
      <c r="F15" s="15">
        <v>63</v>
      </c>
      <c r="G15" s="17">
        <v>0</v>
      </c>
      <c r="H15" s="16">
        <v>10</v>
      </c>
      <c r="I15" s="16">
        <v>1.5</v>
      </c>
      <c r="J15" s="16">
        <v>0.1</v>
      </c>
      <c r="K15" s="16">
        <v>1.5</v>
      </c>
      <c r="L15" s="15">
        <v>49.96</v>
      </c>
    </row>
    <row r="16" spans="2:12" s="13" customFormat="1" ht="15.75" customHeight="1" x14ac:dyDescent="0.25">
      <c r="B16" s="18"/>
      <c r="C16" s="14">
        <v>866</v>
      </c>
      <c r="D16" s="82">
        <v>1</v>
      </c>
      <c r="E16" s="16">
        <v>20</v>
      </c>
      <c r="F16" s="17">
        <v>4</v>
      </c>
      <c r="G16" s="15">
        <v>0</v>
      </c>
      <c r="H16" s="16">
        <v>7.69</v>
      </c>
      <c r="I16" s="16">
        <v>1.5</v>
      </c>
      <c r="J16" s="16">
        <v>0.1</v>
      </c>
      <c r="K16" s="16">
        <v>1.5</v>
      </c>
      <c r="L16" s="15">
        <v>39</v>
      </c>
    </row>
    <row r="17" spans="2:12" s="13" customFormat="1" ht="15.75" customHeight="1" x14ac:dyDescent="0.25">
      <c r="B17" s="18"/>
      <c r="C17" s="14">
        <v>1238</v>
      </c>
      <c r="D17" s="82">
        <v>2</v>
      </c>
      <c r="E17" s="16">
        <v>20.6</v>
      </c>
      <c r="F17" s="15">
        <v>44</v>
      </c>
      <c r="G17" s="17">
        <v>0</v>
      </c>
      <c r="H17" s="16">
        <v>7.92</v>
      </c>
      <c r="I17" s="16">
        <v>1.5</v>
      </c>
      <c r="J17" s="16">
        <v>0.1</v>
      </c>
      <c r="K17" s="16">
        <v>1.5</v>
      </c>
      <c r="L17" s="15">
        <v>34.35</v>
      </c>
    </row>
    <row r="18" spans="2:12" s="13" customFormat="1" ht="15.75" customHeight="1" x14ac:dyDescent="0.25">
      <c r="B18" s="18"/>
      <c r="C18" s="14">
        <v>1242</v>
      </c>
      <c r="D18" s="82">
        <v>2</v>
      </c>
      <c r="E18" s="16">
        <v>20.3</v>
      </c>
      <c r="F18" s="15">
        <v>58</v>
      </c>
      <c r="G18" s="17">
        <v>0</v>
      </c>
      <c r="H18" s="16">
        <v>7.81</v>
      </c>
      <c r="I18" s="16">
        <v>1.5</v>
      </c>
      <c r="J18" s="16">
        <v>0.1</v>
      </c>
      <c r="K18" s="16">
        <v>1.5</v>
      </c>
      <c r="L18" s="15">
        <v>34.24</v>
      </c>
    </row>
    <row r="19" spans="2:12" s="13" customFormat="1" ht="15.75" customHeight="1" x14ac:dyDescent="0.25">
      <c r="B19" s="18"/>
      <c r="C19" s="14">
        <v>1584</v>
      </c>
      <c r="D19" s="82">
        <v>4</v>
      </c>
      <c r="E19" s="16">
        <v>22</v>
      </c>
      <c r="F19" s="17">
        <v>98</v>
      </c>
      <c r="G19" s="15">
        <v>0</v>
      </c>
      <c r="H19" s="16">
        <v>8.4600000000000009</v>
      </c>
      <c r="I19" s="16">
        <v>1.5</v>
      </c>
      <c r="J19" s="16">
        <v>0.1</v>
      </c>
      <c r="K19" s="16">
        <v>1.5</v>
      </c>
      <c r="L19" s="15">
        <v>32.26</v>
      </c>
    </row>
    <row r="20" spans="2:12" s="13" customFormat="1" ht="15.75" customHeight="1" x14ac:dyDescent="0.25">
      <c r="B20" s="18"/>
      <c r="C20" s="14">
        <v>1707</v>
      </c>
      <c r="D20" s="82">
        <v>4</v>
      </c>
      <c r="E20" s="16">
        <v>28.5</v>
      </c>
      <c r="F20" s="15">
        <v>104</v>
      </c>
      <c r="G20" s="17">
        <v>0</v>
      </c>
      <c r="H20" s="16">
        <v>10</v>
      </c>
      <c r="I20" s="16">
        <v>1.5</v>
      </c>
      <c r="J20" s="16">
        <v>0.1</v>
      </c>
      <c r="K20" s="16">
        <v>1.5</v>
      </c>
      <c r="L20" s="15">
        <v>39.72</v>
      </c>
    </row>
    <row r="21" spans="2:12" s="13" customFormat="1" ht="15.75" customHeight="1" x14ac:dyDescent="0.25">
      <c r="B21" s="18"/>
      <c r="C21" s="14">
        <v>1719</v>
      </c>
      <c r="D21" s="82">
        <v>4</v>
      </c>
      <c r="E21" s="16">
        <v>26.6</v>
      </c>
      <c r="F21" s="17">
        <v>260</v>
      </c>
      <c r="G21" s="15">
        <v>135</v>
      </c>
      <c r="H21" s="16">
        <v>10</v>
      </c>
      <c r="I21" s="16">
        <v>1.5</v>
      </c>
      <c r="J21" s="16">
        <v>0.1</v>
      </c>
      <c r="K21" s="16">
        <v>1.5</v>
      </c>
      <c r="L21" s="15">
        <v>34.28</v>
      </c>
    </row>
    <row r="22" spans="2:12" s="13" customFormat="1" ht="15.75" customHeight="1" x14ac:dyDescent="0.25">
      <c r="B22" s="18"/>
      <c r="C22" s="81">
        <v>1743</v>
      </c>
      <c r="D22" s="82">
        <v>4</v>
      </c>
      <c r="E22" s="16">
        <v>25.1</v>
      </c>
      <c r="F22" s="17">
        <v>72</v>
      </c>
      <c r="G22" s="15">
        <v>0</v>
      </c>
      <c r="H22" s="16">
        <v>9.65</v>
      </c>
      <c r="I22" s="16">
        <v>1.5</v>
      </c>
      <c r="J22" s="16">
        <v>0.1</v>
      </c>
      <c r="K22" s="16">
        <v>1.5</v>
      </c>
      <c r="L22" s="15">
        <v>33.18</v>
      </c>
    </row>
    <row r="23" spans="2:12" s="13" customFormat="1" ht="15.75" customHeight="1" x14ac:dyDescent="0.25">
      <c r="B23" s="18"/>
      <c r="C23" s="14">
        <v>1745</v>
      </c>
      <c r="D23" s="19">
        <v>4</v>
      </c>
      <c r="E23" s="16">
        <v>20</v>
      </c>
      <c r="F23" s="17">
        <v>15</v>
      </c>
      <c r="G23" s="15">
        <v>0</v>
      </c>
      <c r="H23" s="16">
        <v>7.69</v>
      </c>
      <c r="I23" s="16">
        <v>1.5</v>
      </c>
      <c r="J23" s="16">
        <v>0.1</v>
      </c>
      <c r="K23" s="16">
        <v>1.5</v>
      </c>
      <c r="L23" s="15">
        <v>31.68</v>
      </c>
    </row>
    <row r="24" spans="2:12" s="13" customFormat="1" ht="15.75" customHeight="1" x14ac:dyDescent="0.25">
      <c r="B24" s="18"/>
      <c r="C24" s="84">
        <v>1746</v>
      </c>
      <c r="D24" s="19">
        <v>4</v>
      </c>
      <c r="E24" s="16">
        <v>19.899999999999999</v>
      </c>
      <c r="F24" s="15">
        <v>10</v>
      </c>
      <c r="G24" s="17">
        <v>0</v>
      </c>
      <c r="H24" s="16">
        <v>7.65</v>
      </c>
      <c r="I24" s="16">
        <v>1.5</v>
      </c>
      <c r="J24" s="16">
        <v>0.1</v>
      </c>
      <c r="K24" s="16">
        <v>1.5</v>
      </c>
      <c r="L24" s="15">
        <v>30.61</v>
      </c>
    </row>
    <row r="25" spans="2:12" s="13" customFormat="1" ht="15.75" customHeight="1" x14ac:dyDescent="0.25">
      <c r="B25" s="18"/>
      <c r="C25" s="14">
        <v>1755</v>
      </c>
      <c r="D25" s="82">
        <v>4</v>
      </c>
      <c r="E25" s="16">
        <v>23.6</v>
      </c>
      <c r="F25" s="15">
        <v>146</v>
      </c>
      <c r="G25" s="17">
        <v>100</v>
      </c>
      <c r="H25" s="16">
        <v>9.08</v>
      </c>
      <c r="I25" s="16">
        <v>1.5</v>
      </c>
      <c r="J25" s="16">
        <v>0.1</v>
      </c>
      <c r="K25" s="16">
        <v>1.5</v>
      </c>
      <c r="L25" s="15">
        <v>32.74</v>
      </c>
    </row>
    <row r="26" spans="2:12" s="13" customFormat="1" ht="15.75" customHeight="1" x14ac:dyDescent="0.25">
      <c r="B26" s="18"/>
      <c r="C26" s="22">
        <v>1776</v>
      </c>
      <c r="D26" s="82">
        <v>3</v>
      </c>
      <c r="E26" s="16">
        <v>24.3</v>
      </c>
      <c r="F26" s="17">
        <v>66</v>
      </c>
      <c r="G26" s="15">
        <v>0</v>
      </c>
      <c r="H26" s="16">
        <v>9.35</v>
      </c>
      <c r="I26" s="16">
        <v>1.5</v>
      </c>
      <c r="J26" s="16">
        <v>0.1</v>
      </c>
      <c r="K26" s="16">
        <v>1.5</v>
      </c>
      <c r="L26" s="15">
        <v>32.19</v>
      </c>
    </row>
    <row r="27" spans="2:12" s="13" customFormat="1" ht="15.75" customHeight="1" x14ac:dyDescent="0.25">
      <c r="B27" s="18"/>
      <c r="C27" s="14">
        <v>1784</v>
      </c>
      <c r="D27" s="19">
        <v>3</v>
      </c>
      <c r="E27" s="16">
        <v>28.65</v>
      </c>
      <c r="F27" s="15">
        <v>92</v>
      </c>
      <c r="G27" s="17">
        <v>0</v>
      </c>
      <c r="H27" s="16">
        <v>10</v>
      </c>
      <c r="I27" s="16">
        <v>1.5</v>
      </c>
      <c r="J27" s="16">
        <v>0.1</v>
      </c>
      <c r="K27" s="16">
        <v>1.5</v>
      </c>
      <c r="L27" s="15">
        <v>39.520000000000003</v>
      </c>
    </row>
    <row r="28" spans="2:12" s="13" customFormat="1" ht="15.75" customHeight="1" x14ac:dyDescent="0.25">
      <c r="B28" s="18"/>
      <c r="C28" s="14">
        <v>1935</v>
      </c>
      <c r="D28" s="19">
        <v>2</v>
      </c>
      <c r="E28" s="16">
        <v>22.1</v>
      </c>
      <c r="F28" s="15">
        <v>110</v>
      </c>
      <c r="G28" s="17">
        <v>0</v>
      </c>
      <c r="H28" s="16">
        <v>8.5</v>
      </c>
      <c r="I28" s="16">
        <v>1.5</v>
      </c>
      <c r="J28" s="16">
        <v>0.1</v>
      </c>
      <c r="K28" s="16">
        <v>1.5</v>
      </c>
      <c r="L28" s="15">
        <v>34.86</v>
      </c>
    </row>
    <row r="29" spans="2:12" s="13" customFormat="1" ht="15.75" customHeight="1" x14ac:dyDescent="0.25">
      <c r="B29" s="18"/>
      <c r="C29" s="14">
        <v>1965</v>
      </c>
      <c r="D29" s="19">
        <v>1</v>
      </c>
      <c r="E29" s="16">
        <v>17.8</v>
      </c>
      <c r="F29" s="17">
        <v>46</v>
      </c>
      <c r="G29" s="15">
        <v>0</v>
      </c>
      <c r="H29" s="16">
        <v>6.85</v>
      </c>
      <c r="I29" s="16">
        <v>1.5</v>
      </c>
      <c r="J29" s="16">
        <v>0.1</v>
      </c>
      <c r="K29" s="16">
        <v>1.5</v>
      </c>
      <c r="L29" s="15">
        <v>36.85</v>
      </c>
    </row>
    <row r="30" spans="2:12" s="13" customFormat="1" ht="15.75" customHeight="1" x14ac:dyDescent="0.25">
      <c r="B30" s="14" t="s">
        <v>12</v>
      </c>
      <c r="C30" s="14">
        <v>801</v>
      </c>
      <c r="D30" s="19">
        <v>3</v>
      </c>
      <c r="E30" s="16">
        <v>14.8</v>
      </c>
      <c r="F30" s="15">
        <v>92</v>
      </c>
      <c r="G30" s="17">
        <v>0</v>
      </c>
      <c r="H30" s="16">
        <v>4.4800000000000004</v>
      </c>
      <c r="I30" s="16">
        <v>1.5</v>
      </c>
      <c r="J30" s="16">
        <v>0.1</v>
      </c>
      <c r="K30" s="16">
        <v>1.5</v>
      </c>
      <c r="L30" s="15">
        <v>37.049999999999997</v>
      </c>
    </row>
    <row r="31" spans="2:12" s="13" customFormat="1" ht="15.75" customHeight="1" x14ac:dyDescent="0.25">
      <c r="B31" s="18"/>
      <c r="C31" s="14">
        <v>837</v>
      </c>
      <c r="D31" s="19">
        <v>1</v>
      </c>
      <c r="E31" s="16">
        <v>11.52</v>
      </c>
      <c r="F31" s="15">
        <v>268</v>
      </c>
      <c r="G31" s="17">
        <v>0</v>
      </c>
      <c r="H31" s="16">
        <v>3.49</v>
      </c>
      <c r="I31" s="16">
        <v>1.5</v>
      </c>
      <c r="J31" s="16">
        <v>0.1</v>
      </c>
      <c r="K31" s="16">
        <v>1.5</v>
      </c>
      <c r="L31" s="15">
        <v>41.88</v>
      </c>
    </row>
    <row r="32" spans="2:12" s="13" customFormat="1" ht="15.75" customHeight="1" x14ac:dyDescent="0.25">
      <c r="B32" s="18"/>
      <c r="C32" s="14">
        <v>1243</v>
      </c>
      <c r="D32" s="19">
        <v>2</v>
      </c>
      <c r="E32" s="16">
        <v>18.8</v>
      </c>
      <c r="F32" s="15">
        <v>99</v>
      </c>
      <c r="G32" s="17">
        <v>0</v>
      </c>
      <c r="H32" s="16">
        <v>5.7</v>
      </c>
      <c r="I32" s="16">
        <v>1.5</v>
      </c>
      <c r="J32" s="16">
        <v>0.1</v>
      </c>
      <c r="K32" s="16">
        <v>1.5</v>
      </c>
      <c r="L32" s="15">
        <v>42.5</v>
      </c>
    </row>
    <row r="33" spans="2:12" s="13" customFormat="1" ht="15.75" customHeight="1" x14ac:dyDescent="0.25">
      <c r="B33" s="18"/>
      <c r="C33" s="14">
        <v>1582</v>
      </c>
      <c r="D33" s="19">
        <v>5</v>
      </c>
      <c r="E33" s="16">
        <v>16.32</v>
      </c>
      <c r="F33" s="15">
        <v>335</v>
      </c>
      <c r="G33" s="17">
        <v>0</v>
      </c>
      <c r="H33" s="16">
        <v>4.9400000000000004</v>
      </c>
      <c r="I33" s="16">
        <v>1.5</v>
      </c>
      <c r="J33" s="16">
        <v>0.1</v>
      </c>
      <c r="K33" s="16">
        <v>1.5</v>
      </c>
      <c r="L33" s="15">
        <v>37.020000000000003</v>
      </c>
    </row>
    <row r="34" spans="2:12" s="13" customFormat="1" ht="15.75" customHeight="1" x14ac:dyDescent="0.25">
      <c r="B34" s="18"/>
      <c r="C34" s="14">
        <v>1718</v>
      </c>
      <c r="D34" s="19">
        <v>3</v>
      </c>
      <c r="E34" s="16">
        <v>13.1</v>
      </c>
      <c r="F34" s="15">
        <v>228</v>
      </c>
      <c r="G34" s="17">
        <v>0</v>
      </c>
      <c r="H34" s="16">
        <v>3.97</v>
      </c>
      <c r="I34" s="16">
        <v>1.5</v>
      </c>
      <c r="J34" s="16">
        <v>0.1</v>
      </c>
      <c r="K34" s="16">
        <v>1.5</v>
      </c>
      <c r="L34" s="15">
        <v>34.42</v>
      </c>
    </row>
    <row r="35" spans="2:12" s="13" customFormat="1" ht="15.75" customHeight="1" x14ac:dyDescent="0.25">
      <c r="B35" s="18"/>
      <c r="C35" s="14">
        <v>1751</v>
      </c>
      <c r="D35" s="19">
        <v>4</v>
      </c>
      <c r="E35" s="16">
        <v>19.7</v>
      </c>
      <c r="F35" s="15">
        <v>100</v>
      </c>
      <c r="G35" s="17">
        <v>70</v>
      </c>
      <c r="H35" s="16">
        <v>5.97</v>
      </c>
      <c r="I35" s="16">
        <v>1.5</v>
      </c>
      <c r="J35" s="16">
        <v>0.1</v>
      </c>
      <c r="K35" s="16">
        <v>1.5</v>
      </c>
      <c r="L35" s="15">
        <v>39.79</v>
      </c>
    </row>
    <row r="36" spans="2:12" s="13" customFormat="1" ht="15.75" customHeight="1" x14ac:dyDescent="0.25">
      <c r="B36" s="18"/>
      <c r="C36" s="14">
        <v>1754</v>
      </c>
      <c r="D36" s="19">
        <v>2</v>
      </c>
      <c r="E36" s="16">
        <v>9.23</v>
      </c>
      <c r="F36" s="15">
        <v>395</v>
      </c>
      <c r="G36" s="17">
        <v>0</v>
      </c>
      <c r="H36" s="16">
        <v>2.8</v>
      </c>
      <c r="I36" s="16">
        <v>1.5</v>
      </c>
      <c r="J36" s="16">
        <v>0.1</v>
      </c>
      <c r="K36" s="16">
        <v>1.5</v>
      </c>
      <c r="L36" s="15">
        <v>34.69</v>
      </c>
    </row>
    <row r="37" spans="2:12" s="13" customFormat="1" ht="15.75" customHeight="1" x14ac:dyDescent="0.25">
      <c r="B37" s="18"/>
      <c r="C37" s="14">
        <v>1918</v>
      </c>
      <c r="D37" s="19">
        <v>3</v>
      </c>
      <c r="E37" s="16">
        <v>14.05</v>
      </c>
      <c r="F37" s="17">
        <v>63</v>
      </c>
      <c r="G37" s="15">
        <v>0</v>
      </c>
      <c r="H37" s="16">
        <v>4.26</v>
      </c>
      <c r="I37" s="16">
        <v>1.5</v>
      </c>
      <c r="J37" s="16">
        <v>0.1</v>
      </c>
      <c r="K37" s="16">
        <v>1.5</v>
      </c>
      <c r="L37" s="15">
        <v>36.47</v>
      </c>
    </row>
    <row r="38" spans="2:12" s="13" customFormat="1" ht="15.75" customHeight="1" x14ac:dyDescent="0.25">
      <c r="B38" s="18"/>
      <c r="C38" s="14">
        <v>1927</v>
      </c>
      <c r="D38" s="19">
        <v>1</v>
      </c>
      <c r="E38" s="16">
        <v>16.7</v>
      </c>
      <c r="F38" s="15">
        <v>133</v>
      </c>
      <c r="G38" s="17">
        <v>90</v>
      </c>
      <c r="H38" s="16">
        <v>5.0599999999999996</v>
      </c>
      <c r="I38" s="16">
        <v>1.5</v>
      </c>
      <c r="J38" s="16">
        <v>0.1</v>
      </c>
      <c r="K38" s="16">
        <v>1.5</v>
      </c>
      <c r="L38" s="15">
        <v>45.85</v>
      </c>
    </row>
    <row r="39" spans="2:12" s="13" customFormat="1" ht="15.75" customHeight="1" x14ac:dyDescent="0.25">
      <c r="B39" s="18"/>
      <c r="C39" s="14">
        <v>1961</v>
      </c>
      <c r="D39" s="19">
        <v>1</v>
      </c>
      <c r="E39" s="16">
        <v>13</v>
      </c>
      <c r="F39" s="15">
        <v>64</v>
      </c>
      <c r="G39" s="17">
        <v>0</v>
      </c>
      <c r="H39" s="16">
        <v>3.94</v>
      </c>
      <c r="I39" s="16">
        <v>1.5</v>
      </c>
      <c r="J39" s="16">
        <v>0.1</v>
      </c>
      <c r="K39" s="16">
        <v>1.5</v>
      </c>
      <c r="L39" s="15">
        <v>41.2</v>
      </c>
    </row>
    <row r="40" spans="2:12" s="13" customFormat="1" ht="15.75" customHeight="1" x14ac:dyDescent="0.25">
      <c r="B40" s="18"/>
      <c r="C40" s="14">
        <v>1962</v>
      </c>
      <c r="D40" s="19">
        <v>1</v>
      </c>
      <c r="E40" s="16">
        <v>15.5</v>
      </c>
      <c r="F40" s="15">
        <v>141</v>
      </c>
      <c r="G40" s="17">
        <v>0</v>
      </c>
      <c r="H40" s="16">
        <v>4.7</v>
      </c>
      <c r="I40" s="16">
        <v>1.5</v>
      </c>
      <c r="J40" s="16">
        <v>0.1</v>
      </c>
      <c r="K40" s="16">
        <v>1.5</v>
      </c>
      <c r="L40" s="15">
        <v>44.93</v>
      </c>
    </row>
    <row r="41" spans="2:12" s="13" customFormat="1" ht="15.75" customHeight="1" x14ac:dyDescent="0.25">
      <c r="B41" s="18"/>
      <c r="C41" s="14">
        <v>1967</v>
      </c>
      <c r="D41" s="19">
        <v>1</v>
      </c>
      <c r="E41" s="16">
        <v>16.600000000000001</v>
      </c>
      <c r="F41" s="15">
        <v>83</v>
      </c>
      <c r="G41" s="17">
        <v>0</v>
      </c>
      <c r="H41" s="16">
        <v>5.03</v>
      </c>
      <c r="I41" s="16">
        <v>1.5</v>
      </c>
      <c r="J41" s="16">
        <v>0.1</v>
      </c>
      <c r="K41" s="16">
        <v>1.5</v>
      </c>
      <c r="L41" s="15">
        <v>44.11</v>
      </c>
    </row>
    <row r="42" spans="2:12" s="13" customFormat="1" ht="15.75" customHeight="1" x14ac:dyDescent="0.25">
      <c r="B42" s="14" t="s">
        <v>13</v>
      </c>
      <c r="C42" s="14">
        <v>672</v>
      </c>
      <c r="D42" s="19">
        <v>5</v>
      </c>
      <c r="E42" s="16">
        <v>12.3</v>
      </c>
      <c r="F42" s="15">
        <v>303</v>
      </c>
      <c r="G42" s="17">
        <v>103</v>
      </c>
      <c r="H42" s="16">
        <v>3.15</v>
      </c>
      <c r="I42" s="16">
        <v>1.5</v>
      </c>
      <c r="J42" s="16">
        <v>0.1</v>
      </c>
      <c r="K42" s="16">
        <v>1.5</v>
      </c>
      <c r="L42" s="15">
        <v>38.42</v>
      </c>
    </row>
    <row r="43" spans="2:12" s="13" customFormat="1" ht="15.75" customHeight="1" x14ac:dyDescent="0.25">
      <c r="B43" s="18"/>
      <c r="C43" s="14">
        <v>675</v>
      </c>
      <c r="D43" s="19">
        <v>4</v>
      </c>
      <c r="E43" s="16">
        <v>10.3</v>
      </c>
      <c r="F43" s="17">
        <v>342</v>
      </c>
      <c r="G43" s="15">
        <v>196</v>
      </c>
      <c r="H43" s="16">
        <v>2.64</v>
      </c>
      <c r="I43" s="16">
        <v>1.5</v>
      </c>
      <c r="J43" s="16">
        <v>0.1</v>
      </c>
      <c r="K43" s="16">
        <v>1.5</v>
      </c>
      <c r="L43" s="15">
        <v>36.44</v>
      </c>
    </row>
    <row r="44" spans="2:12" s="13" customFormat="1" ht="15.75" customHeight="1" x14ac:dyDescent="0.25">
      <c r="B44" s="18"/>
      <c r="C44" s="14">
        <v>680</v>
      </c>
      <c r="D44" s="19">
        <v>4</v>
      </c>
      <c r="E44" s="16">
        <v>12.62</v>
      </c>
      <c r="F44" s="17">
        <v>414</v>
      </c>
      <c r="G44" s="15">
        <v>91</v>
      </c>
      <c r="H44" s="16">
        <v>3.24</v>
      </c>
      <c r="I44" s="16">
        <v>1.5</v>
      </c>
      <c r="J44" s="16">
        <v>0.1</v>
      </c>
      <c r="K44" s="16">
        <v>1.5</v>
      </c>
      <c r="L44" s="15">
        <v>38.76</v>
      </c>
    </row>
    <row r="45" spans="2:12" s="13" customFormat="1" ht="15.75" customHeight="1" x14ac:dyDescent="0.25">
      <c r="B45" s="18"/>
      <c r="C45" s="14">
        <v>822</v>
      </c>
      <c r="D45" s="19">
        <v>2</v>
      </c>
      <c r="E45" s="16">
        <v>11.6</v>
      </c>
      <c r="F45" s="15">
        <v>314</v>
      </c>
      <c r="G45" s="17">
        <v>173</v>
      </c>
      <c r="H45" s="16">
        <v>2.97</v>
      </c>
      <c r="I45" s="16">
        <v>1.5</v>
      </c>
      <c r="J45" s="16">
        <v>0.1</v>
      </c>
      <c r="K45" s="16">
        <v>1.5</v>
      </c>
      <c r="L45" s="15">
        <v>41.37</v>
      </c>
    </row>
    <row r="46" spans="2:12" s="13" customFormat="1" ht="15.75" customHeight="1" x14ac:dyDescent="0.25">
      <c r="B46" s="18"/>
      <c r="C46" s="14">
        <v>864</v>
      </c>
      <c r="D46" s="19">
        <v>1</v>
      </c>
      <c r="E46" s="16">
        <v>7.9</v>
      </c>
      <c r="F46" s="15">
        <v>285</v>
      </c>
      <c r="G46" s="17">
        <v>196</v>
      </c>
      <c r="H46" s="16">
        <v>2.0299999999999998</v>
      </c>
      <c r="I46" s="16">
        <v>1.5</v>
      </c>
      <c r="J46" s="16">
        <v>0.1</v>
      </c>
      <c r="K46" s="16">
        <v>1.5</v>
      </c>
      <c r="L46" s="15">
        <v>41.23</v>
      </c>
    </row>
    <row r="47" spans="2:12" s="13" customFormat="1" ht="15.75" customHeight="1" x14ac:dyDescent="0.25">
      <c r="B47" s="18"/>
      <c r="C47" s="14">
        <v>1240</v>
      </c>
      <c r="D47" s="19">
        <v>1</v>
      </c>
      <c r="E47" s="16">
        <v>10.4</v>
      </c>
      <c r="F47" s="15">
        <v>442</v>
      </c>
      <c r="G47" s="17">
        <v>100</v>
      </c>
      <c r="H47" s="16">
        <v>2.67</v>
      </c>
      <c r="I47" s="16">
        <v>1.5</v>
      </c>
      <c r="J47" s="16">
        <v>0.1</v>
      </c>
      <c r="K47" s="16">
        <v>1.5</v>
      </c>
      <c r="L47" s="15">
        <v>41.85</v>
      </c>
    </row>
    <row r="48" spans="2:12" s="13" customFormat="1" ht="15.75" customHeight="1" x14ac:dyDescent="0.25">
      <c r="B48" s="18"/>
      <c r="C48" s="14">
        <v>1249</v>
      </c>
      <c r="D48" s="19">
        <v>1</v>
      </c>
      <c r="E48" s="16">
        <v>9.42</v>
      </c>
      <c r="F48" s="15">
        <v>261</v>
      </c>
      <c r="G48" s="17">
        <v>125</v>
      </c>
      <c r="H48" s="16">
        <v>2.41</v>
      </c>
      <c r="I48" s="16">
        <v>1.5</v>
      </c>
      <c r="J48" s="16">
        <v>0.1</v>
      </c>
      <c r="K48" s="16">
        <v>1.5</v>
      </c>
      <c r="L48" s="15">
        <v>40.82</v>
      </c>
    </row>
    <row r="49" spans="2:12" s="13" customFormat="1" ht="15.75" customHeight="1" x14ac:dyDescent="0.25">
      <c r="B49" s="18"/>
      <c r="C49" s="14">
        <v>1253</v>
      </c>
      <c r="D49" s="19">
        <v>1</v>
      </c>
      <c r="E49" s="16">
        <v>12.2</v>
      </c>
      <c r="F49" s="15">
        <v>255</v>
      </c>
      <c r="G49" s="17">
        <v>115</v>
      </c>
      <c r="H49" s="16">
        <v>3.13</v>
      </c>
      <c r="I49" s="16">
        <v>1.5</v>
      </c>
      <c r="J49" s="16">
        <v>0.1</v>
      </c>
      <c r="K49" s="16">
        <v>1.5</v>
      </c>
      <c r="L49" s="15">
        <v>43.83</v>
      </c>
    </row>
    <row r="50" spans="2:12" s="13" customFormat="1" ht="15.75" customHeight="1" x14ac:dyDescent="0.25">
      <c r="B50" s="18"/>
      <c r="C50" s="14">
        <v>1715</v>
      </c>
      <c r="D50" s="19">
        <v>4</v>
      </c>
      <c r="E50" s="16">
        <v>11.1</v>
      </c>
      <c r="F50" s="15">
        <v>246</v>
      </c>
      <c r="G50" s="17">
        <v>185</v>
      </c>
      <c r="H50" s="16">
        <v>2.85</v>
      </c>
      <c r="I50" s="16">
        <v>1.5</v>
      </c>
      <c r="J50" s="16">
        <v>0.1</v>
      </c>
      <c r="K50" s="16">
        <v>1.5</v>
      </c>
      <c r="L50" s="15">
        <v>37.26</v>
      </c>
    </row>
    <row r="51" spans="2:12" s="13" customFormat="1" ht="15.75" customHeight="1" x14ac:dyDescent="0.25">
      <c r="B51" s="18"/>
      <c r="C51" s="14">
        <v>1722</v>
      </c>
      <c r="D51" s="19">
        <v>4</v>
      </c>
      <c r="E51" s="16">
        <v>12.4</v>
      </c>
      <c r="F51" s="15">
        <v>213</v>
      </c>
      <c r="G51" s="17">
        <v>142</v>
      </c>
      <c r="H51" s="16">
        <v>3.18</v>
      </c>
      <c r="I51" s="16">
        <v>1.5</v>
      </c>
      <c r="J51" s="16">
        <v>0.1</v>
      </c>
      <c r="K51" s="16">
        <v>1.5</v>
      </c>
      <c r="L51" s="15">
        <v>37.119999999999997</v>
      </c>
    </row>
    <row r="52" spans="2:12" s="13" customFormat="1" ht="15.75" customHeight="1" x14ac:dyDescent="0.25">
      <c r="B52" s="18"/>
      <c r="C52" s="90">
        <v>1730</v>
      </c>
      <c r="D52" s="19">
        <v>3</v>
      </c>
      <c r="E52" s="200">
        <v>12</v>
      </c>
      <c r="F52" s="15">
        <v>299</v>
      </c>
      <c r="G52" s="200">
        <v>97</v>
      </c>
      <c r="H52" s="200">
        <v>3.08</v>
      </c>
      <c r="I52" s="200">
        <v>1.5</v>
      </c>
      <c r="J52" s="200">
        <v>0.1</v>
      </c>
      <c r="K52" s="200">
        <v>1.5</v>
      </c>
      <c r="L52" s="200">
        <v>36.68</v>
      </c>
    </row>
    <row r="53" spans="2:12" s="13" customFormat="1" ht="15.75" customHeight="1" x14ac:dyDescent="0.25">
      <c r="B53" s="18"/>
      <c r="C53" s="14">
        <v>1911</v>
      </c>
      <c r="D53" s="19">
        <v>3</v>
      </c>
      <c r="E53" s="16">
        <v>11</v>
      </c>
      <c r="F53" s="15">
        <v>234</v>
      </c>
      <c r="G53" s="17">
        <v>185</v>
      </c>
      <c r="H53" s="16">
        <v>2.82</v>
      </c>
      <c r="I53" s="16">
        <v>1.5</v>
      </c>
      <c r="J53" s="16">
        <v>0.1</v>
      </c>
      <c r="K53" s="16">
        <v>1.5</v>
      </c>
      <c r="L53" s="15">
        <v>37.119999999999997</v>
      </c>
    </row>
    <row r="54" spans="2:12" s="13" customFormat="1" ht="15.75" customHeight="1" x14ac:dyDescent="0.25">
      <c r="B54" s="18"/>
      <c r="C54" s="14">
        <v>1912</v>
      </c>
      <c r="D54" s="19">
        <v>2</v>
      </c>
      <c r="E54" s="16">
        <v>9.9</v>
      </c>
      <c r="F54" s="15">
        <v>273</v>
      </c>
      <c r="G54" s="17">
        <v>186</v>
      </c>
      <c r="H54" s="16">
        <v>2.54</v>
      </c>
      <c r="I54" s="16">
        <v>1.5</v>
      </c>
      <c r="J54" s="16">
        <v>0.1</v>
      </c>
      <c r="K54" s="16">
        <v>1.5</v>
      </c>
      <c r="L54" s="15">
        <v>37.909999999999997</v>
      </c>
    </row>
    <row r="55" spans="2:12" s="13" customFormat="1" ht="15.75" customHeight="1" x14ac:dyDescent="0.25">
      <c r="B55" s="18"/>
      <c r="C55" s="14">
        <v>1923</v>
      </c>
      <c r="D55" s="19">
        <v>2</v>
      </c>
      <c r="E55" s="16">
        <v>13.9</v>
      </c>
      <c r="F55" s="15">
        <v>129</v>
      </c>
      <c r="G55" s="17">
        <v>75</v>
      </c>
      <c r="H55" s="16">
        <v>3.56</v>
      </c>
      <c r="I55" s="16">
        <v>1.5</v>
      </c>
      <c r="J55" s="16">
        <v>0.1</v>
      </c>
      <c r="K55" s="16">
        <v>1.5</v>
      </c>
      <c r="L55" s="15">
        <v>42.19</v>
      </c>
    </row>
    <row r="56" spans="2:12" s="13" customFormat="1" ht="15.75" customHeight="1" x14ac:dyDescent="0.25">
      <c r="B56" s="18"/>
      <c r="C56" s="14">
        <v>1925</v>
      </c>
      <c r="D56" s="19">
        <v>2</v>
      </c>
      <c r="E56" s="16">
        <v>11.97</v>
      </c>
      <c r="F56" s="15">
        <v>238</v>
      </c>
      <c r="G56" s="17">
        <v>190</v>
      </c>
      <c r="H56" s="16">
        <v>3.07</v>
      </c>
      <c r="I56" s="16">
        <v>1.5</v>
      </c>
      <c r="J56" s="16">
        <v>0.1</v>
      </c>
      <c r="K56" s="16">
        <v>1.5</v>
      </c>
      <c r="L56" s="15">
        <v>40.1</v>
      </c>
    </row>
    <row r="57" spans="2:12" s="13" customFormat="1" ht="15.75" customHeight="1" x14ac:dyDescent="0.25">
      <c r="B57" s="18"/>
      <c r="C57" s="14">
        <v>1929</v>
      </c>
      <c r="D57" s="19">
        <v>1</v>
      </c>
      <c r="E57" s="16">
        <v>11.6</v>
      </c>
      <c r="F57" s="15">
        <v>320</v>
      </c>
      <c r="G57" s="17">
        <v>200</v>
      </c>
      <c r="H57" s="16">
        <v>2.97</v>
      </c>
      <c r="I57" s="16">
        <v>1.5</v>
      </c>
      <c r="J57" s="16">
        <v>0.1</v>
      </c>
      <c r="K57" s="16">
        <v>1.5</v>
      </c>
      <c r="L57" s="15">
        <v>43.15</v>
      </c>
    </row>
    <row r="58" spans="2:12" s="13" customFormat="1" ht="15.75" customHeight="1" x14ac:dyDescent="0.25">
      <c r="B58" s="18"/>
      <c r="C58" s="14">
        <v>1942</v>
      </c>
      <c r="D58" s="19">
        <v>1</v>
      </c>
      <c r="E58" s="16">
        <v>14.1</v>
      </c>
      <c r="F58" s="15">
        <v>265</v>
      </c>
      <c r="G58" s="17">
        <v>169</v>
      </c>
      <c r="H58" s="16">
        <v>3.62</v>
      </c>
      <c r="I58" s="16">
        <v>1.5</v>
      </c>
      <c r="J58" s="16">
        <v>0.1</v>
      </c>
      <c r="K58" s="16">
        <v>1.5</v>
      </c>
      <c r="L58" s="15">
        <v>45.89</v>
      </c>
    </row>
    <row r="59" spans="2:12" s="13" customFormat="1" ht="15.75" customHeight="1" x14ac:dyDescent="0.25">
      <c r="B59" s="18"/>
      <c r="C59" s="14">
        <v>1949</v>
      </c>
      <c r="D59" s="19">
        <v>1</v>
      </c>
      <c r="E59" s="16">
        <v>11.8</v>
      </c>
      <c r="F59" s="15">
        <v>255</v>
      </c>
      <c r="G59" s="17">
        <v>200</v>
      </c>
      <c r="H59" s="16">
        <v>3.03</v>
      </c>
      <c r="I59" s="16">
        <v>1.5</v>
      </c>
      <c r="J59" s="16">
        <v>0.1</v>
      </c>
      <c r="K59" s="16">
        <v>1.5</v>
      </c>
      <c r="L59" s="15">
        <v>43.39</v>
      </c>
    </row>
    <row r="60" spans="2:12" s="13" customFormat="1" ht="15.75" customHeight="1" x14ac:dyDescent="0.25">
      <c r="B60" s="18"/>
      <c r="C60" s="14">
        <v>1953</v>
      </c>
      <c r="D60" s="19">
        <v>1</v>
      </c>
      <c r="E60" s="16">
        <v>11.1</v>
      </c>
      <c r="F60" s="15">
        <v>388</v>
      </c>
      <c r="G60" s="17">
        <v>100</v>
      </c>
      <c r="H60" s="16">
        <v>2.85</v>
      </c>
      <c r="I60" s="16">
        <v>1.5</v>
      </c>
      <c r="J60" s="16">
        <v>0.1</v>
      </c>
      <c r="K60" s="16">
        <v>1.5</v>
      </c>
      <c r="L60" s="15">
        <v>42.63</v>
      </c>
    </row>
    <row r="61" spans="2:12" s="13" customFormat="1" ht="15.75" customHeight="1" x14ac:dyDescent="0.25">
      <c r="B61" s="18"/>
      <c r="C61" s="14">
        <v>1954</v>
      </c>
      <c r="D61" s="19">
        <v>1</v>
      </c>
      <c r="E61" s="16">
        <v>12.5</v>
      </c>
      <c r="F61" s="15">
        <v>267</v>
      </c>
      <c r="G61" s="17">
        <v>161</v>
      </c>
      <c r="H61" s="16">
        <v>3.21</v>
      </c>
      <c r="I61" s="16">
        <v>1.5</v>
      </c>
      <c r="J61" s="16">
        <v>0.1</v>
      </c>
      <c r="K61" s="16">
        <v>1.5</v>
      </c>
      <c r="L61" s="15">
        <v>44.14</v>
      </c>
    </row>
    <row r="62" spans="2:12" s="13" customFormat="1" ht="15.75" customHeight="1" x14ac:dyDescent="0.25">
      <c r="B62" s="18"/>
      <c r="C62" s="14">
        <v>1957</v>
      </c>
      <c r="D62" s="19">
        <v>1</v>
      </c>
      <c r="E62" s="16">
        <v>14.3</v>
      </c>
      <c r="F62" s="15">
        <v>276</v>
      </c>
      <c r="G62" s="17">
        <v>80</v>
      </c>
      <c r="H62" s="16">
        <v>3.67</v>
      </c>
      <c r="I62" s="16">
        <v>1.5</v>
      </c>
      <c r="J62" s="16">
        <v>0.1</v>
      </c>
      <c r="K62" s="16">
        <v>1.5</v>
      </c>
      <c r="L62" s="15">
        <v>46.06</v>
      </c>
    </row>
    <row r="63" spans="2:12" ht="15.75" customHeight="1" x14ac:dyDescent="0.25">
      <c r="B63" s="23" t="s">
        <v>17</v>
      </c>
      <c r="C63" s="24">
        <f>COUNT(C4:C62)</f>
        <v>57</v>
      </c>
      <c r="D63" s="24"/>
      <c r="E63" s="25">
        <f>SUM(E4:E62)</f>
        <v>990.94999999999993</v>
      </c>
      <c r="F63" s="26"/>
      <c r="G63" s="25"/>
      <c r="H63" s="25">
        <f t="shared" ref="H63:L63" si="0">SUM(H4:H62)</f>
        <v>329.01000000000005</v>
      </c>
      <c r="I63" s="25">
        <f t="shared" si="0"/>
        <v>85.5</v>
      </c>
      <c r="J63" s="25">
        <f t="shared" si="0"/>
        <v>5.6999999999999957</v>
      </c>
      <c r="K63" s="25">
        <f t="shared" si="0"/>
        <v>85.5</v>
      </c>
      <c r="L63" s="27">
        <f t="shared" si="0"/>
        <v>2215.5299999999997</v>
      </c>
    </row>
    <row r="64" spans="2:12" ht="15.75" customHeight="1" x14ac:dyDescent="0.25">
      <c r="B64" s="28" t="s">
        <v>18</v>
      </c>
      <c r="C64" s="18"/>
      <c r="D64" s="29">
        <f>AVERAGE(D4:D62)</f>
        <v>2.3684210526315788</v>
      </c>
      <c r="E64" s="29">
        <f t="shared" ref="E64:L64" si="1">AVERAGE(E4:E62)</f>
        <v>17.385087719298244</v>
      </c>
      <c r="F64" s="29">
        <f t="shared" si="1"/>
        <v>176.59649122807016</v>
      </c>
      <c r="G64" s="29">
        <f t="shared" si="1"/>
        <v>67.666666666666671</v>
      </c>
      <c r="H64" s="29">
        <f t="shared" si="1"/>
        <v>5.7721052631578953</v>
      </c>
      <c r="I64" s="29">
        <f t="shared" si="1"/>
        <v>1.5</v>
      </c>
      <c r="J64" s="29">
        <f t="shared" si="1"/>
        <v>9.9999999999999922E-2</v>
      </c>
      <c r="K64" s="29">
        <f t="shared" si="1"/>
        <v>1.5</v>
      </c>
      <c r="L64" s="30">
        <f t="shared" si="1"/>
        <v>38.868947368421047</v>
      </c>
    </row>
    <row r="65" spans="2:12" ht="15.75" customHeight="1" x14ac:dyDescent="0.25">
      <c r="B65" s="31" t="s">
        <v>19</v>
      </c>
      <c r="C65" s="32"/>
      <c r="D65" s="33"/>
      <c r="E65" s="33"/>
      <c r="F65" s="33"/>
      <c r="G65" s="33"/>
      <c r="H65" s="34">
        <f>+H63*7/46</f>
        <v>50.066739130434783</v>
      </c>
      <c r="I65" s="34">
        <f>+I63*7/46</f>
        <v>13.010869565217391</v>
      </c>
      <c r="J65" s="35">
        <f>+J63*7/20</f>
        <v>1.9949999999999986</v>
      </c>
      <c r="K65" s="35">
        <f>+K63*7/16</f>
        <v>37.40625</v>
      </c>
      <c r="L65" s="85"/>
    </row>
    <row r="66" spans="2:12" ht="15.75" customHeight="1" x14ac:dyDescent="0.25">
      <c r="B66" s="18"/>
      <c r="C66" s="37"/>
      <c r="D66" s="38"/>
      <c r="E66" s="38"/>
      <c r="F66" s="39"/>
      <c r="G66" s="13"/>
      <c r="H66" s="13"/>
      <c r="I66" s="13"/>
      <c r="K66" s="13"/>
      <c r="L66" s="13"/>
    </row>
    <row r="67" spans="2:12" ht="15.75" customHeight="1" x14ac:dyDescent="0.25">
      <c r="B67" s="18"/>
      <c r="C67" s="23" t="s">
        <v>20</v>
      </c>
      <c r="D67" s="40"/>
      <c r="E67" s="40"/>
      <c r="F67" s="41">
        <f>(E63*7*305)*1.15</f>
        <v>2433029.9874999998</v>
      </c>
      <c r="G67" s="13"/>
      <c r="H67" s="42" t="s">
        <v>21</v>
      </c>
      <c r="I67" s="43"/>
      <c r="J67" s="86"/>
      <c r="L67" s="45">
        <f>+(E63*7)/((H65*46))</f>
        <v>3.0119145314732072</v>
      </c>
    </row>
    <row r="68" spans="2:12" ht="15.75" customHeight="1" x14ac:dyDescent="0.25">
      <c r="B68" s="18"/>
      <c r="C68" s="28" t="s">
        <v>22</v>
      </c>
      <c r="D68" s="38"/>
      <c r="E68" s="38"/>
      <c r="F68" s="46">
        <f>+(H65*(206*46))+(I65*6932)+(J65*20000)+(K65*1200)</f>
        <v>649411.26782608696</v>
      </c>
      <c r="G68" s="13"/>
      <c r="H68" s="87" t="s">
        <v>23</v>
      </c>
      <c r="I68" s="88"/>
      <c r="J68" s="89"/>
      <c r="L68" s="45">
        <f>+(E63*7)/(F68/206)</f>
        <v>2.2003774353707</v>
      </c>
    </row>
    <row r="69" spans="2:12" ht="15.75" customHeight="1" x14ac:dyDescent="0.25">
      <c r="B69" s="18"/>
      <c r="C69" s="31" t="s">
        <v>24</v>
      </c>
      <c r="D69" s="33"/>
      <c r="E69" s="33"/>
      <c r="F69" s="48">
        <f>+F68/F67</f>
        <v>0.2669146172314027</v>
      </c>
      <c r="G69" s="13"/>
      <c r="H69" s="13"/>
      <c r="I69" s="13"/>
      <c r="K69" s="13"/>
      <c r="L69" s="13"/>
    </row>
  </sheetData>
  <sortState ref="C42:L62">
    <sortCondition ref="C42"/>
  </sortState>
  <mergeCells count="3">
    <mergeCell ref="C2:L2"/>
    <mergeCell ref="C3:L3"/>
    <mergeCell ref="C4:L4"/>
  </mergeCells>
  <printOptions horizontalCentered="1" verticalCentered="1"/>
  <pageMargins left="0.16" right="0.16" top="0.31" bottom="0.25" header="0.31496062992125984" footer="0.31496062992125984"/>
  <pageSetup paperSize="9" scale="6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5"/>
  <sheetViews>
    <sheetView workbookViewId="0">
      <selection activeCell="C43" sqref="C43"/>
    </sheetView>
  </sheetViews>
  <sheetFormatPr baseColWidth="10" defaultRowHeight="15" x14ac:dyDescent="0.25"/>
  <cols>
    <col min="1" max="1" width="4.28515625" style="1" customWidth="1"/>
    <col min="2" max="3" width="27.5703125" style="1" customWidth="1"/>
    <col min="4" max="4" width="5.28515625" style="1" customWidth="1"/>
    <col min="5" max="6" width="27.5703125" style="1" customWidth="1"/>
    <col min="7" max="7" width="4.28515625" style="1" customWidth="1"/>
    <col min="8" max="8" width="15.28515625" style="1" bestFit="1" customWidth="1"/>
    <col min="9" max="16384" width="11.42578125" style="1"/>
  </cols>
  <sheetData>
    <row r="1" spans="2:8" ht="24" customHeight="1" x14ac:dyDescent="0.25"/>
    <row r="2" spans="2:8" ht="24" customHeight="1" x14ac:dyDescent="0.25">
      <c r="B2" s="51" t="s">
        <v>14</v>
      </c>
      <c r="C2" s="52"/>
      <c r="D2" s="52"/>
      <c r="E2" s="52"/>
      <c r="F2" s="53"/>
    </row>
    <row r="3" spans="2:8" ht="24" customHeight="1" x14ac:dyDescent="0.25">
      <c r="B3" s="91" t="s">
        <v>16</v>
      </c>
      <c r="C3" s="92"/>
      <c r="D3" s="92"/>
      <c r="E3" s="92"/>
      <c r="F3" s="93"/>
    </row>
    <row r="4" spans="2:8" ht="24" customHeight="1" x14ac:dyDescent="0.25">
      <c r="B4" s="94" t="s">
        <v>29</v>
      </c>
      <c r="C4" s="95"/>
      <c r="D4" s="95"/>
      <c r="E4" s="95"/>
      <c r="F4" s="96"/>
    </row>
    <row r="5" spans="2:8" s="61" customFormat="1" ht="24" customHeight="1" x14ac:dyDescent="0.25">
      <c r="B5" s="62" t="s">
        <v>0</v>
      </c>
      <c r="C5" s="62" t="s">
        <v>5</v>
      </c>
      <c r="E5" s="62" t="s">
        <v>0</v>
      </c>
      <c r="F5" s="62" t="s">
        <v>5</v>
      </c>
    </row>
    <row r="6" spans="2:8" ht="24" customHeight="1" x14ac:dyDescent="0.25">
      <c r="B6" s="66">
        <v>688</v>
      </c>
      <c r="C6" s="67">
        <v>5</v>
      </c>
      <c r="E6" s="66">
        <v>1719</v>
      </c>
      <c r="F6" s="67">
        <v>5</v>
      </c>
    </row>
    <row r="7" spans="2:8" ht="24" customHeight="1" x14ac:dyDescent="0.25">
      <c r="B7" s="66">
        <v>672</v>
      </c>
      <c r="C7" s="67">
        <v>1.5</v>
      </c>
      <c r="E7" s="66">
        <v>1722</v>
      </c>
      <c r="F7" s="67">
        <v>1.5</v>
      </c>
    </row>
    <row r="8" spans="2:8" ht="24" customHeight="1" x14ac:dyDescent="0.4">
      <c r="B8" s="66">
        <v>675</v>
      </c>
      <c r="C8" s="67">
        <v>1.5</v>
      </c>
      <c r="E8" s="66">
        <v>1730</v>
      </c>
      <c r="F8" s="67">
        <v>2</v>
      </c>
      <c r="H8" s="97"/>
    </row>
    <row r="9" spans="2:8" ht="24" customHeight="1" x14ac:dyDescent="0.4">
      <c r="B9" s="66">
        <v>680</v>
      </c>
      <c r="C9" s="67">
        <v>1.5</v>
      </c>
      <c r="E9" s="66">
        <v>1743</v>
      </c>
      <c r="F9" s="67">
        <v>5</v>
      </c>
      <c r="H9" s="97"/>
    </row>
    <row r="10" spans="2:8" s="57" customFormat="1" ht="24" customHeight="1" x14ac:dyDescent="0.25">
      <c r="B10" s="66">
        <v>801</v>
      </c>
      <c r="C10" s="67">
        <v>2</v>
      </c>
      <c r="E10" s="66">
        <v>1745</v>
      </c>
      <c r="F10" s="67">
        <v>4</v>
      </c>
      <c r="H10" s="98"/>
    </row>
    <row r="11" spans="2:8" s="57" customFormat="1" ht="24" customHeight="1" x14ac:dyDescent="0.25">
      <c r="B11" s="66">
        <v>807</v>
      </c>
      <c r="C11" s="67">
        <v>5</v>
      </c>
      <c r="E11" s="66">
        <v>1746</v>
      </c>
      <c r="F11" s="67">
        <v>4</v>
      </c>
      <c r="H11" s="99"/>
    </row>
    <row r="12" spans="2:8" ht="24" customHeight="1" x14ac:dyDescent="0.25">
      <c r="B12" s="66">
        <v>809</v>
      </c>
      <c r="C12" s="67">
        <v>4</v>
      </c>
      <c r="E12" s="66">
        <v>1751</v>
      </c>
      <c r="F12" s="67">
        <v>2.9849999999999999</v>
      </c>
      <c r="H12" s="99"/>
    </row>
    <row r="13" spans="2:8" ht="24" customHeight="1" x14ac:dyDescent="0.25">
      <c r="B13" s="66">
        <v>822</v>
      </c>
      <c r="C13" s="67">
        <v>1.4850000000000001</v>
      </c>
      <c r="E13" s="66">
        <v>1754</v>
      </c>
      <c r="F13" s="67">
        <v>1.5</v>
      </c>
      <c r="H13" s="98"/>
    </row>
    <row r="14" spans="2:8" s="57" customFormat="1" ht="24" customHeight="1" x14ac:dyDescent="0.25">
      <c r="B14" s="66">
        <v>823</v>
      </c>
      <c r="C14" s="67">
        <v>5</v>
      </c>
      <c r="E14" s="66">
        <v>1755</v>
      </c>
      <c r="F14" s="67">
        <v>4.54</v>
      </c>
      <c r="H14" s="98"/>
    </row>
    <row r="15" spans="2:8" s="57" customFormat="1" ht="24" customHeight="1" x14ac:dyDescent="0.25">
      <c r="B15" s="66">
        <v>837</v>
      </c>
      <c r="C15" s="67">
        <v>1.5</v>
      </c>
      <c r="E15" s="66">
        <v>1776</v>
      </c>
      <c r="F15" s="67">
        <v>4.5</v>
      </c>
      <c r="H15" s="98"/>
    </row>
    <row r="16" spans="2:8" ht="24" customHeight="1" x14ac:dyDescent="0.25">
      <c r="B16" s="66">
        <v>839</v>
      </c>
      <c r="C16" s="67">
        <v>4</v>
      </c>
      <c r="E16" s="66">
        <v>1784</v>
      </c>
      <c r="F16" s="67">
        <v>5</v>
      </c>
      <c r="H16" s="98"/>
    </row>
    <row r="17" spans="2:8" ht="24" customHeight="1" x14ac:dyDescent="0.25">
      <c r="B17" s="66">
        <v>843</v>
      </c>
      <c r="C17" s="67">
        <v>5</v>
      </c>
      <c r="E17" s="66">
        <v>1911</v>
      </c>
      <c r="F17" s="67">
        <v>1.5</v>
      </c>
      <c r="H17" s="98"/>
    </row>
    <row r="18" spans="2:8" ht="24" customHeight="1" x14ac:dyDescent="0.25">
      <c r="B18" s="66">
        <v>851</v>
      </c>
      <c r="C18" s="67">
        <v>4</v>
      </c>
      <c r="E18" s="66">
        <v>1912</v>
      </c>
      <c r="F18" s="67">
        <v>1.5</v>
      </c>
      <c r="H18" s="98"/>
    </row>
    <row r="19" spans="2:8" ht="24" customHeight="1" x14ac:dyDescent="0.25">
      <c r="B19" s="66">
        <v>853</v>
      </c>
      <c r="C19" s="67">
        <v>4.5049999999999999</v>
      </c>
      <c r="E19" s="66">
        <v>1918</v>
      </c>
      <c r="F19" s="67">
        <v>2</v>
      </c>
      <c r="H19" s="98"/>
    </row>
    <row r="20" spans="2:8" s="57" customFormat="1" ht="24" customHeight="1" x14ac:dyDescent="0.25">
      <c r="B20" s="66">
        <v>857</v>
      </c>
      <c r="C20" s="67">
        <v>4.4800000000000004</v>
      </c>
      <c r="E20" s="66">
        <v>1923</v>
      </c>
      <c r="F20" s="67">
        <v>2</v>
      </c>
      <c r="H20" s="98"/>
    </row>
    <row r="21" spans="2:8" s="57" customFormat="1" ht="24" customHeight="1" x14ac:dyDescent="0.25">
      <c r="B21" s="66">
        <v>860</v>
      </c>
      <c r="C21" s="67">
        <v>5</v>
      </c>
      <c r="E21" s="66">
        <v>1925</v>
      </c>
      <c r="F21" s="67">
        <v>1.5349999999999999</v>
      </c>
      <c r="H21" s="98"/>
    </row>
    <row r="22" spans="2:8" s="57" customFormat="1" ht="24" customHeight="1" x14ac:dyDescent="0.25">
      <c r="B22" s="66">
        <v>864</v>
      </c>
      <c r="C22" s="67">
        <v>1.0149999999999999</v>
      </c>
      <c r="E22" s="66">
        <v>1927</v>
      </c>
      <c r="F22" s="67">
        <v>2.5299999999999998</v>
      </c>
      <c r="H22" s="98"/>
    </row>
    <row r="23" spans="2:8" s="57" customFormat="1" ht="24" customHeight="1" x14ac:dyDescent="0.25">
      <c r="B23" s="66">
        <v>866</v>
      </c>
      <c r="C23" s="67">
        <v>4</v>
      </c>
      <c r="E23" s="66">
        <v>1929</v>
      </c>
      <c r="F23" s="67">
        <v>1.4850000000000001</v>
      </c>
      <c r="H23" s="98"/>
    </row>
    <row r="24" spans="2:8" s="57" customFormat="1" ht="24" customHeight="1" x14ac:dyDescent="0.25">
      <c r="B24" s="66">
        <v>1238</v>
      </c>
      <c r="C24" s="67">
        <v>3.96</v>
      </c>
      <c r="E24" s="66">
        <v>1935</v>
      </c>
      <c r="F24" s="67">
        <v>4.5</v>
      </c>
      <c r="H24" s="98"/>
    </row>
    <row r="25" spans="2:8" s="57" customFormat="1" ht="24" customHeight="1" x14ac:dyDescent="0.25">
      <c r="B25" s="66">
        <v>1240</v>
      </c>
      <c r="C25" s="67">
        <v>1.5</v>
      </c>
      <c r="E25" s="66">
        <v>1942</v>
      </c>
      <c r="F25" s="67">
        <v>2</v>
      </c>
      <c r="H25" s="98"/>
    </row>
    <row r="26" spans="2:8" s="57" customFormat="1" ht="24" customHeight="1" x14ac:dyDescent="0.25">
      <c r="B26" s="66">
        <v>1242</v>
      </c>
      <c r="C26" s="67">
        <v>4</v>
      </c>
      <c r="E26" s="66">
        <v>1949</v>
      </c>
      <c r="F26" s="67">
        <v>1.5149999999999999</v>
      </c>
      <c r="H26" s="98"/>
    </row>
    <row r="27" spans="2:8" s="57" customFormat="1" ht="24" customHeight="1" x14ac:dyDescent="0.25">
      <c r="B27" s="66">
        <v>1243</v>
      </c>
      <c r="C27" s="67">
        <v>3</v>
      </c>
      <c r="E27" s="66">
        <v>1953</v>
      </c>
      <c r="F27" s="67">
        <v>1.5</v>
      </c>
      <c r="H27" s="98"/>
    </row>
    <row r="28" spans="2:8" s="57" customFormat="1" ht="24" customHeight="1" x14ac:dyDescent="0.25">
      <c r="B28" s="66">
        <v>1249</v>
      </c>
      <c r="C28" s="67">
        <v>1</v>
      </c>
      <c r="E28" s="66">
        <v>1954</v>
      </c>
      <c r="F28" s="67">
        <v>1.5</v>
      </c>
      <c r="H28" s="98"/>
    </row>
    <row r="29" spans="2:8" s="57" customFormat="1" ht="24" customHeight="1" x14ac:dyDescent="0.25">
      <c r="B29" s="66">
        <v>1253</v>
      </c>
      <c r="C29" s="67">
        <v>1.5</v>
      </c>
      <c r="E29" s="66">
        <v>1957</v>
      </c>
      <c r="F29" s="67">
        <v>2</v>
      </c>
      <c r="H29" s="98"/>
    </row>
    <row r="30" spans="2:8" s="57" customFormat="1" ht="24" customHeight="1" x14ac:dyDescent="0.25">
      <c r="B30" s="66">
        <v>1582</v>
      </c>
      <c r="C30" s="67">
        <v>2.4700000000000002</v>
      </c>
      <c r="E30" s="66">
        <v>1961</v>
      </c>
      <c r="F30" s="67">
        <v>1.97</v>
      </c>
      <c r="H30" s="98"/>
    </row>
    <row r="31" spans="2:8" s="57" customFormat="1" ht="24" customHeight="1" x14ac:dyDescent="0.25">
      <c r="B31" s="66">
        <v>1584</v>
      </c>
      <c r="C31" s="67">
        <v>4</v>
      </c>
      <c r="E31" s="66">
        <v>1962</v>
      </c>
      <c r="F31" s="67">
        <v>2.5</v>
      </c>
      <c r="H31" s="98"/>
    </row>
    <row r="32" spans="2:8" s="57" customFormat="1" ht="24" customHeight="1" x14ac:dyDescent="0.25">
      <c r="B32" s="66">
        <v>1707</v>
      </c>
      <c r="C32" s="67">
        <v>5</v>
      </c>
      <c r="E32" s="66">
        <v>1965</v>
      </c>
      <c r="F32" s="67">
        <v>3.5</v>
      </c>
      <c r="H32" s="98"/>
    </row>
    <row r="33" spans="2:8" s="57" customFormat="1" ht="24" customHeight="1" x14ac:dyDescent="0.25">
      <c r="B33" s="66">
        <v>1715</v>
      </c>
      <c r="C33" s="67">
        <v>1.5</v>
      </c>
      <c r="E33" s="66">
        <v>1967</v>
      </c>
      <c r="F33" s="67">
        <v>2.5150000000000001</v>
      </c>
      <c r="H33" s="98"/>
    </row>
    <row r="34" spans="2:8" s="57" customFormat="1" ht="24" customHeight="1" x14ac:dyDescent="0.25">
      <c r="B34" s="66">
        <v>1718</v>
      </c>
      <c r="C34" s="67">
        <v>1.9850000000000001</v>
      </c>
      <c r="E34" s="66"/>
      <c r="F34" s="67"/>
      <c r="H34" s="98"/>
    </row>
    <row r="35" spans="2:8" ht="22.5" x14ac:dyDescent="0.25">
      <c r="B35" s="100" t="s">
        <v>25</v>
      </c>
      <c r="C35" s="74">
        <f>+SUM(C5:C34,F5:F33)*2/46</f>
        <v>7.2380434782608694</v>
      </c>
      <c r="D35" s="57"/>
      <c r="E35" s="100" t="s">
        <v>26</v>
      </c>
      <c r="F35" s="77">
        <f>+C35*7</f>
        <v>50.666304347826085</v>
      </c>
    </row>
    <row r="45" spans="2:8" ht="16.5" customHeight="1" x14ac:dyDescent="0.25"/>
  </sheetData>
  <sortState ref="B7:C62">
    <sortCondition ref="B6"/>
  </sortState>
  <mergeCells count="3">
    <mergeCell ref="B2:F2"/>
    <mergeCell ref="B3:F3"/>
    <mergeCell ref="B4:F4"/>
  </mergeCells>
  <printOptions horizontalCentered="1" verticalCentered="1"/>
  <pageMargins left="0.24" right="0.18" top="0.31" bottom="0.35" header="0.31496062992125984" footer="0.31496062992125984"/>
  <pageSetup paperSize="9" scale="8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51"/>
  <sheetViews>
    <sheetView topLeftCell="A37" workbookViewId="0">
      <selection activeCell="H12" sqref="H12"/>
    </sheetView>
  </sheetViews>
  <sheetFormatPr baseColWidth="10" defaultRowHeight="18" customHeight="1" x14ac:dyDescent="0.25"/>
  <cols>
    <col min="1" max="1" width="4.140625" style="1" customWidth="1"/>
    <col min="2" max="2" width="17.7109375" style="1" bestFit="1" customWidth="1"/>
    <col min="3" max="3" width="11.140625" style="1" customWidth="1"/>
    <col min="4" max="4" width="9.28515625" style="1" bestFit="1" customWidth="1"/>
    <col min="5" max="5" width="13" style="1" bestFit="1" customWidth="1"/>
    <col min="6" max="6" width="16.5703125" style="1" bestFit="1" customWidth="1"/>
    <col min="7" max="7" width="13.28515625" style="1" bestFit="1" customWidth="1"/>
    <col min="8" max="8" width="11.7109375" style="1" customWidth="1"/>
    <col min="9" max="9" width="12.28515625" style="1" bestFit="1" customWidth="1"/>
    <col min="10" max="10" width="14" style="1" bestFit="1" customWidth="1"/>
    <col min="11" max="11" width="12.28515625" style="1" bestFit="1" customWidth="1"/>
    <col min="12" max="12" width="13.7109375" style="1" customWidth="1"/>
    <col min="13" max="13" width="5" style="1" customWidth="1"/>
    <col min="14" max="16384" width="11.42578125" style="1"/>
  </cols>
  <sheetData>
    <row r="2" spans="2:12" x14ac:dyDescent="0.25">
      <c r="C2" s="2" t="s">
        <v>14</v>
      </c>
      <c r="D2" s="3"/>
      <c r="E2" s="3"/>
      <c r="F2" s="3"/>
      <c r="G2" s="3"/>
      <c r="H2" s="3"/>
      <c r="I2" s="3"/>
      <c r="J2" s="3"/>
      <c r="K2" s="3"/>
      <c r="L2" s="4"/>
    </row>
    <row r="3" spans="2:12" x14ac:dyDescent="0.25">
      <c r="C3" s="5" t="s">
        <v>16</v>
      </c>
      <c r="D3" s="6"/>
      <c r="E3" s="6"/>
      <c r="F3" s="6"/>
      <c r="G3" s="6"/>
      <c r="H3" s="6"/>
      <c r="I3" s="6"/>
      <c r="J3" s="6"/>
      <c r="K3" s="6"/>
      <c r="L3" s="7"/>
    </row>
    <row r="4" spans="2:12" x14ac:dyDescent="0.25">
      <c r="C4" s="8" t="s">
        <v>31</v>
      </c>
      <c r="D4" s="9"/>
      <c r="E4" s="9"/>
      <c r="F4" s="9"/>
      <c r="G4" s="9"/>
      <c r="H4" s="9"/>
      <c r="I4" s="9"/>
      <c r="J4" s="9"/>
      <c r="K4" s="9"/>
      <c r="L4" s="10"/>
    </row>
    <row r="5" spans="2:12" s="11" customFormat="1" ht="38.25" x14ac:dyDescent="0.25"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01" t="s">
        <v>32</v>
      </c>
      <c r="I5" s="12" t="s">
        <v>7</v>
      </c>
      <c r="J5" s="12" t="s">
        <v>8</v>
      </c>
      <c r="K5" s="12" t="s">
        <v>9</v>
      </c>
      <c r="L5" s="12" t="s">
        <v>30</v>
      </c>
    </row>
    <row r="6" spans="2:12" s="13" customFormat="1" ht="18" customHeight="1" x14ac:dyDescent="0.25">
      <c r="B6" s="14" t="s">
        <v>11</v>
      </c>
      <c r="C6" s="14">
        <v>649</v>
      </c>
      <c r="D6" s="20">
        <v>7</v>
      </c>
      <c r="E6" s="16">
        <v>29.1</v>
      </c>
      <c r="F6" s="17">
        <v>36</v>
      </c>
      <c r="G6" s="15">
        <v>0</v>
      </c>
      <c r="H6" s="16">
        <v>10</v>
      </c>
      <c r="I6" s="16">
        <v>1.5</v>
      </c>
      <c r="J6" s="16">
        <v>0.1</v>
      </c>
      <c r="K6" s="16">
        <v>1.5</v>
      </c>
      <c r="L6" s="15">
        <v>39.909999999999997</v>
      </c>
    </row>
    <row r="7" spans="2:12" s="13" customFormat="1" ht="18" customHeight="1" x14ac:dyDescent="0.25">
      <c r="B7" s="18"/>
      <c r="C7" s="22">
        <v>655</v>
      </c>
      <c r="D7" s="20">
        <v>6</v>
      </c>
      <c r="E7" s="16">
        <v>28.4</v>
      </c>
      <c r="F7" s="17">
        <v>57</v>
      </c>
      <c r="G7" s="15">
        <v>0</v>
      </c>
      <c r="H7" s="16">
        <v>10</v>
      </c>
      <c r="I7" s="16">
        <v>1.5</v>
      </c>
      <c r="J7" s="16">
        <v>0.1</v>
      </c>
      <c r="K7" s="16">
        <v>1.5</v>
      </c>
      <c r="L7" s="15">
        <v>38.22</v>
      </c>
    </row>
    <row r="8" spans="2:12" s="13" customFormat="1" ht="18" customHeight="1" x14ac:dyDescent="0.25">
      <c r="B8" s="18"/>
      <c r="C8" s="22">
        <v>656</v>
      </c>
      <c r="D8" s="20">
        <v>6</v>
      </c>
      <c r="E8" s="16">
        <v>21.1</v>
      </c>
      <c r="F8" s="17">
        <v>18</v>
      </c>
      <c r="G8" s="15">
        <v>0</v>
      </c>
      <c r="H8" s="16">
        <v>8.1199999999999992</v>
      </c>
      <c r="I8" s="16">
        <v>1.5</v>
      </c>
      <c r="J8" s="16">
        <v>0.1</v>
      </c>
      <c r="K8" s="16">
        <v>1.5</v>
      </c>
      <c r="L8" s="15">
        <v>31.02</v>
      </c>
    </row>
    <row r="9" spans="2:12" s="13" customFormat="1" ht="18" customHeight="1" x14ac:dyDescent="0.25">
      <c r="B9" s="18"/>
      <c r="C9" s="22">
        <v>658</v>
      </c>
      <c r="D9" s="20">
        <v>5</v>
      </c>
      <c r="E9" s="16">
        <v>32.83</v>
      </c>
      <c r="F9" s="17">
        <v>124</v>
      </c>
      <c r="G9" s="15">
        <v>60</v>
      </c>
      <c r="H9" s="16">
        <v>10</v>
      </c>
      <c r="I9" s="16">
        <v>1.5</v>
      </c>
      <c r="J9" s="16">
        <v>0.1</v>
      </c>
      <c r="K9" s="16">
        <v>1.5</v>
      </c>
      <c r="L9" s="15">
        <v>48.96</v>
      </c>
    </row>
    <row r="10" spans="2:12" s="13" customFormat="1" ht="18" customHeight="1" x14ac:dyDescent="0.25">
      <c r="B10" s="18"/>
      <c r="C10" s="22">
        <v>660</v>
      </c>
      <c r="D10" s="20">
        <v>5</v>
      </c>
      <c r="E10" s="16">
        <v>27.33</v>
      </c>
      <c r="F10" s="17">
        <v>151</v>
      </c>
      <c r="G10" s="15">
        <v>93</v>
      </c>
      <c r="H10" s="16">
        <v>10</v>
      </c>
      <c r="I10" s="16">
        <v>1.5</v>
      </c>
      <c r="J10" s="16">
        <v>0.1</v>
      </c>
      <c r="K10" s="16">
        <v>1.5</v>
      </c>
      <c r="L10" s="15">
        <v>35.659999999999997</v>
      </c>
    </row>
    <row r="11" spans="2:12" s="13" customFormat="1" ht="18" customHeight="1" x14ac:dyDescent="0.25">
      <c r="B11" s="18"/>
      <c r="C11" s="22">
        <v>687</v>
      </c>
      <c r="D11" s="20">
        <v>5</v>
      </c>
      <c r="E11" s="16">
        <v>24.3</v>
      </c>
      <c r="F11" s="17">
        <v>126</v>
      </c>
      <c r="G11" s="15">
        <v>85</v>
      </c>
      <c r="H11" s="16">
        <v>9.35</v>
      </c>
      <c r="I11" s="16">
        <v>1.5</v>
      </c>
      <c r="J11" s="16">
        <v>0.1</v>
      </c>
      <c r="K11" s="16">
        <v>1.5</v>
      </c>
      <c r="L11" s="15">
        <v>31.95</v>
      </c>
    </row>
    <row r="12" spans="2:12" s="13" customFormat="1" ht="18" customHeight="1" x14ac:dyDescent="0.25">
      <c r="B12" s="18"/>
      <c r="C12" s="22">
        <v>942</v>
      </c>
      <c r="D12" s="20">
        <v>9</v>
      </c>
      <c r="E12" s="16">
        <v>20</v>
      </c>
      <c r="F12" s="17">
        <v>11</v>
      </c>
      <c r="G12" s="15">
        <v>0</v>
      </c>
      <c r="H12" s="16">
        <v>7.69</v>
      </c>
      <c r="I12" s="16">
        <v>1.5</v>
      </c>
      <c r="J12" s="16">
        <v>0.1</v>
      </c>
      <c r="K12" s="16">
        <v>1.5</v>
      </c>
      <c r="L12" s="15">
        <v>29.72</v>
      </c>
    </row>
    <row r="13" spans="2:12" s="13" customFormat="1" ht="18" customHeight="1" x14ac:dyDescent="0.25">
      <c r="B13" s="18"/>
      <c r="C13" s="14">
        <v>969</v>
      </c>
      <c r="D13" s="20">
        <v>8</v>
      </c>
      <c r="E13" s="16">
        <v>20</v>
      </c>
      <c r="F13" s="17">
        <v>37</v>
      </c>
      <c r="G13" s="15">
        <v>0</v>
      </c>
      <c r="H13" s="16">
        <v>7.69</v>
      </c>
      <c r="I13" s="16">
        <v>1.5</v>
      </c>
      <c r="J13" s="16">
        <v>0.1</v>
      </c>
      <c r="K13" s="16">
        <v>1.5</v>
      </c>
      <c r="L13" s="15">
        <v>30.69</v>
      </c>
    </row>
    <row r="14" spans="2:12" s="13" customFormat="1" ht="18" customHeight="1" x14ac:dyDescent="0.25">
      <c r="B14" s="18"/>
      <c r="C14" s="22">
        <v>972</v>
      </c>
      <c r="D14" s="20">
        <v>6</v>
      </c>
      <c r="E14" s="16">
        <v>28.9</v>
      </c>
      <c r="F14" s="17">
        <v>134</v>
      </c>
      <c r="G14" s="15">
        <v>93</v>
      </c>
      <c r="H14" s="16">
        <v>10</v>
      </c>
      <c r="I14" s="16">
        <v>1.5</v>
      </c>
      <c r="J14" s="16">
        <v>0.1</v>
      </c>
      <c r="K14" s="16">
        <v>1.5</v>
      </c>
      <c r="L14" s="15">
        <v>38.909999999999997</v>
      </c>
    </row>
    <row r="15" spans="2:12" s="13" customFormat="1" ht="18" customHeight="1" x14ac:dyDescent="0.25">
      <c r="B15" s="18"/>
      <c r="C15" s="14">
        <v>985</v>
      </c>
      <c r="D15" s="20">
        <v>8</v>
      </c>
      <c r="E15" s="16">
        <v>24.03</v>
      </c>
      <c r="F15" s="17">
        <v>140</v>
      </c>
      <c r="G15" s="15">
        <v>57</v>
      </c>
      <c r="H15" s="16">
        <v>9.24</v>
      </c>
      <c r="I15" s="16">
        <v>1.5</v>
      </c>
      <c r="J15" s="16">
        <v>0.1</v>
      </c>
      <c r="K15" s="16">
        <v>1.5</v>
      </c>
      <c r="L15" s="15">
        <v>31.88</v>
      </c>
    </row>
    <row r="16" spans="2:12" s="13" customFormat="1" ht="18" customHeight="1" x14ac:dyDescent="0.25">
      <c r="B16" s="18"/>
      <c r="C16" s="14">
        <v>1502</v>
      </c>
      <c r="D16" s="20">
        <v>7</v>
      </c>
      <c r="E16" s="16">
        <v>25</v>
      </c>
      <c r="F16" s="17">
        <v>27</v>
      </c>
      <c r="G16" s="15">
        <v>0</v>
      </c>
      <c r="H16" s="16">
        <v>9.6199999999999992</v>
      </c>
      <c r="I16" s="16">
        <v>1.5</v>
      </c>
      <c r="J16" s="16">
        <v>0.1</v>
      </c>
      <c r="K16" s="16">
        <v>1.5</v>
      </c>
      <c r="L16" s="15">
        <v>31.42</v>
      </c>
    </row>
    <row r="17" spans="2:12" s="13" customFormat="1" ht="18" customHeight="1" x14ac:dyDescent="0.25">
      <c r="B17" s="18"/>
      <c r="C17" s="14">
        <v>1508</v>
      </c>
      <c r="D17" s="20">
        <v>6</v>
      </c>
      <c r="E17" s="16">
        <v>24</v>
      </c>
      <c r="F17" s="17">
        <v>133</v>
      </c>
      <c r="G17" s="15">
        <v>0</v>
      </c>
      <c r="H17" s="16">
        <v>9.23</v>
      </c>
      <c r="I17" s="16">
        <v>1.5</v>
      </c>
      <c r="J17" s="16">
        <v>0.1</v>
      </c>
      <c r="K17" s="16">
        <v>1.5</v>
      </c>
      <c r="L17" s="15">
        <v>31.08</v>
      </c>
    </row>
    <row r="18" spans="2:12" s="13" customFormat="1" ht="18" customHeight="1" x14ac:dyDescent="0.25">
      <c r="B18" s="18"/>
      <c r="C18" s="14">
        <v>1518</v>
      </c>
      <c r="D18" s="20">
        <v>6</v>
      </c>
      <c r="E18" s="16">
        <v>30.7</v>
      </c>
      <c r="F18" s="17">
        <v>75</v>
      </c>
      <c r="G18" s="15">
        <v>0</v>
      </c>
      <c r="H18" s="16">
        <v>10</v>
      </c>
      <c r="I18" s="16">
        <v>1.5</v>
      </c>
      <c r="J18" s="16">
        <v>0.1</v>
      </c>
      <c r="K18" s="16">
        <v>1.5</v>
      </c>
      <c r="L18" s="15">
        <v>43.79</v>
      </c>
    </row>
    <row r="19" spans="2:12" s="13" customFormat="1" ht="18" customHeight="1" x14ac:dyDescent="0.25">
      <c r="B19" s="18"/>
      <c r="C19" s="14">
        <v>1519</v>
      </c>
      <c r="D19" s="20">
        <v>7</v>
      </c>
      <c r="E19" s="16">
        <v>20.97</v>
      </c>
      <c r="F19" s="17">
        <v>21</v>
      </c>
      <c r="G19" s="15">
        <v>0</v>
      </c>
      <c r="H19" s="16">
        <v>8.06</v>
      </c>
      <c r="I19" s="16">
        <v>1.5</v>
      </c>
      <c r="J19" s="16">
        <v>0.1</v>
      </c>
      <c r="K19" s="16">
        <v>1.5</v>
      </c>
      <c r="L19" s="15">
        <v>30.02</v>
      </c>
    </row>
    <row r="20" spans="2:12" s="13" customFormat="1" ht="18" customHeight="1" x14ac:dyDescent="0.25">
      <c r="B20" s="18"/>
      <c r="C20" s="14">
        <v>1546</v>
      </c>
      <c r="D20" s="20">
        <v>6</v>
      </c>
      <c r="E20" s="16">
        <v>22.52</v>
      </c>
      <c r="F20" s="17">
        <v>131</v>
      </c>
      <c r="G20" s="15">
        <v>65</v>
      </c>
      <c r="H20" s="16">
        <v>8.66</v>
      </c>
      <c r="I20" s="16">
        <v>1.5</v>
      </c>
      <c r="J20" s="16">
        <v>0.1</v>
      </c>
      <c r="K20" s="16">
        <v>1.5</v>
      </c>
      <c r="L20" s="15">
        <v>31.42</v>
      </c>
    </row>
    <row r="21" spans="2:12" s="13" customFormat="1" ht="18" customHeight="1" x14ac:dyDescent="0.25">
      <c r="B21" s="18"/>
      <c r="C21" s="14">
        <v>1561</v>
      </c>
      <c r="D21" s="20">
        <v>6</v>
      </c>
      <c r="E21" s="16">
        <v>26.4</v>
      </c>
      <c r="F21" s="17">
        <v>106</v>
      </c>
      <c r="G21" s="15">
        <v>0</v>
      </c>
      <c r="H21" s="16">
        <v>10</v>
      </c>
      <c r="I21" s="16">
        <v>1.5</v>
      </c>
      <c r="J21" s="16">
        <v>0.1</v>
      </c>
      <c r="K21" s="16">
        <v>1.5</v>
      </c>
      <c r="L21" s="15">
        <v>32.74</v>
      </c>
    </row>
    <row r="22" spans="2:12" s="13" customFormat="1" ht="18" customHeight="1" x14ac:dyDescent="0.25">
      <c r="B22" s="18"/>
      <c r="C22" s="14">
        <v>1577</v>
      </c>
      <c r="D22" s="20">
        <v>6</v>
      </c>
      <c r="E22" s="16">
        <v>27</v>
      </c>
      <c r="F22" s="17">
        <v>21</v>
      </c>
      <c r="G22" s="15">
        <v>0</v>
      </c>
      <c r="H22" s="16">
        <v>10</v>
      </c>
      <c r="I22" s="16">
        <v>1.5</v>
      </c>
      <c r="J22" s="16">
        <v>0.1</v>
      </c>
      <c r="K22" s="16">
        <v>1.5</v>
      </c>
      <c r="L22" s="15">
        <v>34.83</v>
      </c>
    </row>
    <row r="23" spans="2:12" s="13" customFormat="1" ht="18" customHeight="1" x14ac:dyDescent="0.25">
      <c r="B23" s="18"/>
      <c r="C23" s="14">
        <v>1586</v>
      </c>
      <c r="D23" s="20">
        <v>5</v>
      </c>
      <c r="E23" s="16">
        <v>22.4</v>
      </c>
      <c r="F23" s="17">
        <v>135</v>
      </c>
      <c r="G23" s="15">
        <v>65</v>
      </c>
      <c r="H23" s="16">
        <v>8.6199999999999992</v>
      </c>
      <c r="I23" s="16">
        <v>1.5</v>
      </c>
      <c r="J23" s="16">
        <v>0.1</v>
      </c>
      <c r="K23" s="16">
        <v>1.5</v>
      </c>
      <c r="L23" s="15">
        <v>30.52</v>
      </c>
    </row>
    <row r="24" spans="2:12" s="13" customFormat="1" ht="18" customHeight="1" x14ac:dyDescent="0.25">
      <c r="B24" s="18"/>
      <c r="C24" s="14">
        <v>1589</v>
      </c>
      <c r="D24" s="20">
        <v>5</v>
      </c>
      <c r="E24" s="16">
        <v>21.3</v>
      </c>
      <c r="F24" s="17">
        <v>194</v>
      </c>
      <c r="G24" s="15">
        <v>172</v>
      </c>
      <c r="H24" s="16">
        <v>8.19</v>
      </c>
      <c r="I24" s="16">
        <v>1.5</v>
      </c>
      <c r="J24" s="16">
        <v>0.1</v>
      </c>
      <c r="K24" s="16">
        <v>1.5</v>
      </c>
      <c r="L24" s="15">
        <v>30.16</v>
      </c>
    </row>
    <row r="25" spans="2:12" s="13" customFormat="1" ht="18" customHeight="1" x14ac:dyDescent="0.25">
      <c r="B25" s="18"/>
      <c r="C25" s="14">
        <v>1591</v>
      </c>
      <c r="D25" s="20">
        <v>5</v>
      </c>
      <c r="E25" s="16">
        <v>27.8</v>
      </c>
      <c r="F25" s="17">
        <v>131</v>
      </c>
      <c r="G25" s="15">
        <v>97</v>
      </c>
      <c r="H25" s="16">
        <v>10</v>
      </c>
      <c r="I25" s="16">
        <v>1.5</v>
      </c>
      <c r="J25" s="16">
        <v>0.1</v>
      </c>
      <c r="K25" s="16">
        <v>1.5</v>
      </c>
      <c r="L25" s="15">
        <v>36.79</v>
      </c>
    </row>
    <row r="26" spans="2:12" s="13" customFormat="1" ht="18" customHeight="1" x14ac:dyDescent="0.25">
      <c r="B26" s="18"/>
      <c r="C26" s="14">
        <v>1713</v>
      </c>
      <c r="D26" s="20">
        <v>5</v>
      </c>
      <c r="E26" s="16">
        <v>26.5</v>
      </c>
      <c r="F26" s="17">
        <v>145</v>
      </c>
      <c r="G26" s="15">
        <v>115</v>
      </c>
      <c r="H26" s="16">
        <v>10</v>
      </c>
      <c r="I26" s="16">
        <v>1.5</v>
      </c>
      <c r="J26" s="16">
        <v>0.1</v>
      </c>
      <c r="K26" s="16">
        <v>1.5</v>
      </c>
      <c r="L26" s="15">
        <v>32.979999999999997</v>
      </c>
    </row>
    <row r="27" spans="2:12" s="13" customFormat="1" ht="18" customHeight="1" x14ac:dyDescent="0.25">
      <c r="B27" s="102"/>
      <c r="C27" s="49">
        <v>1717</v>
      </c>
      <c r="D27" s="20">
        <v>5</v>
      </c>
      <c r="E27" s="16">
        <v>21</v>
      </c>
      <c r="F27" s="17">
        <v>131</v>
      </c>
      <c r="G27" s="15">
        <v>100</v>
      </c>
      <c r="H27" s="16">
        <v>8.08</v>
      </c>
      <c r="I27" s="16">
        <v>1.5</v>
      </c>
      <c r="J27" s="16">
        <v>0.1</v>
      </c>
      <c r="K27" s="16">
        <v>1.5</v>
      </c>
      <c r="L27" s="15">
        <v>30.98</v>
      </c>
    </row>
    <row r="28" spans="2:12" s="13" customFormat="1" ht="18" customHeight="1" x14ac:dyDescent="0.25">
      <c r="B28" s="18"/>
      <c r="C28" s="14">
        <v>1724</v>
      </c>
      <c r="D28" s="20">
        <v>4</v>
      </c>
      <c r="E28" s="16">
        <v>20.399999999999999</v>
      </c>
      <c r="F28" s="17">
        <v>169</v>
      </c>
      <c r="G28" s="15">
        <v>100</v>
      </c>
      <c r="H28" s="16">
        <v>7.85</v>
      </c>
      <c r="I28" s="16">
        <v>1.5</v>
      </c>
      <c r="J28" s="16">
        <v>0.1</v>
      </c>
      <c r="K28" s="16">
        <v>1.5</v>
      </c>
      <c r="L28" s="15">
        <v>30.85</v>
      </c>
    </row>
    <row r="29" spans="2:12" s="13" customFormat="1" ht="18" customHeight="1" x14ac:dyDescent="0.25">
      <c r="B29" s="102"/>
      <c r="C29" s="49">
        <v>1747</v>
      </c>
      <c r="D29" s="20">
        <v>4</v>
      </c>
      <c r="E29" s="16">
        <v>22</v>
      </c>
      <c r="F29" s="17">
        <v>122</v>
      </c>
      <c r="G29" s="15">
        <v>70</v>
      </c>
      <c r="H29" s="16">
        <v>8.4600000000000009</v>
      </c>
      <c r="I29" s="16">
        <v>1.5</v>
      </c>
      <c r="J29" s="16">
        <v>0.1</v>
      </c>
      <c r="K29" s="16">
        <v>1.5</v>
      </c>
      <c r="L29" s="15">
        <v>31.25</v>
      </c>
    </row>
    <row r="30" spans="2:12" s="13" customFormat="1" ht="18" customHeight="1" x14ac:dyDescent="0.25">
      <c r="B30" s="14" t="s">
        <v>12</v>
      </c>
      <c r="C30" s="14">
        <v>479</v>
      </c>
      <c r="D30" s="20">
        <v>11</v>
      </c>
      <c r="E30" s="16">
        <v>10.3</v>
      </c>
      <c r="F30" s="17">
        <v>268</v>
      </c>
      <c r="G30" s="15">
        <v>0</v>
      </c>
      <c r="H30" s="16">
        <v>3.43</v>
      </c>
      <c r="I30" s="16">
        <v>1.5</v>
      </c>
      <c r="J30" s="16">
        <v>0.1</v>
      </c>
      <c r="K30" s="16">
        <v>1.5</v>
      </c>
      <c r="L30" s="15">
        <v>30.89</v>
      </c>
    </row>
    <row r="31" spans="2:12" s="13" customFormat="1" ht="18" customHeight="1" x14ac:dyDescent="0.25">
      <c r="B31" s="18"/>
      <c r="C31" s="14">
        <v>908</v>
      </c>
      <c r="D31" s="20">
        <v>9</v>
      </c>
      <c r="E31" s="16">
        <v>17.3</v>
      </c>
      <c r="F31" s="17">
        <v>205</v>
      </c>
      <c r="G31" s="15">
        <v>157</v>
      </c>
      <c r="H31" s="16">
        <v>5.77</v>
      </c>
      <c r="I31" s="16">
        <v>1.5</v>
      </c>
      <c r="J31" s="16">
        <v>0.1</v>
      </c>
      <c r="K31" s="16">
        <v>1.5</v>
      </c>
      <c r="L31" s="15">
        <v>33.770000000000003</v>
      </c>
    </row>
    <row r="32" spans="2:12" s="13" customFormat="1" ht="18" customHeight="1" x14ac:dyDescent="0.25">
      <c r="B32" s="102"/>
      <c r="C32" s="49">
        <v>918</v>
      </c>
      <c r="D32" s="20">
        <v>8</v>
      </c>
      <c r="E32" s="16">
        <v>5.8</v>
      </c>
      <c r="F32" s="17">
        <v>130</v>
      </c>
      <c r="G32" s="15">
        <v>0</v>
      </c>
      <c r="H32" s="16">
        <v>1.93</v>
      </c>
      <c r="I32" s="16">
        <v>1.5</v>
      </c>
      <c r="J32" s="16">
        <v>0.1</v>
      </c>
      <c r="K32" s="16">
        <v>1.5</v>
      </c>
      <c r="L32" s="15">
        <v>26.61</v>
      </c>
    </row>
    <row r="33" spans="2:12" s="13" customFormat="1" ht="18" customHeight="1" x14ac:dyDescent="0.25">
      <c r="B33" s="102"/>
      <c r="C33" s="49">
        <v>952</v>
      </c>
      <c r="D33" s="20">
        <v>7</v>
      </c>
      <c r="E33" s="16">
        <v>18.03</v>
      </c>
      <c r="F33" s="17">
        <v>133</v>
      </c>
      <c r="G33" s="15">
        <v>93</v>
      </c>
      <c r="H33" s="16">
        <v>6.01</v>
      </c>
      <c r="I33" s="16">
        <v>1.5</v>
      </c>
      <c r="J33" s="16">
        <v>0.1</v>
      </c>
      <c r="K33" s="16">
        <v>1.5</v>
      </c>
      <c r="L33" s="15">
        <v>35.26</v>
      </c>
    </row>
    <row r="34" spans="2:12" s="13" customFormat="1" ht="18" customHeight="1" x14ac:dyDescent="0.25">
      <c r="B34" s="18"/>
      <c r="C34" s="14">
        <v>964</v>
      </c>
      <c r="D34" s="20">
        <v>7</v>
      </c>
      <c r="E34" s="16">
        <v>16.149999999999999</v>
      </c>
      <c r="F34" s="17">
        <v>123</v>
      </c>
      <c r="G34" s="15">
        <v>0</v>
      </c>
      <c r="H34" s="16">
        <v>5.38</v>
      </c>
      <c r="I34" s="16">
        <v>1.5</v>
      </c>
      <c r="J34" s="16">
        <v>0.1</v>
      </c>
      <c r="K34" s="16">
        <v>1.5</v>
      </c>
      <c r="L34" s="15">
        <v>34.17</v>
      </c>
    </row>
    <row r="35" spans="2:12" s="13" customFormat="1" ht="18" customHeight="1" x14ac:dyDescent="0.25">
      <c r="B35" s="102"/>
      <c r="C35" s="49">
        <v>988</v>
      </c>
      <c r="D35" s="20">
        <v>6</v>
      </c>
      <c r="E35" s="16">
        <v>15.7</v>
      </c>
      <c r="F35" s="17">
        <v>135</v>
      </c>
      <c r="G35" s="15">
        <v>75</v>
      </c>
      <c r="H35" s="16">
        <v>5.23</v>
      </c>
      <c r="I35" s="16">
        <v>1.5</v>
      </c>
      <c r="J35" s="16">
        <v>0.1</v>
      </c>
      <c r="K35" s="16">
        <v>1.5</v>
      </c>
      <c r="L35" s="15">
        <v>33.9</v>
      </c>
    </row>
    <row r="36" spans="2:12" s="13" customFormat="1" ht="18" customHeight="1" x14ac:dyDescent="0.25">
      <c r="B36" s="102"/>
      <c r="C36" s="49">
        <v>1515</v>
      </c>
      <c r="D36" s="20">
        <v>6</v>
      </c>
      <c r="E36" s="16">
        <v>16.899999999999999</v>
      </c>
      <c r="F36" s="17">
        <v>185</v>
      </c>
      <c r="G36" s="15">
        <v>0</v>
      </c>
      <c r="H36" s="16">
        <v>5.63</v>
      </c>
      <c r="I36" s="16">
        <v>1.5</v>
      </c>
      <c r="J36" s="16">
        <v>0.1</v>
      </c>
      <c r="K36" s="16">
        <v>1.5</v>
      </c>
      <c r="L36" s="15">
        <v>34.6</v>
      </c>
    </row>
    <row r="37" spans="2:12" s="13" customFormat="1" ht="18" customHeight="1" x14ac:dyDescent="0.25">
      <c r="B37" s="102"/>
      <c r="C37" s="49">
        <v>1517</v>
      </c>
      <c r="D37" s="20">
        <v>6</v>
      </c>
      <c r="E37" s="16">
        <v>17</v>
      </c>
      <c r="F37" s="17">
        <v>75</v>
      </c>
      <c r="G37" s="15">
        <v>0</v>
      </c>
      <c r="H37" s="16">
        <v>5.67</v>
      </c>
      <c r="I37" s="16">
        <v>1.5</v>
      </c>
      <c r="J37" s="16">
        <v>0.1</v>
      </c>
      <c r="K37" s="16">
        <v>1.5</v>
      </c>
      <c r="L37" s="15">
        <v>33.51</v>
      </c>
    </row>
    <row r="38" spans="2:12" s="13" customFormat="1" ht="18" customHeight="1" x14ac:dyDescent="0.25">
      <c r="B38" s="102"/>
      <c r="C38" s="49">
        <v>1563</v>
      </c>
      <c r="D38" s="20">
        <v>6</v>
      </c>
      <c r="E38" s="16">
        <v>18.899999999999999</v>
      </c>
      <c r="F38" s="17">
        <v>153</v>
      </c>
      <c r="G38" s="15">
        <v>0</v>
      </c>
      <c r="H38" s="16">
        <v>6.3</v>
      </c>
      <c r="I38" s="16">
        <v>1.5</v>
      </c>
      <c r="J38" s="16">
        <v>0.1</v>
      </c>
      <c r="K38" s="16">
        <v>1.5</v>
      </c>
      <c r="L38" s="15">
        <v>34.729999999999997</v>
      </c>
    </row>
    <row r="39" spans="2:12" s="13" customFormat="1" ht="18" customHeight="1" x14ac:dyDescent="0.25">
      <c r="B39" s="102"/>
      <c r="C39" s="49">
        <v>1583</v>
      </c>
      <c r="D39" s="20">
        <v>6</v>
      </c>
      <c r="E39" s="16">
        <v>17.600000000000001</v>
      </c>
      <c r="F39" s="17">
        <v>88</v>
      </c>
      <c r="G39" s="15">
        <v>70</v>
      </c>
      <c r="H39" s="16">
        <v>5.87</v>
      </c>
      <c r="I39" s="16">
        <v>1.5</v>
      </c>
      <c r="J39" s="16">
        <v>0.1</v>
      </c>
      <c r="K39" s="16">
        <v>1.5</v>
      </c>
      <c r="L39" s="15">
        <v>33.94</v>
      </c>
    </row>
    <row r="40" spans="2:12" s="13" customFormat="1" ht="18" customHeight="1" x14ac:dyDescent="0.25">
      <c r="B40" s="102"/>
      <c r="C40" s="49">
        <v>1592</v>
      </c>
      <c r="D40" s="20">
        <v>5</v>
      </c>
      <c r="E40" s="16">
        <v>18.2</v>
      </c>
      <c r="F40" s="17">
        <v>129</v>
      </c>
      <c r="G40" s="15">
        <v>0</v>
      </c>
      <c r="H40" s="16">
        <v>6.07</v>
      </c>
      <c r="I40" s="16">
        <v>1.5</v>
      </c>
      <c r="J40" s="16">
        <v>0.1</v>
      </c>
      <c r="K40" s="16">
        <v>1.5</v>
      </c>
      <c r="L40" s="15">
        <v>34.270000000000003</v>
      </c>
    </row>
    <row r="41" spans="2:12" s="13" customFormat="1" ht="18" customHeight="1" x14ac:dyDescent="0.25">
      <c r="B41" s="102"/>
      <c r="C41" s="49">
        <v>1705</v>
      </c>
      <c r="D41" s="20">
        <v>4</v>
      </c>
      <c r="E41" s="16">
        <v>18.600000000000001</v>
      </c>
      <c r="F41" s="17">
        <v>168</v>
      </c>
      <c r="G41" s="15">
        <v>101</v>
      </c>
      <c r="H41" s="16">
        <v>6.2</v>
      </c>
      <c r="I41" s="16">
        <v>1.5</v>
      </c>
      <c r="J41" s="16">
        <v>0.1</v>
      </c>
      <c r="K41" s="16">
        <v>1.5</v>
      </c>
      <c r="L41" s="15">
        <v>34.5</v>
      </c>
    </row>
    <row r="42" spans="2:12" s="13" customFormat="1" ht="18" customHeight="1" x14ac:dyDescent="0.25">
      <c r="B42" s="14" t="s">
        <v>13</v>
      </c>
      <c r="C42" s="49">
        <v>664</v>
      </c>
      <c r="D42" s="20">
        <v>5</v>
      </c>
      <c r="E42" s="16">
        <v>13</v>
      </c>
      <c r="F42" s="17">
        <v>130</v>
      </c>
      <c r="G42" s="15">
        <v>80</v>
      </c>
      <c r="H42" s="16">
        <v>3.82</v>
      </c>
      <c r="I42" s="16">
        <v>1.5</v>
      </c>
      <c r="J42" s="16">
        <v>0.1</v>
      </c>
      <c r="K42" s="16">
        <v>1.5</v>
      </c>
      <c r="L42" s="15">
        <v>35.26</v>
      </c>
    </row>
    <row r="43" spans="2:12" s="13" customFormat="1" ht="18" customHeight="1" x14ac:dyDescent="0.25">
      <c r="B43" s="102"/>
      <c r="C43" s="49">
        <v>1229</v>
      </c>
      <c r="D43" s="20">
        <v>13</v>
      </c>
      <c r="E43" s="16">
        <v>13.6</v>
      </c>
      <c r="F43" s="17">
        <v>134</v>
      </c>
      <c r="G43" s="15">
        <v>49</v>
      </c>
      <c r="H43" s="16">
        <v>4</v>
      </c>
      <c r="I43" s="16">
        <v>1.5</v>
      </c>
      <c r="J43" s="16">
        <v>0.1</v>
      </c>
      <c r="K43" s="16">
        <v>1.5</v>
      </c>
      <c r="L43" s="15">
        <v>34.4</v>
      </c>
    </row>
    <row r="44" spans="2:12" s="13" customFormat="1" ht="18" customHeight="1" x14ac:dyDescent="0.25">
      <c r="B44" s="102"/>
      <c r="C44" s="49">
        <v>1567</v>
      </c>
      <c r="D44" s="20">
        <v>5</v>
      </c>
      <c r="E44" s="16">
        <v>8</v>
      </c>
      <c r="F44" s="17">
        <v>314</v>
      </c>
      <c r="G44" s="15">
        <v>196</v>
      </c>
      <c r="H44" s="16">
        <v>2.35</v>
      </c>
      <c r="I44" s="16">
        <v>1.5</v>
      </c>
      <c r="J44" s="16">
        <v>0.1</v>
      </c>
      <c r="K44" s="16">
        <v>1.5</v>
      </c>
      <c r="L44" s="15">
        <v>31.28</v>
      </c>
    </row>
    <row r="45" spans="2:12" ht="18" customHeight="1" x14ac:dyDescent="0.25">
      <c r="B45" s="23" t="s">
        <v>17</v>
      </c>
      <c r="C45" s="24">
        <f>COUNT(C5:C44)</f>
        <v>39</v>
      </c>
      <c r="D45" s="24"/>
      <c r="E45" s="25">
        <f>SUM(E5:E44)</f>
        <v>819.05999999999983</v>
      </c>
      <c r="F45" s="25">
        <f t="shared" ref="F45:L45" si="0">SUM(F5:F44)</f>
        <v>4745</v>
      </c>
      <c r="G45" s="25">
        <f t="shared" si="0"/>
        <v>1993</v>
      </c>
      <c r="H45" s="25">
        <f t="shared" si="0"/>
        <v>292.52000000000004</v>
      </c>
      <c r="I45" s="25">
        <f t="shared" si="0"/>
        <v>58.5</v>
      </c>
      <c r="J45" s="25">
        <f t="shared" si="0"/>
        <v>3.9000000000000021</v>
      </c>
      <c r="K45" s="25">
        <f t="shared" si="0"/>
        <v>58.5</v>
      </c>
      <c r="L45" s="27">
        <f t="shared" si="0"/>
        <v>1316.84</v>
      </c>
    </row>
    <row r="46" spans="2:12" ht="18" customHeight="1" x14ac:dyDescent="0.25">
      <c r="B46" s="28" t="s">
        <v>18</v>
      </c>
      <c r="C46" s="18"/>
      <c r="D46" s="29">
        <f>AVERAGE(D5:D44)</f>
        <v>6.3076923076923075</v>
      </c>
      <c r="E46" s="29">
        <f t="shared" ref="E46:L46" si="1">AVERAGE(E5:E44)</f>
        <v>21.001538461538455</v>
      </c>
      <c r="F46" s="29">
        <f t="shared" si="1"/>
        <v>121.66666666666667</v>
      </c>
      <c r="G46" s="29">
        <f t="shared" si="1"/>
        <v>51.102564102564102</v>
      </c>
      <c r="H46" s="29">
        <f t="shared" si="1"/>
        <v>7.5005128205128218</v>
      </c>
      <c r="I46" s="29">
        <f t="shared" si="1"/>
        <v>1.5</v>
      </c>
      <c r="J46" s="29">
        <f t="shared" si="1"/>
        <v>0.10000000000000006</v>
      </c>
      <c r="K46" s="29">
        <f t="shared" si="1"/>
        <v>1.5</v>
      </c>
      <c r="L46" s="30">
        <f t="shared" si="1"/>
        <v>33.7651282051282</v>
      </c>
    </row>
    <row r="47" spans="2:12" ht="18" customHeight="1" x14ac:dyDescent="0.25">
      <c r="B47" s="31" t="s">
        <v>19</v>
      </c>
      <c r="C47" s="32"/>
      <c r="D47" s="33"/>
      <c r="E47" s="33"/>
      <c r="F47" s="33"/>
      <c r="G47" s="33"/>
      <c r="H47" s="34">
        <f>+H45*7/46</f>
        <v>44.513913043478269</v>
      </c>
      <c r="I47" s="35">
        <f>+I45*7/46</f>
        <v>8.9021739130434785</v>
      </c>
      <c r="J47" s="35">
        <f>+J45*7/20</f>
        <v>1.3650000000000007</v>
      </c>
      <c r="K47" s="35">
        <f>+K45*7/16</f>
        <v>25.59375</v>
      </c>
      <c r="L47" s="85"/>
    </row>
    <row r="48" spans="2:12" ht="18" customHeight="1" x14ac:dyDescent="0.25">
      <c r="B48" s="18"/>
      <c r="C48" s="37"/>
      <c r="D48" s="38"/>
      <c r="E48" s="38"/>
      <c r="F48" s="39"/>
      <c r="G48" s="13"/>
      <c r="H48" s="13"/>
      <c r="I48" s="13"/>
      <c r="K48" s="13"/>
      <c r="L48" s="13"/>
    </row>
    <row r="49" spans="2:12" ht="18" customHeight="1" x14ac:dyDescent="0.25">
      <c r="B49" s="18"/>
      <c r="C49" s="23" t="s">
        <v>20</v>
      </c>
      <c r="D49" s="40"/>
      <c r="E49" s="40"/>
      <c r="F49" s="41">
        <f>(E45*7*305)*1.15</f>
        <v>2010997.0649999997</v>
      </c>
      <c r="G49" s="13"/>
      <c r="H49" s="42" t="s">
        <v>21</v>
      </c>
      <c r="I49" s="43"/>
      <c r="J49" s="86"/>
      <c r="L49" s="45">
        <f>+(E45*7)/((H47*46))</f>
        <v>2.8000136742786808</v>
      </c>
    </row>
    <row r="50" spans="2:12" ht="18" customHeight="1" x14ac:dyDescent="0.25">
      <c r="B50" s="18"/>
      <c r="C50" s="28" t="s">
        <v>22</v>
      </c>
      <c r="D50" s="38"/>
      <c r="E50" s="38"/>
      <c r="F50" s="46">
        <f>+(H47*(206*46))+(I47*6932)+(J47*20000)+(K47*1200)</f>
        <v>541536.20956521749</v>
      </c>
      <c r="G50" s="13"/>
      <c r="H50" s="87" t="s">
        <v>23</v>
      </c>
      <c r="I50" s="88"/>
      <c r="J50" s="89"/>
      <c r="L50" s="45">
        <f>+(E45*7)/(F50/206)</f>
        <v>2.1809890070845968</v>
      </c>
    </row>
    <row r="51" spans="2:12" ht="18" customHeight="1" x14ac:dyDescent="0.25">
      <c r="B51" s="18"/>
      <c r="C51" s="31" t="s">
        <v>24</v>
      </c>
      <c r="D51" s="33"/>
      <c r="E51" s="33"/>
      <c r="F51" s="48">
        <f>+F50/F49</f>
        <v>0.26928741915653542</v>
      </c>
      <c r="G51" s="13"/>
      <c r="H51" s="13"/>
      <c r="I51" s="13"/>
      <c r="K51" s="13"/>
      <c r="L51" s="13"/>
    </row>
  </sheetData>
  <sortState ref="C42:L44">
    <sortCondition ref="C42"/>
  </sortState>
  <mergeCells count="3">
    <mergeCell ref="C2:L2"/>
    <mergeCell ref="C3:L3"/>
    <mergeCell ref="C4:L4"/>
  </mergeCells>
  <printOptions horizontalCentered="1" verticalCentered="1"/>
  <pageMargins left="0.18" right="0.16" top="0.31" bottom="0.35" header="0.31496062992125984" footer="0.31496062992125984"/>
  <pageSetup paperSize="9" scale="6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6"/>
  <sheetViews>
    <sheetView workbookViewId="0">
      <selection activeCell="H7" sqref="H7"/>
    </sheetView>
  </sheetViews>
  <sheetFormatPr baseColWidth="10" defaultRowHeight="15" x14ac:dyDescent="0.25"/>
  <cols>
    <col min="1" max="1" width="4.28515625" style="1" customWidth="1"/>
    <col min="2" max="3" width="27.5703125" style="1" customWidth="1"/>
    <col min="4" max="4" width="5.28515625" style="1" customWidth="1"/>
    <col min="5" max="6" width="27.5703125" style="1" customWidth="1"/>
    <col min="7" max="7" width="5.42578125" style="1" customWidth="1"/>
    <col min="8" max="16384" width="11.42578125" style="1"/>
  </cols>
  <sheetData>
    <row r="1" spans="2:8" ht="24.75" customHeight="1" x14ac:dyDescent="0.25"/>
    <row r="2" spans="2:8" ht="24.75" customHeight="1" x14ac:dyDescent="0.25">
      <c r="B2" s="51" t="s">
        <v>14</v>
      </c>
      <c r="C2" s="52"/>
      <c r="D2" s="52"/>
      <c r="E2" s="52"/>
      <c r="F2" s="53"/>
    </row>
    <row r="3" spans="2:8" ht="24.75" customHeight="1" x14ac:dyDescent="0.25">
      <c r="B3" s="91" t="s">
        <v>16</v>
      </c>
      <c r="C3" s="92"/>
      <c r="D3" s="92"/>
      <c r="E3" s="92"/>
      <c r="F3" s="93"/>
    </row>
    <row r="4" spans="2:8" ht="24.75" customHeight="1" x14ac:dyDescent="0.25">
      <c r="B4" s="94" t="s">
        <v>31</v>
      </c>
      <c r="C4" s="95"/>
      <c r="D4" s="95"/>
      <c r="E4" s="95"/>
      <c r="F4" s="96"/>
    </row>
    <row r="5" spans="2:8" s="61" customFormat="1" ht="24.75" customHeight="1" x14ac:dyDescent="0.25">
      <c r="B5" s="62" t="s">
        <v>0</v>
      </c>
      <c r="C5" s="103" t="s">
        <v>32</v>
      </c>
      <c r="E5" s="62" t="s">
        <v>0</v>
      </c>
      <c r="F5" s="103" t="s">
        <v>32</v>
      </c>
    </row>
    <row r="6" spans="2:8" ht="24.75" customHeight="1" x14ac:dyDescent="0.25">
      <c r="B6" s="66">
        <v>479</v>
      </c>
      <c r="C6" s="67">
        <v>1.5</v>
      </c>
      <c r="E6" s="66">
        <v>1515</v>
      </c>
      <c r="F6" s="67">
        <v>3</v>
      </c>
      <c r="H6" s="104"/>
    </row>
    <row r="7" spans="2:8" ht="24.75" customHeight="1" x14ac:dyDescent="0.25">
      <c r="B7" s="66">
        <v>649</v>
      </c>
      <c r="C7" s="67">
        <v>5</v>
      </c>
      <c r="E7" s="66">
        <v>1517</v>
      </c>
      <c r="F7" s="67">
        <v>3</v>
      </c>
      <c r="H7" s="104"/>
    </row>
    <row r="8" spans="2:8" ht="24.75" customHeight="1" x14ac:dyDescent="0.3">
      <c r="B8" s="66">
        <v>655</v>
      </c>
      <c r="C8" s="67">
        <v>5</v>
      </c>
      <c r="E8" s="66">
        <v>1518</v>
      </c>
      <c r="F8" s="67">
        <v>5</v>
      </c>
      <c r="H8" s="105"/>
    </row>
    <row r="9" spans="2:8" ht="24.75" customHeight="1" x14ac:dyDescent="0.3">
      <c r="B9" s="66">
        <v>656</v>
      </c>
      <c r="C9" s="67">
        <v>4</v>
      </c>
      <c r="E9" s="66">
        <v>1519</v>
      </c>
      <c r="F9" s="67">
        <v>4.03</v>
      </c>
      <c r="H9" s="105"/>
    </row>
    <row r="10" spans="2:8" s="57" customFormat="1" ht="24.75" customHeight="1" x14ac:dyDescent="0.3">
      <c r="B10" s="66">
        <v>658</v>
      </c>
      <c r="C10" s="67">
        <v>5</v>
      </c>
      <c r="E10" s="66">
        <v>1546</v>
      </c>
      <c r="F10" s="67">
        <v>4.5</v>
      </c>
      <c r="H10" s="105"/>
    </row>
    <row r="11" spans="2:8" s="57" customFormat="1" ht="24.75" customHeight="1" x14ac:dyDescent="0.3">
      <c r="B11" s="66">
        <v>660</v>
      </c>
      <c r="C11" s="67">
        <v>5</v>
      </c>
      <c r="E11" s="66">
        <v>1561</v>
      </c>
      <c r="F11" s="67">
        <v>5</v>
      </c>
      <c r="H11" s="105"/>
    </row>
    <row r="12" spans="2:8" ht="24.75" customHeight="1" x14ac:dyDescent="0.3">
      <c r="B12" s="66">
        <v>664</v>
      </c>
      <c r="C12" s="67">
        <v>2</v>
      </c>
      <c r="E12" s="66">
        <v>1563</v>
      </c>
      <c r="F12" s="67">
        <v>3</v>
      </c>
      <c r="H12" s="105"/>
    </row>
    <row r="13" spans="2:8" ht="24.75" customHeight="1" x14ac:dyDescent="0.3">
      <c r="B13" s="66">
        <v>687</v>
      </c>
      <c r="C13" s="67">
        <v>4.5</v>
      </c>
      <c r="E13" s="66">
        <v>1567</v>
      </c>
      <c r="F13" s="67">
        <v>1</v>
      </c>
      <c r="H13" s="105"/>
    </row>
    <row r="14" spans="2:8" s="57" customFormat="1" ht="24.75" customHeight="1" x14ac:dyDescent="0.3">
      <c r="B14" s="66">
        <v>908</v>
      </c>
      <c r="C14" s="67">
        <v>3</v>
      </c>
      <c r="E14" s="66">
        <v>1577</v>
      </c>
      <c r="F14" s="67">
        <v>5</v>
      </c>
      <c r="H14" s="105"/>
    </row>
    <row r="15" spans="2:8" s="57" customFormat="1" ht="24.75" customHeight="1" x14ac:dyDescent="0.3">
      <c r="B15" s="66">
        <v>918</v>
      </c>
      <c r="C15" s="67">
        <v>0.96499999999999997</v>
      </c>
      <c r="E15" s="66">
        <v>1583</v>
      </c>
      <c r="F15" s="67">
        <v>3</v>
      </c>
      <c r="H15" s="105"/>
    </row>
    <row r="16" spans="2:8" ht="24.75" customHeight="1" x14ac:dyDescent="0.3">
      <c r="B16" s="66">
        <v>942</v>
      </c>
      <c r="C16" s="67">
        <v>4</v>
      </c>
      <c r="E16" s="66">
        <v>1586</v>
      </c>
      <c r="F16" s="67">
        <v>4.5</v>
      </c>
      <c r="H16" s="105"/>
    </row>
    <row r="17" spans="2:8" ht="24.75" customHeight="1" x14ac:dyDescent="0.3">
      <c r="B17" s="66">
        <v>952</v>
      </c>
      <c r="C17" s="67">
        <v>3.0049999999999999</v>
      </c>
      <c r="E17" s="66">
        <v>1589</v>
      </c>
      <c r="F17" s="67">
        <v>4</v>
      </c>
      <c r="H17" s="105"/>
    </row>
    <row r="18" spans="2:8" ht="24.75" customHeight="1" x14ac:dyDescent="0.3">
      <c r="B18" s="66">
        <v>964</v>
      </c>
      <c r="C18" s="67">
        <v>2.5</v>
      </c>
      <c r="E18" s="66">
        <v>1591</v>
      </c>
      <c r="F18" s="67">
        <v>5</v>
      </c>
      <c r="H18" s="105"/>
    </row>
    <row r="19" spans="2:8" ht="24.75" customHeight="1" x14ac:dyDescent="0.3">
      <c r="B19" s="66">
        <v>969</v>
      </c>
      <c r="C19" s="67">
        <v>4</v>
      </c>
      <c r="E19" s="66">
        <v>1592</v>
      </c>
      <c r="F19" s="67">
        <v>3.0350000000000001</v>
      </c>
      <c r="H19" s="105"/>
    </row>
    <row r="20" spans="2:8" ht="24.75" customHeight="1" x14ac:dyDescent="0.3">
      <c r="B20" s="66">
        <v>972</v>
      </c>
      <c r="C20" s="67">
        <v>5</v>
      </c>
      <c r="E20" s="66">
        <v>1705</v>
      </c>
      <c r="F20" s="67">
        <v>3</v>
      </c>
      <c r="H20" s="105"/>
    </row>
    <row r="21" spans="2:8" ht="24.75" customHeight="1" x14ac:dyDescent="0.3">
      <c r="B21" s="66">
        <v>985</v>
      </c>
      <c r="C21" s="67">
        <v>4.5</v>
      </c>
      <c r="E21" s="66">
        <v>1713</v>
      </c>
      <c r="F21" s="67">
        <v>5</v>
      </c>
      <c r="H21" s="105"/>
    </row>
    <row r="22" spans="2:8" ht="24.75" customHeight="1" x14ac:dyDescent="0.3">
      <c r="B22" s="66">
        <v>988</v>
      </c>
      <c r="C22" s="67">
        <v>2.5</v>
      </c>
      <c r="E22" s="66">
        <v>1717</v>
      </c>
      <c r="F22" s="67">
        <v>4.04</v>
      </c>
      <c r="H22" s="105"/>
    </row>
    <row r="23" spans="2:8" ht="24.75" customHeight="1" x14ac:dyDescent="0.3">
      <c r="B23" s="66">
        <v>1229</v>
      </c>
      <c r="C23" s="67">
        <v>2</v>
      </c>
      <c r="E23" s="66">
        <v>1724</v>
      </c>
      <c r="F23" s="67">
        <v>4</v>
      </c>
      <c r="H23" s="105"/>
    </row>
    <row r="24" spans="2:8" ht="24.75" customHeight="1" x14ac:dyDescent="0.3">
      <c r="B24" s="66">
        <v>1502</v>
      </c>
      <c r="C24" s="67">
        <v>5</v>
      </c>
      <c r="E24" s="66">
        <v>1747</v>
      </c>
      <c r="F24" s="67">
        <v>4</v>
      </c>
      <c r="H24" s="105"/>
    </row>
    <row r="25" spans="2:8" ht="24.75" customHeight="1" x14ac:dyDescent="0.3">
      <c r="B25" s="66">
        <v>1508</v>
      </c>
      <c r="C25" s="67">
        <v>4.5</v>
      </c>
      <c r="E25" s="66"/>
      <c r="F25" s="67"/>
      <c r="H25" s="105"/>
    </row>
    <row r="26" spans="2:8" ht="27.75" customHeight="1" x14ac:dyDescent="0.25">
      <c r="B26" s="106" t="s">
        <v>25</v>
      </c>
      <c r="C26" s="74">
        <f>+SUM(C3:C25,F3:F25)*2/46</f>
        <v>6.3510869565217387</v>
      </c>
      <c r="D26" s="107"/>
      <c r="E26" s="106" t="s">
        <v>26</v>
      </c>
      <c r="F26" s="77">
        <f>+C26*7</f>
        <v>44.457608695652169</v>
      </c>
    </row>
    <row r="27" spans="2:8" ht="22.5" x14ac:dyDescent="0.25">
      <c r="B27" s="108"/>
    </row>
    <row r="28" spans="2:8" ht="24.75" customHeight="1" x14ac:dyDescent="0.25">
      <c r="B28" s="108"/>
    </row>
    <row r="29" spans="2:8" ht="22.5" x14ac:dyDescent="0.25">
      <c r="B29" s="108"/>
    </row>
    <row r="30" spans="2:8" ht="22.5" x14ac:dyDescent="0.25">
      <c r="B30" s="108"/>
    </row>
    <row r="31" spans="2:8" ht="22.5" x14ac:dyDescent="0.25">
      <c r="B31" s="108"/>
    </row>
    <row r="32" spans="2:8" ht="20.25" customHeight="1" x14ac:dyDescent="0.25">
      <c r="B32" s="108"/>
    </row>
    <row r="33" spans="2:2" ht="20.25" customHeight="1" x14ac:dyDescent="0.25">
      <c r="B33" s="108"/>
    </row>
    <row r="34" spans="2:2" ht="20.25" customHeight="1" x14ac:dyDescent="0.25">
      <c r="B34" s="108"/>
    </row>
    <row r="35" spans="2:2" ht="20.25" customHeight="1" x14ac:dyDescent="0.25">
      <c r="B35" s="108"/>
    </row>
    <row r="36" spans="2:2" ht="20.25" customHeight="1" x14ac:dyDescent="0.25"/>
  </sheetData>
  <sortState ref="B6:C44">
    <sortCondition ref="B6"/>
  </sortState>
  <mergeCells count="3">
    <mergeCell ref="B2:F2"/>
    <mergeCell ref="B3:F3"/>
    <mergeCell ref="B4:F4"/>
  </mergeCells>
  <printOptions horizontalCentered="1" verticalCentered="1"/>
  <pageMargins left="0.18" right="0.18" top="0.31" bottom="0.33" header="0.31496062992125984" footer="0.31496062992125984"/>
  <pageSetup paperSize="9" scale="8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RESUMEN</vt:lpstr>
      <vt:lpstr>L1</vt:lpstr>
      <vt:lpstr>CAMPO-L1</vt:lpstr>
      <vt:lpstr>L2</vt:lpstr>
      <vt:lpstr>CAMPO-L2</vt:lpstr>
      <vt:lpstr>L7</vt:lpstr>
      <vt:lpstr>CAMPO-L7</vt:lpstr>
      <vt:lpstr>'CAMPO-L1'!Área_de_impresión</vt:lpstr>
      <vt:lpstr>'CAMPO-L2'!Área_de_impresión</vt:lpstr>
      <vt:lpstr>'CAMPO-L7'!Área_de_impresión</vt:lpstr>
      <vt:lpstr>'L1'!Área_de_impresión</vt:lpstr>
      <vt:lpstr>'L2'!Área_de_impresión</vt:lpstr>
      <vt:lpstr>'L7'!Área_de_impresión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LEON HIDALGO</dc:creator>
  <cp:lastModifiedBy>HECTOR LEON HIDALGO</cp:lastModifiedBy>
  <cp:lastPrinted>2019-02-25T18:29:41Z</cp:lastPrinted>
  <dcterms:created xsi:type="dcterms:W3CDTF">2019-02-25T16:54:12Z</dcterms:created>
  <dcterms:modified xsi:type="dcterms:W3CDTF">2019-02-25T18:52:58Z</dcterms:modified>
</cp:coreProperties>
</file>