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1.bin" ContentType="application/vnd.openxmlformats-officedocument.oleObject"/>
  <Override PartName="/xl/drawings/drawing7.xml" ContentType="application/vnd.openxmlformats-officedocument.drawing+xml"/>
  <Override PartName="/xl/drawings/drawing8.xml" ContentType="application/vnd.openxmlformats-officedocument.drawing+xml"/>
  <Override PartName="/xl/embeddings/oleObject2.bin" ContentType="application/vnd.openxmlformats-officedocument.oleObject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embeddings/oleObject3.bin" ContentType="application/vnd.openxmlformats-officedocument.oleObject"/>
  <Override PartName="/xl/drawings/drawing12.xml" ContentType="application/vnd.openxmlformats-officedocument.drawing+xml"/>
  <Override PartName="/xl/embeddings/oleObject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Hoja Resumen Especificaciones" sheetId="10" r:id="rId1"/>
    <sheet name="1. Con Contenedor" sheetId="11" r:id="rId2"/>
    <sheet name="1. Con Cont Conico" sheetId="23" r:id="rId3"/>
    <sheet name="1.Con Contenedor Esf" sheetId="19" r:id="rId4"/>
    <sheet name="2. CC Contenedor" sheetId="12" r:id="rId5"/>
    <sheet name="2.CC Contenedor Esf" sheetId="20" r:id="rId6"/>
    <sheet name="3. Min Contenedor" sheetId="13" r:id="rId7"/>
    <sheet name="3. Min Contenedor Esf" sheetId="21" r:id="rId8"/>
    <sheet name="4. Lev Contenedor" sheetId="14" r:id="rId9"/>
    <sheet name="4. Lev Contenedof Esf" sheetId="22" r:id="rId10"/>
    <sheet name="5. Tolva Romana" sheetId="15" r:id="rId11"/>
    <sheet name="6 Tolva Med Min-Grasa" sheetId="17" r:id="rId12"/>
    <sheet name="7 Tolva Med Lev-Secuestrante" sheetId="16" r:id="rId13"/>
  </sheets>
  <definedNames>
    <definedName name="solver_adj" localSheetId="2" hidden="1">'1. Con Cont Conico'!$F$24,'1. Con Cont Conico'!$H$24</definedName>
    <definedName name="solver_adj" localSheetId="1" hidden="1">'1. Con Contenedor'!$F$24,'1. Con Contenedor'!$H$24</definedName>
    <definedName name="solver_adj" localSheetId="4" hidden="1">'2. CC Contenedor'!$F$24,'2. CC Contenedor'!$H$24</definedName>
    <definedName name="solver_adj" localSheetId="6" hidden="1">'3. Min Contenedor'!$F$24,'3. Min Contenedor'!$H$24,'3. Min Contenedor'!$J$24</definedName>
    <definedName name="solver_adj" localSheetId="8" hidden="1">'4. Lev Contenedor'!$F$24,'4. Lev Contenedor'!$H$24,'4. Lev Contenedor'!$J$24</definedName>
    <definedName name="solver_adj" localSheetId="11" hidden="1">'6 Tolva Med Min-Grasa'!$F$24:$G$24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6" hidden="1">0.0001</definedName>
    <definedName name="solver_cvg" localSheetId="8" hidden="1">0.0001</definedName>
    <definedName name="solver_cvg" localSheetId="11" hidden="1">0.0001</definedName>
    <definedName name="solver_drv" localSheetId="2" hidden="1">1</definedName>
    <definedName name="solver_drv" localSheetId="1" hidden="1">2</definedName>
    <definedName name="solver_drv" localSheetId="4" hidden="1">1</definedName>
    <definedName name="solver_drv" localSheetId="6" hidden="1">2</definedName>
    <definedName name="solver_drv" localSheetId="8" hidden="1">1</definedName>
    <definedName name="solver_drv" localSheetId="11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ng" localSheetId="6" hidden="1">1</definedName>
    <definedName name="solver_eng" localSheetId="8" hidden="1">1</definedName>
    <definedName name="solver_eng" localSheetId="11" hidden="1">3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6" hidden="1">1</definedName>
    <definedName name="solver_est" localSheetId="8" hidden="1">1</definedName>
    <definedName name="solver_est" localSheetId="11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6" hidden="1">2147483647</definedName>
    <definedName name="solver_itr" localSheetId="8" hidden="1">2147483647</definedName>
    <definedName name="solver_itr" localSheetId="11" hidden="1">2147483647</definedName>
    <definedName name="solver_lhs1" localSheetId="2" hidden="1">'1. Con Cont Conico'!$F$30</definedName>
    <definedName name="solver_lhs1" localSheetId="1" hidden="1">'1. Con Contenedor'!$F$30</definedName>
    <definedName name="solver_lhs1" localSheetId="4" hidden="1">'2. CC Contenedor'!$F$30</definedName>
    <definedName name="solver_lhs1" localSheetId="6" hidden="1">'3. Min Contenedor'!$F$30</definedName>
    <definedName name="solver_lhs1" localSheetId="8" hidden="1">'4. Lev Contenedor'!$F$30</definedName>
    <definedName name="solver_lhs1" localSheetId="11" hidden="1">'6 Tolva Med Min-Grasa'!$F$30</definedName>
    <definedName name="solver_lhs2" localSheetId="2" hidden="1">'1. Con Cont Conico'!$H$24</definedName>
    <definedName name="solver_lhs2" localSheetId="1" hidden="1">'1. Con Contenedor'!$J$27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6" hidden="1">2147483647</definedName>
    <definedName name="solver_mip" localSheetId="8" hidden="1">2147483647</definedName>
    <definedName name="solver_mip" localSheetId="11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6" hidden="1">30</definedName>
    <definedName name="solver_mni" localSheetId="8" hidden="1">30</definedName>
    <definedName name="solver_mni" localSheetId="11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6" hidden="1">0.075</definedName>
    <definedName name="solver_mrt" localSheetId="8" hidden="1">0.075</definedName>
    <definedName name="solver_mrt" localSheetId="11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6" hidden="1">2</definedName>
    <definedName name="solver_msl" localSheetId="8" hidden="1">2</definedName>
    <definedName name="solver_msl" localSheetId="11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6" hidden="1">1</definedName>
    <definedName name="solver_neg" localSheetId="8" hidden="1">1</definedName>
    <definedName name="solver_neg" localSheetId="11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6" hidden="1">2147483647</definedName>
    <definedName name="solver_nod" localSheetId="8" hidden="1">2147483647</definedName>
    <definedName name="solver_nod" localSheetId="11" hidden="1">2147483647</definedName>
    <definedName name="solver_num" localSheetId="2" hidden="1">2</definedName>
    <definedName name="solver_num" localSheetId="1" hidden="1">2</definedName>
    <definedName name="solver_num" localSheetId="4" hidden="1">1</definedName>
    <definedName name="solver_num" localSheetId="6" hidden="1">1</definedName>
    <definedName name="solver_num" localSheetId="8" hidden="1">1</definedName>
    <definedName name="solver_num" localSheetId="11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6" hidden="1">1</definedName>
    <definedName name="solver_nwt" localSheetId="8" hidden="1">1</definedName>
    <definedName name="solver_nwt" localSheetId="11" hidden="1">1</definedName>
    <definedName name="solver_opt" localSheetId="2" hidden="1">'1. Con Cont Conico'!$F$27</definedName>
    <definedName name="solver_opt" localSheetId="1" hidden="1">'1. Con Contenedor'!$F$27</definedName>
    <definedName name="solver_opt" localSheetId="4" hidden="1">'2. CC Contenedor'!$F$27</definedName>
    <definedName name="solver_opt" localSheetId="6" hidden="1">'3. Min Contenedor'!$F$27</definedName>
    <definedName name="solver_opt" localSheetId="8" hidden="1">'4. Lev Contenedor'!$F$27</definedName>
    <definedName name="solver_opt" localSheetId="11" hidden="1">'6 Tolva Med Min-Grasa'!$F$30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6" hidden="1">0.000001</definedName>
    <definedName name="solver_pre" localSheetId="8" hidden="1">0.000001</definedName>
    <definedName name="solver_pre" localSheetId="11" hidden="1">0.000001</definedName>
    <definedName name="solver_rbv" localSheetId="2" hidden="1">1</definedName>
    <definedName name="solver_rbv" localSheetId="1" hidden="1">2</definedName>
    <definedName name="solver_rbv" localSheetId="4" hidden="1">1</definedName>
    <definedName name="solver_rbv" localSheetId="6" hidden="1">2</definedName>
    <definedName name="solver_rbv" localSheetId="8" hidden="1">1</definedName>
    <definedName name="solver_rbv" localSheetId="11" hidden="1">1</definedName>
    <definedName name="solver_rel1" localSheetId="2" hidden="1">2</definedName>
    <definedName name="solver_rel1" localSheetId="1" hidden="1">2</definedName>
    <definedName name="solver_rel1" localSheetId="4" hidden="1">2</definedName>
    <definedName name="solver_rel1" localSheetId="6" hidden="1">2</definedName>
    <definedName name="solver_rel1" localSheetId="8" hidden="1">2</definedName>
    <definedName name="solver_rel1" localSheetId="11" hidden="1">2</definedName>
    <definedName name="solver_rel2" localSheetId="2" hidden="1">3</definedName>
    <definedName name="solver_rel2" localSheetId="1" hidden="1">3</definedName>
    <definedName name="solver_rhs1" localSheetId="2" hidden="1">0</definedName>
    <definedName name="solver_rhs1" localSheetId="1" hidden="1">0</definedName>
    <definedName name="solver_rhs1" localSheetId="4" hidden="1">0</definedName>
    <definedName name="solver_rhs1" localSheetId="6" hidden="1">0</definedName>
    <definedName name="solver_rhs1" localSheetId="8" hidden="1">0</definedName>
    <definedName name="solver_rhs1" localSheetId="11" hidden="1">0</definedName>
    <definedName name="solver_rhs2" localSheetId="2" hidden="1">7.5</definedName>
    <definedName name="solver_rhs2" localSheetId="1" hidden="1">0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6" hidden="1">2</definedName>
    <definedName name="solver_rlx" localSheetId="8" hidden="1">2</definedName>
    <definedName name="solver_rlx" localSheetId="11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6" hidden="1">0</definedName>
    <definedName name="solver_rsd" localSheetId="8" hidden="1">0</definedName>
    <definedName name="solver_rsd" localSheetId="11" hidden="1">0</definedName>
    <definedName name="solver_scl" localSheetId="2" hidden="1">1</definedName>
    <definedName name="solver_scl" localSheetId="1" hidden="1">2</definedName>
    <definedName name="solver_scl" localSheetId="4" hidden="1">1</definedName>
    <definedName name="solver_scl" localSheetId="6" hidden="1">2</definedName>
    <definedName name="solver_scl" localSheetId="8" hidden="1">1</definedName>
    <definedName name="solver_scl" localSheetId="11" hidden="1">1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6" hidden="1">2</definedName>
    <definedName name="solver_sho" localSheetId="8" hidden="1">2</definedName>
    <definedName name="solver_sho" localSheetId="11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6" hidden="1">100</definedName>
    <definedName name="solver_ssz" localSheetId="8" hidden="1">100</definedName>
    <definedName name="solver_ssz" localSheetId="11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6" hidden="1">2147483647</definedName>
    <definedName name="solver_tim" localSheetId="8" hidden="1">2147483647</definedName>
    <definedName name="solver_tim" localSheetId="11" hidden="1">2147483647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6" hidden="1">0.01</definedName>
    <definedName name="solver_tol" localSheetId="8" hidden="1">0.01</definedName>
    <definedName name="solver_tol" localSheetId="11" hidden="1">0.01</definedName>
    <definedName name="solver_typ" localSheetId="2" hidden="1">2</definedName>
    <definedName name="solver_typ" localSheetId="1" hidden="1">2</definedName>
    <definedName name="solver_typ" localSheetId="4" hidden="1">2</definedName>
    <definedName name="solver_typ" localSheetId="6" hidden="1">2</definedName>
    <definedName name="solver_typ" localSheetId="8" hidden="1">2</definedName>
    <definedName name="solver_typ" localSheetId="11" hidden="1">2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6" hidden="1">0</definedName>
    <definedName name="solver_val" localSheetId="8" hidden="1">0</definedName>
    <definedName name="solver_val" localSheetId="11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6" hidden="1">3</definedName>
    <definedName name="solver_ver" localSheetId="8" hidden="1">3</definedName>
    <definedName name="solver_ver" localSheetId="1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23" l="1"/>
  <c r="G24" i="23" s="1"/>
  <c r="K27" i="23" s="1"/>
  <c r="L27" i="23"/>
  <c r="C26" i="23"/>
  <c r="B25" i="23"/>
  <c r="B26" i="23" s="1"/>
  <c r="D26" i="23" s="1"/>
  <c r="C24" i="23"/>
  <c r="B24" i="23"/>
  <c r="D24" i="23" s="1"/>
  <c r="A24" i="23"/>
  <c r="B22" i="23"/>
  <c r="A14" i="23"/>
  <c r="A11" i="23"/>
  <c r="A1" i="23"/>
  <c r="J24" i="14"/>
  <c r="J24" i="13"/>
  <c r="J27" i="12"/>
  <c r="J27" i="11"/>
  <c r="F30" i="16"/>
  <c r="L27" i="16"/>
  <c r="K27" i="16"/>
  <c r="F27" i="16"/>
  <c r="B28" i="16"/>
  <c r="B29" i="16" s="1"/>
  <c r="C27" i="16"/>
  <c r="C29" i="16" s="1"/>
  <c r="B27" i="16"/>
  <c r="D27" i="16" s="1"/>
  <c r="A27" i="16"/>
  <c r="B25" i="16"/>
  <c r="B26" i="16" s="1"/>
  <c r="C24" i="16"/>
  <c r="C26" i="16" s="1"/>
  <c r="B24" i="16"/>
  <c r="D24" i="16" s="1"/>
  <c r="A24" i="16"/>
  <c r="F30" i="17"/>
  <c r="B28" i="17"/>
  <c r="B27" i="17"/>
  <c r="C29" i="17"/>
  <c r="B29" i="17"/>
  <c r="D29" i="17" s="1"/>
  <c r="C27" i="17"/>
  <c r="D27" i="17"/>
  <c r="A27" i="17"/>
  <c r="A1" i="16"/>
  <c r="B22" i="16"/>
  <c r="A14" i="16"/>
  <c r="A11" i="16"/>
  <c r="F27" i="17"/>
  <c r="K9" i="22"/>
  <c r="J9" i="22"/>
  <c r="G26" i="22" s="1"/>
  <c r="I9" i="22"/>
  <c r="H9" i="22"/>
  <c r="G9" i="22"/>
  <c r="F9" i="22"/>
  <c r="B19" i="22" s="1"/>
  <c r="B15" i="22"/>
  <c r="A1" i="22"/>
  <c r="B24" i="22"/>
  <c r="B27" i="22" s="1"/>
  <c r="B17" i="22"/>
  <c r="I9" i="21"/>
  <c r="H9" i="21"/>
  <c r="G9" i="21"/>
  <c r="F9" i="21"/>
  <c r="B15" i="21"/>
  <c r="A1" i="21"/>
  <c r="B24" i="21"/>
  <c r="B27" i="21" s="1"/>
  <c r="A1" i="20"/>
  <c r="I9" i="20"/>
  <c r="H9" i="20"/>
  <c r="G9" i="20"/>
  <c r="B19" i="20" s="1"/>
  <c r="F9" i="20"/>
  <c r="B18" i="20" s="1"/>
  <c r="B15" i="20"/>
  <c r="B24" i="20"/>
  <c r="B27" i="20" s="1"/>
  <c r="B15" i="19"/>
  <c r="B24" i="19"/>
  <c r="I9" i="19"/>
  <c r="H9" i="19"/>
  <c r="G9" i="19"/>
  <c r="B17" i="19" s="1"/>
  <c r="F9" i="19"/>
  <c r="B18" i="19" s="1"/>
  <c r="A1" i="19"/>
  <c r="F27" i="23" l="1"/>
  <c r="F30" i="23"/>
  <c r="H30" i="23" s="1"/>
  <c r="B18" i="22"/>
  <c r="B19" i="21"/>
  <c r="B19" i="19"/>
  <c r="L22" i="19" s="1"/>
  <c r="B16" i="19"/>
  <c r="D26" i="16"/>
  <c r="D29" i="16"/>
  <c r="M15" i="22"/>
  <c r="L22" i="22"/>
  <c r="M14" i="22"/>
  <c r="B16" i="22"/>
  <c r="L26" i="22"/>
  <c r="B17" i="21"/>
  <c r="B16" i="20"/>
  <c r="B17" i="20"/>
  <c r="B27" i="19"/>
  <c r="H15" i="20" l="1"/>
  <c r="H14" i="20"/>
  <c r="M14" i="19"/>
  <c r="G22" i="19"/>
  <c r="H14" i="19"/>
  <c r="H15" i="19"/>
  <c r="H14" i="22"/>
  <c r="G22" i="22"/>
  <c r="H15" i="22"/>
  <c r="L22" i="21"/>
  <c r="M14" i="21"/>
  <c r="L22" i="20"/>
  <c r="M14" i="20"/>
  <c r="G22" i="20"/>
  <c r="H16" i="20" l="1"/>
  <c r="B25" i="20" s="1"/>
  <c r="G20" i="20" s="1"/>
  <c r="G23" i="20" s="1"/>
  <c r="H16" i="19"/>
  <c r="B25" i="19" s="1"/>
  <c r="G21" i="19" s="1"/>
  <c r="H16" i="22"/>
  <c r="G21" i="20"/>
  <c r="G20" i="19" l="1"/>
  <c r="G23" i="19" s="1"/>
  <c r="B25" i="22"/>
  <c r="M16" i="22"/>
  <c r="B26" i="22" s="1"/>
  <c r="L21" i="22" l="1"/>
  <c r="L23" i="22" s="1"/>
  <c r="L27" i="22" s="1"/>
  <c r="L20" i="22"/>
  <c r="G21" i="22"/>
  <c r="G20" i="22"/>
  <c r="G23" i="22" s="1"/>
  <c r="G27" i="22" s="1"/>
  <c r="J9" i="19" l="1"/>
  <c r="B27" i="13"/>
  <c r="B29" i="13" s="1"/>
  <c r="D29" i="13" s="1"/>
  <c r="B28" i="13"/>
  <c r="C29" i="13"/>
  <c r="C27" i="13"/>
  <c r="A27" i="13"/>
  <c r="C27" i="14"/>
  <c r="B28" i="14"/>
  <c r="B29" i="14" s="1"/>
  <c r="B27" i="14"/>
  <c r="A27" i="14"/>
  <c r="C29" i="14"/>
  <c r="D27" i="14"/>
  <c r="F27" i="14"/>
  <c r="G26" i="19" l="1"/>
  <c r="G27" i="19" s="1"/>
  <c r="L26" i="19"/>
  <c r="M15" i="19"/>
  <c r="M16" i="19" s="1"/>
  <c r="B26" i="19" s="1"/>
  <c r="D27" i="13"/>
  <c r="D29" i="14"/>
  <c r="F27" i="15"/>
  <c r="L27" i="14"/>
  <c r="C24" i="17"/>
  <c r="C26" i="17" s="1"/>
  <c r="B25" i="17"/>
  <c r="B24" i="17"/>
  <c r="A24" i="17"/>
  <c r="A14" i="17"/>
  <c r="A11" i="17"/>
  <c r="A1" i="17"/>
  <c r="L27" i="17"/>
  <c r="K27" i="17"/>
  <c r="B22" i="17"/>
  <c r="C24" i="15"/>
  <c r="C26" i="15" s="1"/>
  <c r="B25" i="15"/>
  <c r="B24" i="15"/>
  <c r="A24" i="15"/>
  <c r="A14" i="15"/>
  <c r="A11" i="15"/>
  <c r="A1" i="15"/>
  <c r="L27" i="15"/>
  <c r="K27" i="15"/>
  <c r="B26" i="15"/>
  <c r="B22" i="15"/>
  <c r="J27" i="15" s="1"/>
  <c r="C26" i="14"/>
  <c r="C24" i="14"/>
  <c r="C26" i="13"/>
  <c r="C24" i="13"/>
  <c r="B25" i="14"/>
  <c r="B26" i="14" s="1"/>
  <c r="A24" i="14"/>
  <c r="B24" i="14"/>
  <c r="A14" i="14"/>
  <c r="A11" i="14"/>
  <c r="A1" i="14"/>
  <c r="K27" i="14"/>
  <c r="B22" i="14"/>
  <c r="B25" i="13"/>
  <c r="B24" i="13"/>
  <c r="B26" i="13" s="1"/>
  <c r="D26" i="13" s="1"/>
  <c r="A24" i="12"/>
  <c r="A24" i="13"/>
  <c r="A14" i="13"/>
  <c r="A11" i="13"/>
  <c r="A1" i="13"/>
  <c r="K27" i="13"/>
  <c r="B22" i="13"/>
  <c r="B25" i="12"/>
  <c r="B24" i="12"/>
  <c r="A14" i="12"/>
  <c r="A11" i="12"/>
  <c r="A1" i="12"/>
  <c r="L27" i="12"/>
  <c r="K27" i="12"/>
  <c r="B26" i="12"/>
  <c r="B22" i="12"/>
  <c r="A24" i="11"/>
  <c r="A14" i="11"/>
  <c r="D24" i="10"/>
  <c r="D23" i="10"/>
  <c r="D22" i="10"/>
  <c r="D21" i="10"/>
  <c r="D20" i="10"/>
  <c r="C26" i="12" s="1"/>
  <c r="D19" i="10"/>
  <c r="C24" i="11" s="1"/>
  <c r="B25" i="11"/>
  <c r="A1" i="11"/>
  <c r="A11" i="11"/>
  <c r="B24" i="11"/>
  <c r="B26" i="11" s="1"/>
  <c r="G8" i="10"/>
  <c r="G9" i="10"/>
  <c r="G10" i="10"/>
  <c r="G11" i="10"/>
  <c r="G12" i="10"/>
  <c r="G13" i="10"/>
  <c r="E8" i="10"/>
  <c r="E9" i="10"/>
  <c r="E10" i="10"/>
  <c r="E11" i="10"/>
  <c r="E12" i="10"/>
  <c r="E13" i="10"/>
  <c r="F27" i="12" l="1"/>
  <c r="J9" i="20"/>
  <c r="L21" i="19"/>
  <c r="L23" i="19" s="1"/>
  <c r="L27" i="19" s="1"/>
  <c r="L20" i="19"/>
  <c r="B26" i="17"/>
  <c r="F30" i="14"/>
  <c r="H30" i="14" s="1"/>
  <c r="D26" i="17"/>
  <c r="D24" i="17"/>
  <c r="D26" i="15"/>
  <c r="F30" i="15" s="1"/>
  <c r="D24" i="15"/>
  <c r="D26" i="14"/>
  <c r="D24" i="14"/>
  <c r="D24" i="13"/>
  <c r="D26" i="12"/>
  <c r="F30" i="12" s="1"/>
  <c r="C24" i="12"/>
  <c r="D24" i="12" s="1"/>
  <c r="C26" i="11"/>
  <c r="G26" i="20" l="1"/>
  <c r="G27" i="20" s="1"/>
  <c r="L26" i="20"/>
  <c r="M15" i="20"/>
  <c r="M16" i="20" s="1"/>
  <c r="B26" i="20" s="1"/>
  <c r="E7" i="10"/>
  <c r="G7" i="10" s="1"/>
  <c r="B22" i="11"/>
  <c r="K27" i="11"/>
  <c r="L27" i="11"/>
  <c r="D24" i="11"/>
  <c r="D26" i="11"/>
  <c r="F27" i="11"/>
  <c r="L21" i="20" l="1"/>
  <c r="L23" i="20" s="1"/>
  <c r="L27" i="20" s="1"/>
  <c r="L20" i="20"/>
  <c r="F30" i="11"/>
  <c r="H30" i="11" s="1"/>
  <c r="L27" i="13"/>
  <c r="F30" i="13" s="1"/>
  <c r="H30" i="13" s="1"/>
  <c r="K9" i="21"/>
  <c r="B18" i="21" s="1"/>
  <c r="B16" i="21"/>
  <c r="F27" i="13"/>
  <c r="J9" i="21"/>
  <c r="L26" i="21" s="1"/>
  <c r="G22" i="21" l="1"/>
  <c r="H15" i="21"/>
  <c r="G26" i="21"/>
  <c r="M15" i="21"/>
  <c r="H14" i="21"/>
  <c r="H16" i="21" l="1"/>
  <c r="B25" i="21" s="1"/>
  <c r="G21" i="21" s="1"/>
  <c r="G20" i="21"/>
  <c r="G23" i="21" s="1"/>
  <c r="G27" i="21" s="1"/>
  <c r="M16" i="21" l="1"/>
  <c r="B26" i="21" s="1"/>
  <c r="L20" i="21" l="1"/>
  <c r="L21" i="21"/>
  <c r="L23" i="21" s="1"/>
  <c r="L27" i="21" s="1"/>
</calcChain>
</file>

<file path=xl/sharedStrings.xml><?xml version="1.0" encoding="utf-8"?>
<sst xmlns="http://schemas.openxmlformats.org/spreadsheetml/2006/main" count="900" uniqueCount="135">
  <si>
    <t>Material</t>
  </si>
  <si>
    <t>Adicional</t>
  </si>
  <si>
    <t>Total</t>
  </si>
  <si>
    <t>Concentrado</t>
  </si>
  <si>
    <t>Mineral</t>
  </si>
  <si>
    <t>Levadura</t>
  </si>
  <si>
    <t>Steve Mena Navarro</t>
  </si>
  <si>
    <t>Proceso de cálculo</t>
  </si>
  <si>
    <t>Volumen (cm3)</t>
  </si>
  <si>
    <t>b (cm)</t>
  </si>
  <si>
    <t>c (cm)</t>
  </si>
  <si>
    <t>a (cm)</t>
  </si>
  <si>
    <t>Paso 1</t>
  </si>
  <si>
    <t>Densidad (g/cm3)</t>
  </si>
  <si>
    <t>Paso 2</t>
  </si>
  <si>
    <t xml:space="preserve"> </t>
  </si>
  <si>
    <t>Determinar los parámetros de diseño.</t>
  </si>
  <si>
    <t>Determinar las ecuaciones de diseño</t>
  </si>
  <si>
    <t>d (cm)</t>
  </si>
  <si>
    <t>Convertir el ángulo a radianes</t>
  </si>
  <si>
    <t>h (cm)</t>
  </si>
  <si>
    <t>Volumen requerido (cm3)</t>
  </si>
  <si>
    <t>Minimización de material (ecuación objetivo) (cm2)</t>
  </si>
  <si>
    <t>F.S.</t>
  </si>
  <si>
    <t>No.</t>
  </si>
  <si>
    <t>Grasa de sobrepaso</t>
  </si>
  <si>
    <t>Secuestrante</t>
  </si>
  <si>
    <t>Control de cambios</t>
  </si>
  <si>
    <t>Se realizaron los cálculos para el diseño de la tolva</t>
  </si>
  <si>
    <t>Notas:</t>
  </si>
  <si>
    <t>Especificaciones de diseño</t>
  </si>
  <si>
    <t>Parámetros de entrada</t>
  </si>
  <si>
    <t>Parámetros  a encontrar</t>
  </si>
  <si>
    <t>Área mayor (cm2)</t>
  </si>
  <si>
    <t>Realizó</t>
  </si>
  <si>
    <t>Alimento</t>
  </si>
  <si>
    <t>Determinar el volumen máximo.</t>
  </si>
  <si>
    <t>Se sintetizaron las especificaciones de las tolvas.</t>
  </si>
  <si>
    <t>Nombre</t>
  </si>
  <si>
    <t>Precisión celdas de carga (g)</t>
  </si>
  <si>
    <t>Tolva medición gruesos.</t>
  </si>
  <si>
    <t>Tolva medición mineral/grasas.</t>
  </si>
  <si>
    <t>Peso tolva (kg)</t>
  </si>
  <si>
    <t>Peso de tolva y producto (kg).</t>
  </si>
  <si>
    <t>Geometría</t>
  </si>
  <si>
    <t>Capacidad (kg)</t>
  </si>
  <si>
    <t>Seguridad</t>
  </si>
  <si>
    <t>Máximo de producto</t>
  </si>
  <si>
    <t>HOJA DE CÁLCULO - RESUMEN.</t>
  </si>
  <si>
    <t>Tolva contenedor concentrado.</t>
  </si>
  <si>
    <t>Tolva contenedor adicional.</t>
  </si>
  <si>
    <t>Tolva contenedor mineral.</t>
  </si>
  <si>
    <t>Tolva contenedor levadura.</t>
  </si>
  <si>
    <t>Tolva medición levadura/secuestrantes.</t>
  </si>
  <si>
    <t>Acero inoxidable</t>
  </si>
  <si>
    <t>Masa (kg)</t>
  </si>
  <si>
    <t>3. Debe ser simétrico.</t>
  </si>
  <si>
    <t>2. El ángulo de la tolva debe ser 30° respecto a la vertical.</t>
  </si>
  <si>
    <t>No</t>
  </si>
  <si>
    <t>Densidad (kg/cm3)</t>
  </si>
  <si>
    <t>DENSIDAD DE MATERIALES</t>
  </si>
  <si>
    <t>Se tomó la menor densidad de las proporcionadas por Dos Pinos. (Desarrollo terneras)</t>
  </si>
  <si>
    <t>Ángulo vertical (°).</t>
  </si>
  <si>
    <t>Ángulo vertical (rad).</t>
  </si>
  <si>
    <t>Área menor (cm2)</t>
  </si>
  <si>
    <t>L (cm)</t>
  </si>
  <si>
    <t xml:space="preserve">     </t>
  </si>
  <si>
    <t>La levadura es la más voluminosa, por lo que se usó para diseñar.</t>
  </si>
  <si>
    <t>Se calcularon los esfuerzos y se sintetizó una lista de tamaños de construcción.</t>
  </si>
  <si>
    <t>Estudiante</t>
  </si>
  <si>
    <t>Se realizaron los cálculos de los esfuerzos.</t>
  </si>
  <si>
    <t>Se utilizaron las siguientes referencias</t>
  </si>
  <si>
    <t>http://www.dietmar-schulze.de/spanne.html</t>
  </si>
  <si>
    <t>http://fgg-web.fgg.uni-lj.si/~/pmoze/esdep/master/wg15c/l0200.htm</t>
  </si>
  <si>
    <t>Parte A:</t>
  </si>
  <si>
    <t>Parte B: Cálculo de presión vertical A-B</t>
  </si>
  <si>
    <t>Parte B: Cálculo de presión vertical B-C</t>
  </si>
  <si>
    <t>Constantes del sistema</t>
  </si>
  <si>
    <t>Esfuerzo vertical</t>
  </si>
  <si>
    <t>Constante</t>
  </si>
  <si>
    <t>Valor</t>
  </si>
  <si>
    <t>Unidad</t>
  </si>
  <si>
    <t>g</t>
  </si>
  <si>
    <t>m/s2</t>
  </si>
  <si>
    <t>Factor</t>
  </si>
  <si>
    <t>Pa</t>
  </si>
  <si>
    <t>densidad</t>
  </si>
  <si>
    <t>kg/m3</t>
  </si>
  <si>
    <t>Se utilizó el promedio mayor de los datos de Dos Pinos</t>
  </si>
  <si>
    <t>Exponencial</t>
  </si>
  <si>
    <t>Área mayor</t>
  </si>
  <si>
    <t>m2</t>
  </si>
  <si>
    <t>Primero se diseñó por volumen y luego se verificó.</t>
  </si>
  <si>
    <t>Esfuerzo</t>
  </si>
  <si>
    <t>Área menor</t>
  </si>
  <si>
    <t>Perímetro mayor</t>
  </si>
  <si>
    <t>m</t>
  </si>
  <si>
    <t>http://citeseerx.ist.psu.edu/viewdoc/download?doi=10.1.1.1033.4612&amp;rep=rep1&amp;type=pdf</t>
  </si>
  <si>
    <t>Esfuerzo en transición zona A y B</t>
  </si>
  <si>
    <t>Esfuerzo en transición zona B y C</t>
  </si>
  <si>
    <t>Perímetro menor</t>
  </si>
  <si>
    <t>Asumido http://www.dietmar-schulze.de/spanne.html</t>
  </si>
  <si>
    <t xml:space="preserve">Presiones </t>
  </si>
  <si>
    <t>Coeficiente de fricción</t>
  </si>
  <si>
    <t>P1</t>
  </si>
  <si>
    <t>lambda</t>
  </si>
  <si>
    <t>P2</t>
  </si>
  <si>
    <t>z</t>
  </si>
  <si>
    <t>P3</t>
  </si>
  <si>
    <t>Cb</t>
  </si>
  <si>
    <t>Pnormal</t>
  </si>
  <si>
    <t>rad</t>
  </si>
  <si>
    <t>pv0 A-B</t>
  </si>
  <si>
    <t>Determinación del espesor del material</t>
  </si>
  <si>
    <t>pv0 B-C</t>
  </si>
  <si>
    <t>B equivalente</t>
  </si>
  <si>
    <t>L</t>
  </si>
  <si>
    <t>Tr</t>
  </si>
  <si>
    <t>mm</t>
  </si>
  <si>
    <t>Modulo elástico acero</t>
  </si>
  <si>
    <t>G Pa</t>
  </si>
  <si>
    <t>Factor Exponencial</t>
  </si>
  <si>
    <t>a (m)</t>
  </si>
  <si>
    <t>b (m)</t>
  </si>
  <si>
    <t>c (m)</t>
  </si>
  <si>
    <t>d (m)</t>
  </si>
  <si>
    <t>MEDIDAS DE LA TOLVA</t>
  </si>
  <si>
    <t>h (m)</t>
  </si>
  <si>
    <t>alfa_horizontal</t>
  </si>
  <si>
    <t>L (m)</t>
  </si>
  <si>
    <t>Se redondearon las medidas de 148 en a a 150 para aprovechar la propiedad de d = 2*(a-b)/2</t>
  </si>
  <si>
    <t>Se redondeo la medida de C de 19,88 a 20 cm.</t>
  </si>
  <si>
    <t>Masa sobrante (kg)</t>
  </si>
  <si>
    <t>Se cambio la medida a de 43,82 a 45, se cambio L de 24,368 a 35. Valiendose de la propiedad que hipotenusa = L-d y c de 19 a 20</t>
  </si>
  <si>
    <t>Se decidió hacer el contenedor cónico para explorar esta posibilidad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</si>
</sst>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00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1" xfId="0" applyFont="1" applyBorder="1" applyAlignment="1"/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 vertical="top" wrapText="1"/>
    </xf>
    <xf numFmtId="14" fontId="0" fillId="0" borderId="0" xfId="0" applyNumberFormat="1" applyAlignment="1">
      <alignment horizontal="left"/>
    </xf>
    <xf numFmtId="0" fontId="1" fillId="0" borderId="1" xfId="0" applyFont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5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2" fontId="0" fillId="0" borderId="1" xfId="0" applyNumberFormat="1" applyBorder="1"/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1" fontId="0" fillId="0" borderId="1" xfId="0" applyNumberFormat="1" applyBorder="1"/>
    <xf numFmtId="164" fontId="0" fillId="0" borderId="0" xfId="0" applyNumberForma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2" fontId="3" fillId="3" borderId="1" xfId="2" applyNumberFormat="1" applyBorder="1"/>
    <xf numFmtId="14" fontId="0" fillId="0" borderId="1" xfId="0" applyNumberFormat="1" applyFont="1" applyBorder="1"/>
    <xf numFmtId="14" fontId="0" fillId="0" borderId="0" xfId="0" applyNumberFormat="1"/>
    <xf numFmtId="0" fontId="1" fillId="0" borderId="0" xfId="0" applyFont="1" applyBorder="1" applyAlignment="1">
      <alignment horizontal="left" vertical="top" wrapText="1"/>
    </xf>
    <xf numFmtId="14" fontId="0" fillId="0" borderId="0" xfId="0" applyNumberFormat="1" applyBorder="1" applyAlignment="1">
      <alignment horizontal="left"/>
    </xf>
    <xf numFmtId="0" fontId="0" fillId="0" borderId="0" xfId="0" applyFont="1" applyBorder="1" applyAlignment="1"/>
    <xf numFmtId="0" fontId="4" fillId="0" borderId="0" xfId="3"/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2" fillId="2" borderId="1" xfId="1" applyBorder="1"/>
    <xf numFmtId="2" fontId="0" fillId="0" borderId="1" xfId="0" applyNumberFormat="1" applyFont="1" applyBorder="1"/>
    <xf numFmtId="165" fontId="0" fillId="0" borderId="1" xfId="0" applyNumberFormat="1" applyFont="1" applyBorder="1"/>
    <xf numFmtId="0" fontId="0" fillId="0" borderId="1" xfId="0" applyFill="1" applyBorder="1"/>
    <xf numFmtId="166" fontId="0" fillId="0" borderId="1" xfId="0" applyNumberFormat="1" applyBorder="1"/>
    <xf numFmtId="166" fontId="2" fillId="2" borderId="1" xfId="1" applyNumberFormat="1" applyBorder="1"/>
    <xf numFmtId="164" fontId="0" fillId="0" borderId="1" xfId="0" applyNumberFormat="1" applyBorder="1"/>
    <xf numFmtId="0" fontId="0" fillId="0" borderId="6" xfId="0" applyFill="1" applyBorder="1"/>
    <xf numFmtId="0" fontId="1" fillId="0" borderId="6" xfId="0" applyFont="1" applyFill="1" applyBorder="1"/>
    <xf numFmtId="0" fontId="1" fillId="0" borderId="7" xfId="0" applyFont="1" applyBorder="1"/>
  </cellXfs>
  <cellStyles count="4">
    <cellStyle name="Énfasis6" xfId="2" builtinId="49"/>
    <cellStyle name="Hipervínculo" xfId="3" builtinId="8"/>
    <cellStyle name="Incorrecto" xfId="1" builtinId="27"/>
    <cellStyle name="Normal" xfId="0" builtinId="0"/>
  </cellStyles>
  <dxfs count="4">
    <dxf>
      <numFmt numFmtId="164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7</xdr:row>
      <xdr:rowOff>95251</xdr:rowOff>
    </xdr:from>
    <xdr:to>
      <xdr:col>11</xdr:col>
      <xdr:colOff>733425</xdr:colOff>
      <xdr:row>23</xdr:row>
      <xdr:rowOff>76201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0" y="1619251"/>
          <a:ext cx="1914525" cy="37909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152399</xdr:colOff>
      <xdr:row>6</xdr:row>
      <xdr:rowOff>133351</xdr:rowOff>
    </xdr:from>
    <xdr:to>
      <xdr:col>13</xdr:col>
      <xdr:colOff>9525</xdr:colOff>
      <xdr:row>22</xdr:row>
      <xdr:rowOff>304801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399" y="1466851"/>
          <a:ext cx="2143126" cy="37909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7</xdr:row>
          <xdr:rowOff>76200</xdr:rowOff>
        </xdr:from>
        <xdr:to>
          <xdr:col>12</xdr:col>
          <xdr:colOff>304800</xdr:colOff>
          <xdr:row>18</xdr:row>
          <xdr:rowOff>66675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619125</xdr:colOff>
          <xdr:row>7</xdr:row>
          <xdr:rowOff>76200</xdr:rowOff>
        </xdr:from>
        <xdr:to>
          <xdr:col>12</xdr:col>
          <xdr:colOff>304800</xdr:colOff>
          <xdr:row>18</xdr:row>
          <xdr:rowOff>66675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542925</xdr:colOff>
      <xdr:row>6</xdr:row>
      <xdr:rowOff>95250</xdr:rowOff>
    </xdr:from>
    <xdr:to>
      <xdr:col>12</xdr:col>
      <xdr:colOff>123824</xdr:colOff>
      <xdr:row>21</xdr:row>
      <xdr:rowOff>174051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1428750"/>
          <a:ext cx="1866899" cy="3126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48425" y="3143250"/>
          <a:ext cx="1285875" cy="14601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342901</xdr:colOff>
      <xdr:row>7</xdr:row>
      <xdr:rowOff>95251</xdr:rowOff>
    </xdr:from>
    <xdr:to>
      <xdr:col>11</xdr:col>
      <xdr:colOff>723901</xdr:colOff>
      <xdr:row>23</xdr:row>
      <xdr:rowOff>76201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00901" y="1619251"/>
          <a:ext cx="1905000" cy="37909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0" y="3524250"/>
          <a:ext cx="1285875" cy="14601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476250</xdr:colOff>
          <xdr:row>7</xdr:row>
          <xdr:rowOff>9525</xdr:rowOff>
        </xdr:from>
        <xdr:to>
          <xdr:col>11</xdr:col>
          <xdr:colOff>476250</xdr:colOff>
          <xdr:row>21</xdr:row>
          <xdr:rowOff>438150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524250"/>
          <a:ext cx="1285875" cy="14601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219074</xdr:colOff>
          <xdr:row>7</xdr:row>
          <xdr:rowOff>28575</xdr:rowOff>
        </xdr:from>
        <xdr:to>
          <xdr:col>12</xdr:col>
          <xdr:colOff>361949</xdr:colOff>
          <xdr:row>22</xdr:row>
          <xdr:rowOff>193774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17</xdr:row>
      <xdr:rowOff>95250</xdr:rowOff>
    </xdr:from>
    <xdr:to>
      <xdr:col>9</xdr:col>
      <xdr:colOff>657225</xdr:colOff>
      <xdr:row>25</xdr:row>
      <xdr:rowOff>31379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524250"/>
          <a:ext cx="1285875" cy="14601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6:J13" totalsRowShown="0" headerRowDxfId="3">
  <autoFilter ref="A6:J13"/>
  <tableColumns count="10">
    <tableColumn id="1" name="No."/>
    <tableColumn id="2" name="Nombre"/>
    <tableColumn id="3" name="Capacidad (kg)"/>
    <tableColumn id="4" name="Seguridad"/>
    <tableColumn id="5" name="Máximo de producto">
      <calculatedColumnFormula>C7*D7</calculatedColumnFormula>
    </tableColumn>
    <tableColumn id="6" name="Peso tolva (kg)"/>
    <tableColumn id="7" name="Peso de tolva y producto (kg)." dataDxfId="2">
      <calculatedColumnFormula>Tabla1[[#This Row],[Peso tolva (kg)]]+Tabla1[[#This Row],[Máximo de producto]]</calculatedColumnFormula>
    </tableColumn>
    <tableColumn id="8" name="Precisión celdas de carga (g)"/>
    <tableColumn id="9" name="Material"/>
    <tableColumn id="10" name="Geometría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8:D24" totalsRowShown="0" headerRowDxfId="1">
  <autoFilter ref="A18:D24"/>
  <tableColumns count="4">
    <tableColumn id="1" name="No"/>
    <tableColumn id="2" name="Material"/>
    <tableColumn id="3" name="Densidad (g/cm3)" dataDxfId="0"/>
    <tableColumn id="4" name="Densidad (kg/cm3)">
      <calculatedColumnFormula>C19/1000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1.xml"/><Relationship Id="rId4" Type="http://schemas.openxmlformats.org/officeDocument/2006/relationships/image" Target="../media/image5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2.xml"/><Relationship Id="rId4" Type="http://schemas.openxmlformats.org/officeDocument/2006/relationships/image" Target="../media/image5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://citeseerx.ist.psu.edu/viewdoc/download?doi=10.1.1.1033.4612&amp;rep=rep1&amp;type=pdf" TargetMode="External"/><Relationship Id="rId1" Type="http://schemas.openxmlformats.org/officeDocument/2006/relationships/hyperlink" Target="http://fgg-web.fgg.uni-lj.si/~/pmoze/esdep/master/wg15c/l0200.ht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Relationship Id="rId4" Type="http://schemas.openxmlformats.org/officeDocument/2006/relationships/image" Target="../media/image4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10" workbookViewId="0">
      <selection activeCell="G21" sqref="G21"/>
    </sheetView>
  </sheetViews>
  <sheetFormatPr baseColWidth="10" defaultRowHeight="15" x14ac:dyDescent="0.25"/>
  <cols>
    <col min="2" max="2" width="26.140625" customWidth="1"/>
    <col min="3" max="3" width="18.7109375" customWidth="1"/>
    <col min="4" max="4" width="19.7109375" customWidth="1"/>
    <col min="5" max="5" width="21.5703125" customWidth="1"/>
    <col min="6" max="6" width="17.140625" customWidth="1"/>
    <col min="7" max="7" width="29.28515625" customWidth="1"/>
    <col min="8" max="8" width="27.85546875" customWidth="1"/>
    <col min="9" max="9" width="10.7109375" customWidth="1"/>
    <col min="10" max="10" width="12.7109375" customWidth="1"/>
  </cols>
  <sheetData>
    <row r="1" spans="1:14" x14ac:dyDescent="0.25">
      <c r="A1" s="33" t="s">
        <v>48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1:14" ht="30" x14ac:dyDescent="0.25">
      <c r="A3" s="7" t="s">
        <v>27</v>
      </c>
      <c r="B3" s="24">
        <v>43594</v>
      </c>
      <c r="C3" s="27" t="s">
        <v>37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9"/>
    </row>
    <row r="4" spans="1:14" x14ac:dyDescent="0.25">
      <c r="A4" s="50"/>
      <c r="B4" s="51">
        <v>43595</v>
      </c>
      <c r="C4" s="52" t="s">
        <v>68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6" spans="1:14" x14ac:dyDescent="0.25">
      <c r="A6" s="1" t="s">
        <v>24</v>
      </c>
      <c r="B6" s="1" t="s">
        <v>38</v>
      </c>
      <c r="C6" s="1" t="s">
        <v>45</v>
      </c>
      <c r="D6" s="1" t="s">
        <v>46</v>
      </c>
      <c r="E6" s="1" t="s">
        <v>47</v>
      </c>
      <c r="F6" s="1" t="s">
        <v>42</v>
      </c>
      <c r="G6" s="1" t="s">
        <v>43</v>
      </c>
      <c r="H6" s="1" t="s">
        <v>39</v>
      </c>
      <c r="I6" s="1" t="s">
        <v>0</v>
      </c>
      <c r="J6" s="1" t="s">
        <v>44</v>
      </c>
    </row>
    <row r="7" spans="1:14" x14ac:dyDescent="0.25">
      <c r="A7">
        <v>1</v>
      </c>
      <c r="B7" t="s">
        <v>49</v>
      </c>
      <c r="C7">
        <v>500</v>
      </c>
      <c r="D7">
        <v>1.2</v>
      </c>
      <c r="E7">
        <f>C7*D7</f>
        <v>600</v>
      </c>
      <c r="G7">
        <f>Tabla1[[#This Row],[Peso tolva (kg)]]+Tabla1[[#This Row],[Máximo de producto]]</f>
        <v>600</v>
      </c>
      <c r="I7" s="2" t="s">
        <v>54</v>
      </c>
    </row>
    <row r="8" spans="1:14" x14ac:dyDescent="0.25">
      <c r="A8">
        <v>2</v>
      </c>
      <c r="B8" t="s">
        <v>50</v>
      </c>
      <c r="C8">
        <v>138</v>
      </c>
      <c r="D8">
        <v>1.2</v>
      </c>
      <c r="E8">
        <f t="shared" ref="E8:E13" si="0">C8*D8</f>
        <v>165.6</v>
      </c>
      <c r="G8">
        <f>Tabla1[[#This Row],[Peso tolva (kg)]]+Tabla1[[#This Row],[Máximo de producto]]</f>
        <v>165.6</v>
      </c>
      <c r="I8" t="s">
        <v>54</v>
      </c>
    </row>
    <row r="9" spans="1:14" x14ac:dyDescent="0.25">
      <c r="A9">
        <v>3</v>
      </c>
      <c r="B9" t="s">
        <v>51</v>
      </c>
      <c r="C9">
        <v>25</v>
      </c>
      <c r="D9">
        <v>1.2</v>
      </c>
      <c r="E9">
        <f t="shared" si="0"/>
        <v>30</v>
      </c>
      <c r="G9">
        <f>Tabla1[[#This Row],[Peso tolva (kg)]]+Tabla1[[#This Row],[Máximo de producto]]</f>
        <v>30</v>
      </c>
      <c r="I9" t="s">
        <v>54</v>
      </c>
    </row>
    <row r="10" spans="1:14" x14ac:dyDescent="0.25">
      <c r="A10">
        <v>4</v>
      </c>
      <c r="B10" t="s">
        <v>52</v>
      </c>
      <c r="C10">
        <v>1</v>
      </c>
      <c r="D10">
        <v>2</v>
      </c>
      <c r="E10">
        <f t="shared" si="0"/>
        <v>2</v>
      </c>
      <c r="G10">
        <f>Tabla1[[#This Row],[Peso tolva (kg)]]+Tabla1[[#This Row],[Máximo de producto]]</f>
        <v>2</v>
      </c>
      <c r="I10" t="s">
        <v>54</v>
      </c>
    </row>
    <row r="11" spans="1:14" x14ac:dyDescent="0.25">
      <c r="A11">
        <v>5</v>
      </c>
      <c r="B11" t="s">
        <v>40</v>
      </c>
      <c r="C11">
        <v>15</v>
      </c>
      <c r="D11">
        <v>1.3</v>
      </c>
      <c r="E11">
        <f t="shared" si="0"/>
        <v>19.5</v>
      </c>
      <c r="G11">
        <f>Tabla1[[#This Row],[Peso tolva (kg)]]+Tabla1[[#This Row],[Máximo de producto]]</f>
        <v>19.5</v>
      </c>
      <c r="I11" t="s">
        <v>54</v>
      </c>
    </row>
    <row r="12" spans="1:14" x14ac:dyDescent="0.25">
      <c r="A12">
        <v>6</v>
      </c>
      <c r="B12" t="s">
        <v>41</v>
      </c>
      <c r="C12">
        <v>0.5</v>
      </c>
      <c r="D12">
        <v>1</v>
      </c>
      <c r="E12">
        <f t="shared" si="0"/>
        <v>0.5</v>
      </c>
      <c r="G12">
        <f>Tabla1[[#This Row],[Peso tolva (kg)]]+Tabla1[[#This Row],[Máximo de producto]]</f>
        <v>0.5</v>
      </c>
      <c r="I12" t="s">
        <v>54</v>
      </c>
    </row>
    <row r="13" spans="1:14" x14ac:dyDescent="0.25">
      <c r="A13">
        <v>7</v>
      </c>
      <c r="B13" t="s">
        <v>53</v>
      </c>
      <c r="C13">
        <v>0.1</v>
      </c>
      <c r="D13">
        <v>1</v>
      </c>
      <c r="E13">
        <f t="shared" si="0"/>
        <v>0.1</v>
      </c>
      <c r="G13">
        <f>Tabla1[[#This Row],[Peso tolva (kg)]]+Tabla1[[#This Row],[Máximo de producto]]</f>
        <v>0.1</v>
      </c>
      <c r="I13" t="s">
        <v>54</v>
      </c>
    </row>
    <row r="17" spans="1:4" x14ac:dyDescent="0.25">
      <c r="A17" s="1" t="s">
        <v>60</v>
      </c>
    </row>
    <row r="18" spans="1:4" x14ac:dyDescent="0.25">
      <c r="A18" s="1" t="s">
        <v>58</v>
      </c>
      <c r="B18" s="1" t="s">
        <v>0</v>
      </c>
      <c r="C18" s="1" t="s">
        <v>13</v>
      </c>
      <c r="D18" s="1" t="s">
        <v>59</v>
      </c>
    </row>
    <row r="19" spans="1:4" x14ac:dyDescent="0.25">
      <c r="A19">
        <v>1</v>
      </c>
      <c r="B19" t="s">
        <v>3</v>
      </c>
      <c r="C19" s="31">
        <v>0.44019999999999998</v>
      </c>
      <c r="D19">
        <f t="shared" ref="D19:D24" si="1">C19/1000</f>
        <v>4.4019999999999997E-4</v>
      </c>
    </row>
    <row r="20" spans="1:4" x14ac:dyDescent="0.25">
      <c r="A20">
        <v>2</v>
      </c>
      <c r="B20" t="s">
        <v>1</v>
      </c>
      <c r="C20" s="31">
        <v>0.34</v>
      </c>
      <c r="D20">
        <f t="shared" si="1"/>
        <v>3.4000000000000002E-4</v>
      </c>
    </row>
    <row r="21" spans="1:4" x14ac:dyDescent="0.25">
      <c r="A21">
        <v>3</v>
      </c>
      <c r="B21" t="s">
        <v>4</v>
      </c>
      <c r="C21" s="31">
        <v>1.2450000000000001</v>
      </c>
      <c r="D21">
        <f t="shared" si="1"/>
        <v>1.245E-3</v>
      </c>
    </row>
    <row r="22" spans="1:4" x14ac:dyDescent="0.25">
      <c r="A22">
        <v>4</v>
      </c>
      <c r="B22" t="s">
        <v>5</v>
      </c>
      <c r="C22" s="31">
        <v>0.71</v>
      </c>
      <c r="D22">
        <f t="shared" si="1"/>
        <v>7.0999999999999991E-4</v>
      </c>
    </row>
    <row r="23" spans="1:4" x14ac:dyDescent="0.25">
      <c r="A23">
        <v>5</v>
      </c>
      <c r="B23" t="s">
        <v>26</v>
      </c>
      <c r="C23" s="31">
        <v>1.0009999999999999</v>
      </c>
      <c r="D23">
        <f t="shared" si="1"/>
        <v>1.0009999999999999E-3</v>
      </c>
    </row>
    <row r="24" spans="1:4" x14ac:dyDescent="0.25">
      <c r="A24">
        <v>6</v>
      </c>
      <c r="B24" t="s">
        <v>25</v>
      </c>
      <c r="C24" s="31">
        <v>0.64</v>
      </c>
      <c r="D24">
        <f t="shared" si="1"/>
        <v>6.4000000000000005E-4</v>
      </c>
    </row>
  </sheetData>
  <mergeCells count="2">
    <mergeCell ref="A1:N1"/>
    <mergeCell ref="B2:N2"/>
  </mergeCells>
  <pageMargins left="0.7" right="0.7" top="0.75" bottom="0.75" header="0.3" footer="0.3"/>
  <pageSetup orientation="portrait" horizontalDpi="360" verticalDpi="36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G27" sqref="G27"/>
    </sheetView>
  </sheetViews>
  <sheetFormatPr baseColWidth="10" defaultRowHeight="15" x14ac:dyDescent="0.25"/>
  <sheetData>
    <row r="1" spans="1:14" x14ac:dyDescent="0.25">
      <c r="A1" s="33" t="str">
        <f>CONCATENATE("MEMORIA DE CÁLCULO ESFUERZOS ",UPPER('Hoja Resumen Especificaciones'!B10))</f>
        <v>MEMORIA DE CÁLCULO ESFUERZOS TOLVA CONTENEDOR LEVADURA.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4" x14ac:dyDescent="0.25">
      <c r="A2" s="3" t="s">
        <v>69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4" ht="30" x14ac:dyDescent="0.25">
      <c r="A3" s="7" t="s">
        <v>27</v>
      </c>
      <c r="B3" s="24">
        <v>43595</v>
      </c>
      <c r="C3" s="34" t="s">
        <v>70</v>
      </c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  <c r="K7" s="15"/>
    </row>
    <row r="8" spans="1:14" x14ac:dyDescent="0.25">
      <c r="B8" s="53" t="s">
        <v>73</v>
      </c>
      <c r="F8" s="65" t="s">
        <v>122</v>
      </c>
      <c r="G8" s="65" t="s">
        <v>123</v>
      </c>
      <c r="H8" s="65" t="s">
        <v>124</v>
      </c>
      <c r="I8" s="65" t="s">
        <v>125</v>
      </c>
      <c r="J8" s="65" t="s">
        <v>127</v>
      </c>
      <c r="K8" s="64" t="s">
        <v>129</v>
      </c>
    </row>
    <row r="9" spans="1:14" x14ac:dyDescent="0.25">
      <c r="B9" s="53"/>
      <c r="F9" s="22">
        <f>'4. Lev Contenedor'!F24/100</f>
        <v>0.15</v>
      </c>
      <c r="G9" s="22">
        <f>'4. Lev Contenedor'!G24/100</f>
        <v>1.3000000000000001E-2</v>
      </c>
      <c r="H9" s="22">
        <f>'4. Lev Contenedor'!H24/100</f>
        <v>0.1</v>
      </c>
      <c r="I9" s="22">
        <f>'4. Lev Contenedor'!I24/100</f>
        <v>0</v>
      </c>
      <c r="J9" s="22">
        <f>'4. Lev Contenedor'!J24/100</f>
        <v>9.2664718204934923E-2</v>
      </c>
      <c r="K9" s="15">
        <f>'4. Lev Contenedor'!J27/100</f>
        <v>0.12</v>
      </c>
    </row>
    <row r="11" spans="1:14" x14ac:dyDescent="0.25">
      <c r="A11" s="38" t="s">
        <v>74</v>
      </c>
      <c r="B11" s="39"/>
      <c r="C11" s="40"/>
      <c r="F11" s="38" t="s">
        <v>75</v>
      </c>
      <c r="G11" s="39"/>
      <c r="H11" s="39"/>
      <c r="I11" s="40"/>
      <c r="K11" s="38" t="s">
        <v>76</v>
      </c>
      <c r="L11" s="39"/>
      <c r="M11" s="39"/>
      <c r="N11" s="40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54" t="s">
        <v>58</v>
      </c>
      <c r="G13" s="15"/>
      <c r="H13" s="9" t="s">
        <v>80</v>
      </c>
      <c r="I13" s="9" t="s">
        <v>81</v>
      </c>
      <c r="K13" s="54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1547.8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277.74938650306751</v>
      </c>
      <c r="N14" s="15" t="s">
        <v>85</v>
      </c>
    </row>
    <row r="15" spans="1:14" x14ac:dyDescent="0.25">
      <c r="A15" s="15" t="s">
        <v>86</v>
      </c>
      <c r="B15" s="22">
        <f>'Hoja Resumen Especificaciones'!C22*1000</f>
        <v>710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62">
        <f>(1-EXP((-$B$21*$B$20*B18*H9)/B16))</f>
        <v>0.36237184837822678</v>
      </c>
      <c r="I15" s="15"/>
      <c r="K15" s="15">
        <v>2</v>
      </c>
      <c r="L15" s="15" t="s">
        <v>89</v>
      </c>
      <c r="M15" s="22">
        <f>(1-EXP((-$B$21*$B$20*B19*J9)/B17))</f>
        <v>0.90209385960992472</v>
      </c>
      <c r="N15" s="15"/>
    </row>
    <row r="16" spans="1:14" x14ac:dyDescent="0.25">
      <c r="A16" s="15" t="s">
        <v>90</v>
      </c>
      <c r="B16" s="22">
        <f>F9*K9</f>
        <v>1.7999999999999999E-2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560.87914691981939</v>
      </c>
      <c r="I16" s="15" t="s">
        <v>85</v>
      </c>
      <c r="K16" s="15">
        <v>3</v>
      </c>
      <c r="L16" s="15" t="s">
        <v>93</v>
      </c>
      <c r="M16" s="22">
        <f>M14*M15+H16</f>
        <v>811.43516299466023</v>
      </c>
      <c r="N16" s="15" t="s">
        <v>85</v>
      </c>
    </row>
    <row r="17" spans="1:13" x14ac:dyDescent="0.25">
      <c r="A17" s="15" t="s">
        <v>94</v>
      </c>
      <c r="B17" s="22">
        <f>G9*F9</f>
        <v>1.9500000000000001E-3</v>
      </c>
      <c r="C17" s="15" t="s">
        <v>91</v>
      </c>
    </row>
    <row r="18" spans="1:13" x14ac:dyDescent="0.25">
      <c r="A18" s="15" t="s">
        <v>95</v>
      </c>
      <c r="B18" s="22">
        <f>2*(F9+K9)</f>
        <v>0.54</v>
      </c>
      <c r="C18" s="15" t="s">
        <v>96</v>
      </c>
      <c r="D18" s="53" t="s">
        <v>97</v>
      </c>
      <c r="E18" t="s">
        <v>15</v>
      </c>
      <c r="F18" s="38" t="s">
        <v>98</v>
      </c>
      <c r="G18" s="39"/>
      <c r="H18" s="40"/>
      <c r="I18" s="55"/>
      <c r="K18" s="38" t="s">
        <v>99</v>
      </c>
      <c r="L18" s="39"/>
      <c r="M18" s="40"/>
    </row>
    <row r="19" spans="1:13" x14ac:dyDescent="0.25">
      <c r="A19" s="15" t="s">
        <v>100</v>
      </c>
      <c r="B19" s="22">
        <f>2*(F9+G9)</f>
        <v>0.32600000000000001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60">
        <f>$B$25*($B$23*COS($B$24)^2+1.5*SIN($B$24)^2)</f>
        <v>799.25278436074257</v>
      </c>
      <c r="H20" s="15" t="s">
        <v>85</v>
      </c>
      <c r="I20" s="23"/>
      <c r="K20" s="15" t="s">
        <v>104</v>
      </c>
      <c r="L20" s="22">
        <f>$B$26*($B$23*COS($B$24)^2+1.5*SIN($B$24)^2)</f>
        <v>1156.2951072673907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60">
        <f>$B$23*$B$25*(COS($B$24)^2)</f>
        <v>168.26374407594591</v>
      </c>
      <c r="H21" s="15" t="s">
        <v>85</v>
      </c>
      <c r="I21" s="23"/>
      <c r="K21" s="15" t="s">
        <v>106</v>
      </c>
      <c r="L21" s="22">
        <f>$B$23*$B$26*(COS($B$24)^2)</f>
        <v>243.43054889839817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60">
        <f>3*((B16/B18)*(B14*B15*B21)/(SQRT(B20)))</f>
        <v>635.82373087987207</v>
      </c>
      <c r="H22" s="15" t="s">
        <v>85</v>
      </c>
      <c r="I22" s="23"/>
      <c r="K22" s="15" t="s">
        <v>108</v>
      </c>
      <c r="L22" s="22">
        <f>3*((B17/B19)*(B14*B15*B21)/(SQRT(B20)))</f>
        <v>114.09720324071327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56" t="s">
        <v>110</v>
      </c>
      <c r="G23" s="61">
        <f>G20+G22+2*B25*B21</f>
        <v>1995.9556621604343</v>
      </c>
      <c r="H23" s="56" t="s">
        <v>85</v>
      </c>
      <c r="I23" s="23"/>
      <c r="K23" s="15" t="s">
        <v>110</v>
      </c>
      <c r="L23" s="22">
        <f>L22+L21</f>
        <v>357.52775213911144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560.87914691981939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811.43516299466023</v>
      </c>
      <c r="C26" s="15"/>
      <c r="F26" s="10" t="s">
        <v>115</v>
      </c>
      <c r="G26" s="57">
        <f>($J$9/SIN($B$24))</f>
        <v>0.107</v>
      </c>
      <c r="H26" s="10" t="s">
        <v>96</v>
      </c>
      <c r="K26" s="10" t="s">
        <v>115</v>
      </c>
      <c r="L26" s="57">
        <f>($J$9/SIN($B$24))</f>
        <v>0.107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58">
        <f>((PI()^2*$B$28*1000000000)/(12*(1-$B$20^2)*$G$23))^(-1/2)*$G$26*1000</f>
        <v>1.1535697752639226E-2</v>
      </c>
      <c r="H27" s="10" t="s">
        <v>118</v>
      </c>
      <c r="K27" s="10" t="s">
        <v>117</v>
      </c>
      <c r="L27" s="58">
        <f>((PI()^2*$B$28*1000000000)/(12*(1-$B$20^2)*$L$23))^(-1/2)*$G$26*1000</f>
        <v>4.8822869722473204E-3</v>
      </c>
      <c r="M27" s="10" t="s">
        <v>118</v>
      </c>
    </row>
    <row r="28" spans="1:13" x14ac:dyDescent="0.25">
      <c r="A28" s="59" t="s">
        <v>119</v>
      </c>
      <c r="B28" s="15">
        <v>190</v>
      </c>
      <c r="C28" s="59" t="s">
        <v>120</v>
      </c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5" workbookViewId="0">
      <selection activeCell="D30" sqref="D30"/>
    </sheetView>
  </sheetViews>
  <sheetFormatPr baseColWidth="10" defaultRowHeight="15" x14ac:dyDescent="0.25"/>
  <sheetData>
    <row r="1" spans="1:12" x14ac:dyDescent="0.25">
      <c r="A1" s="33" t="str">
        <f>CONCATENATE("MEMORIA DE CÁLCULO ",UPPER('Hoja Resumen Especificaciones'!B11))</f>
        <v>MEMORIA DE CÁLCULO TOLVA MEDICIÓN GRUESOS.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43594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Especificaciones'!C11," kg.")</f>
        <v>1. Sostener 15 kg.</v>
      </c>
      <c r="B11" s="46"/>
      <c r="C11" s="46"/>
      <c r="D11" t="s">
        <v>15</v>
      </c>
      <c r="J11" t="s">
        <v>15</v>
      </c>
    </row>
    <row r="12" spans="1:12" ht="15" customHeight="1" x14ac:dyDescent="0.25">
      <c r="A12" s="45" t="s">
        <v>57</v>
      </c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Especificaciones'!D11,".")</f>
        <v>4. El factor de seguridad es de 1,3.</v>
      </c>
      <c r="B14" s="42"/>
      <c r="C14" s="42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Especificaciones'!B19</f>
        <v>Concentrado</v>
      </c>
      <c r="B24" s="22">
        <f>'Hoja Resumen Especificaciones'!C11</f>
        <v>15</v>
      </c>
      <c r="C24" s="22">
        <f>'Hoja Resumen Especificaciones'!D19</f>
        <v>4.4019999999999997E-4</v>
      </c>
      <c r="D24" s="22">
        <f>B24/C24</f>
        <v>34075.420263516586</v>
      </c>
      <c r="F24" s="15">
        <v>147.74074841359152</v>
      </c>
      <c r="G24" s="15">
        <v>0</v>
      </c>
      <c r="H24" s="15">
        <v>19.793507128034445</v>
      </c>
      <c r="I24" s="15">
        <v>5</v>
      </c>
    </row>
    <row r="25" spans="1:12" x14ac:dyDescent="0.25">
      <c r="A25" s="15" t="s">
        <v>23</v>
      </c>
      <c r="B25" s="15">
        <f>'Hoja Resumen Especificaciones'!D11</f>
        <v>1.3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19.5</v>
      </c>
      <c r="C26" s="22">
        <f>C24</f>
        <v>4.4019999999999997E-4</v>
      </c>
      <c r="D26" s="22">
        <f>B26/C26</f>
        <v>44298.046342571564</v>
      </c>
      <c r="F26" s="37" t="s">
        <v>22</v>
      </c>
      <c r="G26" s="37"/>
      <c r="H26" s="37"/>
      <c r="I26" s="37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4*(G24*I24)+(4/2)*(F24+G24)*(J27/COS(B22))+4*F24*H24</f>
        <v>55351.887710918556</v>
      </c>
      <c r="G27" s="15"/>
      <c r="H27" s="15"/>
      <c r="I27" s="15"/>
      <c r="J27" s="15">
        <f>(F24-G24)/(2*TAN(B22))</f>
        <v>127.94724130029577</v>
      </c>
      <c r="K27" s="15">
        <f>G24*G24</f>
        <v>0</v>
      </c>
      <c r="L27" s="15">
        <f>F24*F24</f>
        <v>21827.328741808145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x14ac:dyDescent="0.25">
      <c r="F29" s="37" t="s">
        <v>21</v>
      </c>
      <c r="G29" s="37"/>
      <c r="H29" s="37"/>
      <c r="I29" s="37"/>
      <c r="J29" s="23"/>
      <c r="K29" s="23"/>
      <c r="L29" s="23"/>
    </row>
    <row r="30" spans="1:12" x14ac:dyDescent="0.25">
      <c r="F30" s="15">
        <f>D26-(L27*H24+(K27*I24)+(J27/3*(L27+K27+SQRT(L27*K27))))</f>
        <v>-1318656.8398506951</v>
      </c>
      <c r="G30" s="15"/>
      <c r="H30" s="15"/>
      <c r="I30" s="15"/>
      <c r="J30" s="23"/>
      <c r="K30" s="23"/>
      <c r="L30" s="23"/>
    </row>
  </sheetData>
  <mergeCells count="18"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  <mergeCell ref="A20:B20"/>
    <mergeCell ref="F22:I22"/>
    <mergeCell ref="F26:I26"/>
    <mergeCell ref="F29:I29"/>
    <mergeCell ref="G18:I18"/>
    <mergeCell ref="G19:I19"/>
    <mergeCell ref="G20:I20"/>
    <mergeCell ref="A19:C1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opLeftCell="A17" workbookViewId="0">
      <selection activeCell="F22" sqref="F22:L30"/>
    </sheetView>
  </sheetViews>
  <sheetFormatPr baseColWidth="10" defaultRowHeight="15" x14ac:dyDescent="0.25"/>
  <sheetData>
    <row r="1" spans="1:12" x14ac:dyDescent="0.25">
      <c r="A1" s="33" t="str">
        <f>CONCATENATE("MEMORIA DE CÁLCULO ",UPPER('Hoja Resumen Especificaciones'!B12))</f>
        <v>MEMORIA DE CÁLCULO TOLVA MEDICIÓN MINERAL/GRASAS.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43595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Especificaciones'!C12," kg.")</f>
        <v>1. Sostener 0,5 kg.</v>
      </c>
      <c r="B11" s="46"/>
      <c r="C11" s="46"/>
      <c r="D11" t="s">
        <v>15</v>
      </c>
      <c r="J11" t="s">
        <v>15</v>
      </c>
    </row>
    <row r="12" spans="1:12" x14ac:dyDescent="0.25">
      <c r="A12" s="45"/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Especificaciones'!D12,".")</f>
        <v>4. El factor de seguridad es de 1.</v>
      </c>
      <c r="B14" s="42"/>
      <c r="C14" s="42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59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Especificaciones'!B21</f>
        <v>Mineral</v>
      </c>
      <c r="B24" s="22">
        <f>'Hoja Resumen Especificaciones'!C12</f>
        <v>0.5</v>
      </c>
      <c r="C24" s="22">
        <f>'Hoja Resumen Especificaciones'!D21</f>
        <v>1.245E-3</v>
      </c>
      <c r="D24" s="22">
        <f>B24/C24</f>
        <v>401.60642570281124</v>
      </c>
      <c r="F24" s="15">
        <v>8</v>
      </c>
      <c r="G24" s="15">
        <v>10</v>
      </c>
      <c r="H24" s="15"/>
      <c r="I24" s="15"/>
    </row>
    <row r="25" spans="1:12" x14ac:dyDescent="0.25">
      <c r="A25" s="15" t="s">
        <v>23</v>
      </c>
      <c r="B25" s="15">
        <f>'Hoja Resumen Especificaciones'!D12</f>
        <v>1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0.5</v>
      </c>
      <c r="C26" s="22">
        <f>C24</f>
        <v>1.245E-3</v>
      </c>
      <c r="D26" s="22">
        <f>B26/C26</f>
        <v>401.60642570281124</v>
      </c>
      <c r="F26" s="37" t="s">
        <v>22</v>
      </c>
      <c r="G26" s="37"/>
      <c r="H26" s="37"/>
      <c r="I26" s="37"/>
      <c r="J26" s="9" t="s">
        <v>20</v>
      </c>
      <c r="K26" s="9" t="s">
        <v>64</v>
      </c>
      <c r="L26" s="9" t="s">
        <v>33</v>
      </c>
    </row>
    <row r="27" spans="1:12" x14ac:dyDescent="0.25">
      <c r="A27" s="15" t="str">
        <f>'Hoja Resumen Especificaciones'!B24</f>
        <v>Grasa de sobrepaso</v>
      </c>
      <c r="B27" s="22">
        <f>'Hoja Resumen Especificaciones'!C12</f>
        <v>0.5</v>
      </c>
      <c r="C27" s="22">
        <f>'Hoja Resumen Especificaciones'!D24</f>
        <v>6.4000000000000005E-4</v>
      </c>
      <c r="D27" s="22">
        <f>B27/C27</f>
        <v>781.24999999999989</v>
      </c>
      <c r="F27" s="15">
        <f>4*F24*G24</f>
        <v>320</v>
      </c>
      <c r="G27" s="15"/>
      <c r="H27" s="15"/>
      <c r="I27" s="15"/>
      <c r="J27" s="15"/>
      <c r="K27" s="15">
        <f>G24*G24</f>
        <v>100</v>
      </c>
      <c r="L27" s="15">
        <f>F24*F24</f>
        <v>64</v>
      </c>
    </row>
    <row r="28" spans="1:12" x14ac:dyDescent="0.25">
      <c r="A28" s="15" t="s">
        <v>23</v>
      </c>
      <c r="B28" s="15">
        <f>'Hoja Resumen Especificaciones'!D12</f>
        <v>1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2" x14ac:dyDescent="0.25">
      <c r="A29" s="15" t="s">
        <v>2</v>
      </c>
      <c r="B29" s="15">
        <f>B28*B27</f>
        <v>0.5</v>
      </c>
      <c r="C29" s="22">
        <f>'Hoja Resumen Especificaciones'!D24</f>
        <v>6.4000000000000005E-4</v>
      </c>
      <c r="D29" s="47">
        <f>B29/C29</f>
        <v>781.24999999999989</v>
      </c>
      <c r="F29" s="37" t="s">
        <v>21</v>
      </c>
      <c r="G29" s="37"/>
      <c r="H29" s="37"/>
      <c r="I29" s="37"/>
      <c r="J29" s="23"/>
      <c r="K29" s="23"/>
      <c r="L29" s="23"/>
    </row>
    <row r="30" spans="1:12" x14ac:dyDescent="0.25">
      <c r="F30" s="15">
        <f>D29-F24*F24*G24</f>
        <v>141.24999999999989</v>
      </c>
      <c r="G30" s="15"/>
      <c r="H30" s="15"/>
      <c r="I30" s="15"/>
      <c r="J30" s="23"/>
      <c r="K30" s="23"/>
      <c r="L30" s="23"/>
    </row>
  </sheetData>
  <mergeCells count="18">
    <mergeCell ref="G18:I18"/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  <mergeCell ref="F29:I29"/>
    <mergeCell ref="A19:C19"/>
    <mergeCell ref="G19:I19"/>
    <mergeCell ref="A20:B20"/>
    <mergeCell ref="G20:I20"/>
    <mergeCell ref="F22:I22"/>
    <mergeCell ref="F26:I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6385" r:id="rId3">
          <objectPr defaultSize="0" r:id="rId4">
            <anchor moveWithCells="1">
              <from>
                <xdr:col>9</xdr:col>
                <xdr:colOff>619125</xdr:colOff>
                <xdr:row>7</xdr:row>
                <xdr:rowOff>76200</xdr:rowOff>
              </from>
              <to>
                <xdr:col>12</xdr:col>
                <xdr:colOff>304800</xdr:colOff>
                <xdr:row>18</xdr:row>
                <xdr:rowOff>66675</xdr:rowOff>
              </to>
            </anchor>
          </objectPr>
        </oleObject>
      </mc:Choice>
      <mc:Fallback>
        <oleObject progId="Visio.Drawing.11" shapeId="16385" r:id="rId3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workbookViewId="0">
      <selection activeCell="F14" sqref="F14"/>
    </sheetView>
  </sheetViews>
  <sheetFormatPr baseColWidth="10" defaultRowHeight="15" x14ac:dyDescent="0.25"/>
  <sheetData>
    <row r="1" spans="1:12" x14ac:dyDescent="0.25">
      <c r="A1" s="33" t="str">
        <f>CONCATENATE("MEMORIA DE CÁLCULO ",UPPER('Hoja Resumen Especificaciones'!B13))</f>
        <v>MEMORIA DE CÁLCULO TOLVA MEDICIÓN LEVADURA/SECUESTRANTES.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43595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Especificaciones'!C12," kg.")</f>
        <v>1. Sostener 0,5 kg.</v>
      </c>
      <c r="B11" s="46"/>
      <c r="C11" s="46"/>
      <c r="D11" t="s">
        <v>15</v>
      </c>
      <c r="J11" t="s">
        <v>15</v>
      </c>
    </row>
    <row r="12" spans="1:12" ht="15" customHeight="1" x14ac:dyDescent="0.25">
      <c r="A12" s="45"/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Especificaciones'!D12,".")</f>
        <v>4. El factor de seguridad es de 1.</v>
      </c>
      <c r="B14" s="42"/>
      <c r="C14" s="42"/>
      <c r="D14" t="s">
        <v>15</v>
      </c>
      <c r="J14" t="s">
        <v>15</v>
      </c>
    </row>
    <row r="15" spans="1:12" x14ac:dyDescent="0.25">
      <c r="A15" s="16"/>
      <c r="B15" s="16"/>
      <c r="C15" s="16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59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Especificaciones'!B22</f>
        <v>Levadura</v>
      </c>
      <c r="B24" s="22">
        <f>'Hoja Resumen Especificaciones'!C10</f>
        <v>1</v>
      </c>
      <c r="C24" s="22">
        <f>'Hoja Resumen Especificaciones'!D22</f>
        <v>7.0999999999999991E-4</v>
      </c>
      <c r="D24" s="22">
        <f>B24/C24</f>
        <v>1408.4507042253522</v>
      </c>
      <c r="F24" s="15">
        <v>8</v>
      </c>
      <c r="G24" s="15">
        <v>10</v>
      </c>
      <c r="H24" s="15"/>
      <c r="I24" s="15"/>
    </row>
    <row r="25" spans="1:12" x14ac:dyDescent="0.25">
      <c r="A25" s="15" t="s">
        <v>23</v>
      </c>
      <c r="B25" s="15">
        <f>'Hoja Resumen Especificaciones'!D10</f>
        <v>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2</v>
      </c>
      <c r="C26" s="22">
        <f>C24</f>
        <v>7.0999999999999991E-4</v>
      </c>
      <c r="D26" s="47">
        <f>B26/C26</f>
        <v>2816.9014084507044</v>
      </c>
      <c r="F26" s="37" t="s">
        <v>22</v>
      </c>
      <c r="G26" s="37"/>
      <c r="H26" s="37"/>
      <c r="I26" s="37"/>
      <c r="J26" s="9" t="s">
        <v>20</v>
      </c>
      <c r="K26" s="9" t="s">
        <v>64</v>
      </c>
      <c r="L26" s="9" t="s">
        <v>33</v>
      </c>
    </row>
    <row r="27" spans="1:12" x14ac:dyDescent="0.25">
      <c r="A27" s="15" t="str">
        <f>'Hoja Resumen Especificaciones'!B23</f>
        <v>Secuestrante</v>
      </c>
      <c r="B27" s="22">
        <f>'Hoja Resumen Especificaciones'!C10</f>
        <v>1</v>
      </c>
      <c r="C27" s="22">
        <f>'Hoja Resumen Especificaciones'!D23</f>
        <v>1.0009999999999999E-3</v>
      </c>
      <c r="D27" s="22">
        <f>B27/C27</f>
        <v>999.00099900099906</v>
      </c>
      <c r="F27" s="15">
        <f>4*F24*G24</f>
        <v>320</v>
      </c>
      <c r="G27" s="15"/>
      <c r="H27" s="15"/>
      <c r="I27" s="15"/>
      <c r="J27" s="15"/>
      <c r="K27" s="15">
        <f>G24*G24</f>
        <v>100</v>
      </c>
      <c r="L27" s="15">
        <f>F24*F24</f>
        <v>64</v>
      </c>
    </row>
    <row r="28" spans="1:12" x14ac:dyDescent="0.25">
      <c r="A28" s="15" t="s">
        <v>23</v>
      </c>
      <c r="B28" s="15">
        <f>'Hoja Resumen Especificaciones'!D10</f>
        <v>2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2" x14ac:dyDescent="0.25">
      <c r="A29" s="15" t="s">
        <v>2</v>
      </c>
      <c r="B29" s="15">
        <f>B28*B27</f>
        <v>2</v>
      </c>
      <c r="C29" s="22">
        <f>C27</f>
        <v>1.0009999999999999E-3</v>
      </c>
      <c r="D29" s="22">
        <f>B29/C29</f>
        <v>1998.0019980019981</v>
      </c>
      <c r="F29" s="37" t="s">
        <v>21</v>
      </c>
      <c r="G29" s="37"/>
      <c r="H29" s="37"/>
      <c r="I29" s="37"/>
      <c r="J29" s="23"/>
      <c r="K29" s="23"/>
      <c r="L29" s="23"/>
    </row>
    <row r="30" spans="1:12" x14ac:dyDescent="0.25">
      <c r="F30" s="15">
        <f>D29-F24*F24*G24</f>
        <v>1358.0019980019981</v>
      </c>
      <c r="G30" s="15"/>
      <c r="H30" s="15"/>
      <c r="I30" s="15"/>
      <c r="J30" s="23"/>
      <c r="K30" s="23"/>
      <c r="L30" s="23"/>
    </row>
  </sheetData>
  <mergeCells count="18">
    <mergeCell ref="G18:I18"/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  <mergeCell ref="F29:I29"/>
    <mergeCell ref="A19:C19"/>
    <mergeCell ref="G19:I19"/>
    <mergeCell ref="A20:B20"/>
    <mergeCell ref="G20:I20"/>
    <mergeCell ref="F22:I22"/>
    <mergeCell ref="F26:I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7409" r:id="rId3">
          <objectPr defaultSize="0" r:id="rId4">
            <anchor moveWithCells="1">
              <from>
                <xdr:col>9</xdr:col>
                <xdr:colOff>619125</xdr:colOff>
                <xdr:row>7</xdr:row>
                <xdr:rowOff>76200</xdr:rowOff>
              </from>
              <to>
                <xdr:col>12</xdr:col>
                <xdr:colOff>304800</xdr:colOff>
                <xdr:row>18</xdr:row>
                <xdr:rowOff>66675</xdr:rowOff>
              </to>
            </anchor>
          </objectPr>
        </oleObject>
      </mc:Choice>
      <mc:Fallback>
        <oleObject progId="Visio.Drawing.11" shapeId="17409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5" zoomScaleNormal="100" workbookViewId="0">
      <selection activeCell="F22" sqref="F22:I22"/>
    </sheetView>
  </sheetViews>
  <sheetFormatPr baseColWidth="10" defaultRowHeight="15" x14ac:dyDescent="0.25"/>
  <cols>
    <col min="6" max="6" width="12.28515625" bestFit="1" customWidth="1"/>
  </cols>
  <sheetData>
    <row r="1" spans="1:12" x14ac:dyDescent="0.25">
      <c r="A1" s="33" t="str">
        <f>CONCATENATE("MEMORIA DE CÁLCULO ",UPPER('Hoja Resumen Especificaciones'!B7))</f>
        <v>MEMORIA DE CÁLCULO TOLVA CONTENEDOR CONCENTRADO.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43594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10" t="s">
        <v>61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 t="s">
        <v>130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 t="s">
        <v>131</v>
      </c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Especificaciones'!C7," kg.")</f>
        <v>1. Sostener 500 kg.</v>
      </c>
      <c r="B11" s="46"/>
      <c r="C11" s="46"/>
      <c r="D11" t="s">
        <v>15</v>
      </c>
      <c r="J11" t="s">
        <v>15</v>
      </c>
    </row>
    <row r="12" spans="1:12" x14ac:dyDescent="0.25">
      <c r="A12" s="45" t="s">
        <v>57</v>
      </c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Especificaciones'!D7,".")</f>
        <v>4. El factor de seguridad es de 1,2.</v>
      </c>
      <c r="B14" s="42"/>
      <c r="C14" s="42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Especificaciones'!B19</f>
        <v>Concentrado</v>
      </c>
      <c r="B24" s="22">
        <f>'Hoja Resumen Especificaciones'!C7</f>
        <v>500</v>
      </c>
      <c r="C24" s="22">
        <f>'Hoja Resumen Especificaciones'!D19</f>
        <v>4.4019999999999997E-4</v>
      </c>
      <c r="D24" s="22">
        <f>B24/C24</f>
        <v>1135847.3421172195</v>
      </c>
      <c r="F24" s="22">
        <v>150</v>
      </c>
      <c r="G24" s="22">
        <v>27</v>
      </c>
      <c r="H24" s="22">
        <v>20</v>
      </c>
      <c r="I24" s="22">
        <v>0</v>
      </c>
    </row>
    <row r="25" spans="1:12" x14ac:dyDescent="0.25">
      <c r="A25" s="15" t="s">
        <v>23</v>
      </c>
      <c r="B25" s="15">
        <f>'Hoja Resumen Especificaciones'!D7</f>
        <v>1.2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600</v>
      </c>
      <c r="C26" s="22">
        <f>'Hoja Resumen Especificaciones'!D19</f>
        <v>4.4019999999999997E-4</v>
      </c>
      <c r="D26" s="22">
        <f>B26/C26</f>
        <v>1363016.8105406635</v>
      </c>
      <c r="F26" s="37" t="s">
        <v>22</v>
      </c>
      <c r="G26" s="37"/>
      <c r="H26" s="37"/>
      <c r="I26" s="37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ABS(4*(G24*I24)+(4/2)*(F24+G24)*(J27/COS(B22))+4*F24*H24)</f>
        <v>55542</v>
      </c>
      <c r="G27" s="15"/>
      <c r="H27" s="15"/>
      <c r="I27" s="15"/>
      <c r="J27" s="15">
        <f>(F24-G24)/(2*TAN(B22))</f>
        <v>106.52112466548596</v>
      </c>
      <c r="K27" s="15">
        <f>G24*G24</f>
        <v>729</v>
      </c>
      <c r="L27" s="15">
        <f>F24*F24</f>
        <v>22500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ht="13.5" customHeight="1" x14ac:dyDescent="0.25"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2" x14ac:dyDescent="0.25">
      <c r="F30" s="22">
        <f>D26-(L27*H24+(K27*I24)+(J27/3*(L27+K27+SQRT(L27*K27))))</f>
        <v>-55579.776042600162</v>
      </c>
      <c r="G30" s="15"/>
      <c r="H30" s="22">
        <f>F30*C26</f>
        <v>-24.466217413952588</v>
      </c>
      <c r="I30" s="15"/>
      <c r="J30" s="23"/>
      <c r="K30" s="23"/>
      <c r="L30" s="23"/>
    </row>
    <row r="31" spans="1:12" x14ac:dyDescent="0.25">
      <c r="J31" s="23"/>
      <c r="K31" s="23"/>
      <c r="L31" s="23"/>
    </row>
    <row r="32" spans="1:12" x14ac:dyDescent="0.25">
      <c r="J32" s="23"/>
      <c r="K32" s="23"/>
      <c r="L32" s="23"/>
    </row>
    <row r="33" spans="10:12" x14ac:dyDescent="0.25">
      <c r="J33" s="23"/>
      <c r="K33" s="23"/>
      <c r="L33" s="23"/>
    </row>
  </sheetData>
  <mergeCells count="17">
    <mergeCell ref="A12:C12"/>
    <mergeCell ref="A13:C13"/>
    <mergeCell ref="A14:C14"/>
    <mergeCell ref="A1:L1"/>
    <mergeCell ref="B2:L2"/>
    <mergeCell ref="C3:L3"/>
    <mergeCell ref="A10:C10"/>
    <mergeCell ref="A11:C11"/>
    <mergeCell ref="F22:I22"/>
    <mergeCell ref="F26:I26"/>
    <mergeCell ref="A16:C16"/>
    <mergeCell ref="A18:C18"/>
    <mergeCell ref="G18:I18"/>
    <mergeCell ref="A19:C19"/>
    <mergeCell ref="G19:I19"/>
    <mergeCell ref="A20:B20"/>
    <mergeCell ref="G20:I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4" workbookViewId="0">
      <selection activeCell="K23" sqref="K23"/>
    </sheetView>
  </sheetViews>
  <sheetFormatPr baseColWidth="10" defaultRowHeight="15" x14ac:dyDescent="0.25"/>
  <cols>
    <col min="6" max="6" width="11.85546875" bestFit="1" customWidth="1"/>
  </cols>
  <sheetData>
    <row r="1" spans="1:12" x14ac:dyDescent="0.25">
      <c r="A1" s="33" t="str">
        <f>CONCATENATE("MEMORIA DE CÁLCULO ",UPPER('Hoja Resumen Especificaciones'!B7))</f>
        <v>MEMORIA DE CÁLCULO TOLVA CONTENEDOR CONCENTRADO.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43594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10" t="s">
        <v>61</v>
      </c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 t="s">
        <v>134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Especificaciones'!C7," kg.")</f>
        <v>1. Sostener 500 kg.</v>
      </c>
      <c r="B11" s="46"/>
      <c r="C11" s="46"/>
      <c r="D11" t="s">
        <v>15</v>
      </c>
      <c r="J11" t="s">
        <v>15</v>
      </c>
    </row>
    <row r="12" spans="1:12" x14ac:dyDescent="0.25">
      <c r="A12" s="45" t="s">
        <v>57</v>
      </c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Especificaciones'!D7,".")</f>
        <v>4. El factor de seguridad es de 1,2.</v>
      </c>
      <c r="B14" s="42"/>
      <c r="C14" s="42"/>
      <c r="D14" t="s">
        <v>15</v>
      </c>
      <c r="J14" t="s">
        <v>15</v>
      </c>
    </row>
    <row r="15" spans="1:12" x14ac:dyDescent="0.25">
      <c r="A15" s="16"/>
      <c r="B15" s="16"/>
      <c r="C15" s="16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Especificaciones'!B19</f>
        <v>Concentrado</v>
      </c>
      <c r="B24" s="22">
        <f>'Hoja Resumen Especificaciones'!C7</f>
        <v>500</v>
      </c>
      <c r="C24" s="22">
        <f>'Hoja Resumen Especificaciones'!D19</f>
        <v>4.4019999999999997E-4</v>
      </c>
      <c r="D24" s="22">
        <f>B24/C24</f>
        <v>1135847.3421172195</v>
      </c>
      <c r="F24" s="22">
        <v>135</v>
      </c>
      <c r="G24" s="22">
        <f>J27</f>
        <v>79.674337148168362</v>
      </c>
      <c r="H24" s="22">
        <v>10</v>
      </c>
      <c r="I24" s="22">
        <v>43</v>
      </c>
    </row>
    <row r="25" spans="1:12" x14ac:dyDescent="0.25">
      <c r="A25" s="15" t="s">
        <v>23</v>
      </c>
      <c r="B25" s="15">
        <f>'Hoja Resumen Especificaciones'!D7</f>
        <v>1.2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600</v>
      </c>
      <c r="C26" s="22">
        <f>'Hoja Resumen Especificaciones'!D19</f>
        <v>4.4019999999999997E-4</v>
      </c>
      <c r="D26" s="22">
        <f>B26/C26</f>
        <v>1363016.8105406635</v>
      </c>
      <c r="F26" s="37" t="s">
        <v>22</v>
      </c>
      <c r="G26" s="37"/>
      <c r="H26" s="37"/>
      <c r="I26" s="37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PI()*(F24/2)*(J27/COS(B22))+PI()*F24*H24</f>
        <v>23750.440461138835</v>
      </c>
      <c r="G27" s="15"/>
      <c r="H27" s="15"/>
      <c r="I27" s="15"/>
      <c r="J27" s="15">
        <f>(F24-I24)/(2*TAN(B22))</f>
        <v>79.674337148168362</v>
      </c>
      <c r="K27" s="15">
        <f>G24*G24</f>
        <v>6348.0000000000009</v>
      </c>
      <c r="L27" s="15">
        <f>F24*F24</f>
        <v>18225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x14ac:dyDescent="0.25"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2" x14ac:dyDescent="0.25">
      <c r="F30" s="22">
        <f>D26-(L27*H24+(K27*I24)+(J27/3*(L27+K27+SQRT(L27*K27))))</f>
        <v>-30469.685039983597</v>
      </c>
      <c r="G30" s="15"/>
      <c r="H30" s="22">
        <f>F30*C26</f>
        <v>-13.412755354600778</v>
      </c>
      <c r="I30" s="15"/>
      <c r="J30" s="23"/>
      <c r="K30" s="23"/>
      <c r="L30" s="23"/>
    </row>
  </sheetData>
  <mergeCells count="17">
    <mergeCell ref="A20:B20"/>
    <mergeCell ref="G20:I20"/>
    <mergeCell ref="F22:I22"/>
    <mergeCell ref="F26:I26"/>
    <mergeCell ref="A13:C13"/>
    <mergeCell ref="A14:C14"/>
    <mergeCell ref="A16:C16"/>
    <mergeCell ref="A18:C18"/>
    <mergeCell ref="G18:I18"/>
    <mergeCell ref="A19:C19"/>
    <mergeCell ref="G19:I19"/>
    <mergeCell ref="A1:L1"/>
    <mergeCell ref="B2:L2"/>
    <mergeCell ref="C3:L3"/>
    <mergeCell ref="A10:C10"/>
    <mergeCell ref="A11:C11"/>
    <mergeCell ref="A12:C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2" workbookViewId="0">
      <selection activeCell="F9" sqref="F9"/>
    </sheetView>
  </sheetViews>
  <sheetFormatPr baseColWidth="10" defaultRowHeight="15" x14ac:dyDescent="0.25"/>
  <cols>
    <col min="1" max="1" width="21.7109375" bestFit="1" customWidth="1"/>
    <col min="7" max="8" width="14.5703125" bestFit="1" customWidth="1"/>
  </cols>
  <sheetData>
    <row r="1" spans="1:14" x14ac:dyDescent="0.25">
      <c r="A1" s="33" t="str">
        <f>CONCATENATE("MEMORIA DE CÁLCULO ESFUERZOS ",UPPER('Hoja Resumen Especificaciones'!B7))</f>
        <v>MEMORIA DE CÁLCULO ESFUERZOS TOLVA CONTENEDOR CONCENTRADO.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4" x14ac:dyDescent="0.25">
      <c r="A2" s="3" t="s">
        <v>69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4" ht="30" x14ac:dyDescent="0.25">
      <c r="A3" s="7" t="s">
        <v>27</v>
      </c>
      <c r="B3" s="24">
        <v>43595</v>
      </c>
      <c r="C3" s="34" t="s">
        <v>70</v>
      </c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</row>
    <row r="8" spans="1:14" x14ac:dyDescent="0.25">
      <c r="B8" s="53" t="s">
        <v>73</v>
      </c>
      <c r="F8" s="9" t="s">
        <v>122</v>
      </c>
      <c r="G8" s="9" t="s">
        <v>123</v>
      </c>
      <c r="H8" s="9" t="s">
        <v>124</v>
      </c>
      <c r="I8" s="9" t="s">
        <v>125</v>
      </c>
      <c r="J8" s="9" t="s">
        <v>127</v>
      </c>
    </row>
    <row r="9" spans="1:14" x14ac:dyDescent="0.25">
      <c r="B9" s="53"/>
      <c r="F9" s="22">
        <f>'1. Con Contenedor'!F24/100</f>
        <v>1.5</v>
      </c>
      <c r="G9" s="22">
        <f>'1. Con Contenedor'!G24/100</f>
        <v>0.27</v>
      </c>
      <c r="H9" s="22">
        <f>'1. Con Contenedor'!H24/100</f>
        <v>0.2</v>
      </c>
      <c r="I9" s="22">
        <f>'1. Con Contenedor'!I24/100</f>
        <v>0</v>
      </c>
      <c r="J9" s="22">
        <f>'1. Con Contenedor'!J27/100</f>
        <v>1.0652112466548596</v>
      </c>
    </row>
    <row r="11" spans="1:14" x14ac:dyDescent="0.25">
      <c r="A11" s="38" t="s">
        <v>74</v>
      </c>
      <c r="B11" s="39"/>
      <c r="C11" s="40"/>
      <c r="F11" s="38" t="s">
        <v>75</v>
      </c>
      <c r="G11" s="39"/>
      <c r="H11" s="39"/>
      <c r="I11" s="40"/>
      <c r="K11" s="38" t="s">
        <v>76</v>
      </c>
      <c r="L11" s="39"/>
      <c r="M11" s="39"/>
      <c r="N11" s="40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54" t="s">
        <v>58</v>
      </c>
      <c r="G13" s="15"/>
      <c r="H13" s="9" t="s">
        <v>80</v>
      </c>
      <c r="I13" s="9" t="s">
        <v>81</v>
      </c>
      <c r="K13" s="54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10795.905000000001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1943.2629000000002</v>
      </c>
      <c r="N14" s="15" t="s">
        <v>85</v>
      </c>
    </row>
    <row r="15" spans="1:14" x14ac:dyDescent="0.25">
      <c r="A15" s="15" t="s">
        <v>86</v>
      </c>
      <c r="B15" s="22">
        <f>'Hoja Resumen Especificaciones'!C19*1000</f>
        <v>440.2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62">
        <f>(1-EXP((-$B$21*$B$20*B18*H9)/B16))</f>
        <v>7.6883653613364245E-2</v>
      </c>
      <c r="I15" s="15"/>
      <c r="K15" s="15">
        <v>2</v>
      </c>
      <c r="L15" s="15" t="s">
        <v>89</v>
      </c>
      <c r="M15" s="22">
        <f>(1-EXP((-$B$21*$B$20*B19*J9)/B17))</f>
        <v>0.90625117088761142</v>
      </c>
      <c r="N15" s="15"/>
    </row>
    <row r="16" spans="1:14" x14ac:dyDescent="0.25">
      <c r="A16" s="15" t="s">
        <v>90</v>
      </c>
      <c r="B16" s="22">
        <f>F9^2</f>
        <v>2.25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830.02862046278722</v>
      </c>
      <c r="I16" s="15" t="s">
        <v>85</v>
      </c>
      <c r="K16" s="15">
        <v>3</v>
      </c>
      <c r="L16" s="15" t="s">
        <v>93</v>
      </c>
      <c r="M16" s="22">
        <f>M14*M15+H16</f>
        <v>2591.1128989302429</v>
      </c>
      <c r="N16" s="15" t="s">
        <v>85</v>
      </c>
    </row>
    <row r="17" spans="1:13" x14ac:dyDescent="0.25">
      <c r="A17" s="15" t="s">
        <v>94</v>
      </c>
      <c r="B17" s="22">
        <f>G9^2</f>
        <v>7.2900000000000006E-2</v>
      </c>
      <c r="C17" s="15" t="s">
        <v>91</v>
      </c>
    </row>
    <row r="18" spans="1:13" x14ac:dyDescent="0.25">
      <c r="A18" s="15" t="s">
        <v>95</v>
      </c>
      <c r="B18" s="22">
        <f>4*F9</f>
        <v>6</v>
      </c>
      <c r="C18" s="15" t="s">
        <v>96</v>
      </c>
      <c r="D18" s="53" t="s">
        <v>97</v>
      </c>
      <c r="E18" t="s">
        <v>15</v>
      </c>
      <c r="F18" s="38" t="s">
        <v>98</v>
      </c>
      <c r="G18" s="39"/>
      <c r="H18" s="40"/>
      <c r="I18" s="55"/>
      <c r="K18" s="38" t="s">
        <v>99</v>
      </c>
      <c r="L18" s="39"/>
      <c r="M18" s="40"/>
    </row>
    <row r="19" spans="1:13" x14ac:dyDescent="0.25">
      <c r="A19" s="15" t="s">
        <v>100</v>
      </c>
      <c r="B19" s="22">
        <f>4*G9</f>
        <v>1.08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60">
        <f>$B$25*($B$23*COS($B$24)^2+1.5*SIN($B$24)^2)</f>
        <v>1182.7907841594717</v>
      </c>
      <c r="H20" s="15" t="s">
        <v>85</v>
      </c>
      <c r="I20" s="23"/>
      <c r="K20" s="15" t="s">
        <v>104</v>
      </c>
      <c r="L20" s="22">
        <f>$B$26*($B$23*COS($B$24)^2+1.5*SIN($B$24)^2)</f>
        <v>3692.3358809755955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60">
        <f>$B$23*$B$25*(COS($B$24)^2)</f>
        <v>249.00858613883628</v>
      </c>
      <c r="H21" s="15" t="s">
        <v>85</v>
      </c>
      <c r="I21" s="23"/>
      <c r="K21" s="15" t="s">
        <v>106</v>
      </c>
      <c r="L21" s="22">
        <f>$B$23*$B$26*(COS($B$24)^2)</f>
        <v>777.33386967907313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60">
        <f>3*((B16/B18)*(B14*B15*B21)/(SQRT(B20)))</f>
        <v>4434.8705228871077</v>
      </c>
      <c r="H22" s="15" t="s">
        <v>85</v>
      </c>
      <c r="I22" s="23"/>
      <c r="K22" s="15" t="s">
        <v>108</v>
      </c>
      <c r="L22" s="22">
        <f>3*((B17/B19)*(B14*B15*B21)/(SQRT(B20)))</f>
        <v>798.27669411967963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56" t="s">
        <v>110</v>
      </c>
      <c r="G23" s="61">
        <f>G20+G22+2*B25*B21</f>
        <v>6447.6899275093665</v>
      </c>
      <c r="H23" s="56" t="s">
        <v>85</v>
      </c>
      <c r="I23" s="23"/>
      <c r="K23" s="15" t="s">
        <v>110</v>
      </c>
      <c r="L23" s="22">
        <f>L22+L21</f>
        <v>1575.6105637987528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830.02862046278722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2591.1128989302429</v>
      </c>
      <c r="C26" s="15"/>
      <c r="F26" s="10" t="s">
        <v>115</v>
      </c>
      <c r="G26" s="57">
        <f>($J$9/SIN($B$24))-$F$9*($F$9-$G$9)/(6*($F$9+$G$9))</f>
        <v>1.0562711864406782</v>
      </c>
      <c r="H26" s="10" t="s">
        <v>96</v>
      </c>
      <c r="K26" s="10" t="s">
        <v>115</v>
      </c>
      <c r="L26" s="57">
        <f>($J$9/SIN($B$24))-$F$9*($F$9-$G$9)/(6*($F$9+$G$9))</f>
        <v>1.0562711864406782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58">
        <f>((PI()^2*$B$28*1000000000)/(12*(1-$B$20^2)*$G$23))^(-1/2)*$G$26*1000</f>
        <v>0.20467375200749979</v>
      </c>
      <c r="H27" s="10" t="s">
        <v>118</v>
      </c>
      <c r="K27" s="10" t="s">
        <v>117</v>
      </c>
      <c r="L27" s="58">
        <f>((PI()^2*$B$28*1000000000)/(12*(1-$B$20^2)*$L$23))^(-1/2)*$G$26*1000</f>
        <v>0.10117763437447566</v>
      </c>
      <c r="M27" s="10" t="s">
        <v>118</v>
      </c>
    </row>
    <row r="28" spans="1:13" x14ac:dyDescent="0.25">
      <c r="A28" s="59" t="s">
        <v>119</v>
      </c>
      <c r="B28" s="15">
        <v>190</v>
      </c>
      <c r="C28" s="59" t="s">
        <v>120</v>
      </c>
    </row>
    <row r="29" spans="1:13" x14ac:dyDescent="0.25">
      <c r="A29" s="63"/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17" workbookViewId="0">
      <selection activeCell="G25" sqref="G25"/>
    </sheetView>
  </sheetViews>
  <sheetFormatPr baseColWidth="10" defaultRowHeight="15" x14ac:dyDescent="0.25"/>
  <sheetData>
    <row r="1" spans="1:12" x14ac:dyDescent="0.25">
      <c r="A1" s="33" t="str">
        <f>CONCATENATE("MEMORIA DE CÁLCULO ",UPPER('Hoja Resumen Especificaciones'!B8))</f>
        <v>MEMORIA DE CÁLCULO TOLVA CONTENEDOR ADICIONAL.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43594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Especificaciones'!C8," kg.")</f>
        <v>1. Sostener 138 kg.</v>
      </c>
      <c r="B11" s="46"/>
      <c r="C11" s="46"/>
      <c r="D11" t="s">
        <v>15</v>
      </c>
      <c r="J11" t="s">
        <v>15</v>
      </c>
    </row>
    <row r="12" spans="1:12" ht="15" customHeight="1" x14ac:dyDescent="0.25">
      <c r="A12" s="45" t="s">
        <v>57</v>
      </c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Especificaciones'!D8,".")</f>
        <v>4. El factor de seguridad es de 1,2.</v>
      </c>
      <c r="B14" s="42"/>
      <c r="C14" s="42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</row>
    <row r="24" spans="1:12" x14ac:dyDescent="0.25">
      <c r="A24" s="15" t="str">
        <f>'Hoja Resumen Especificaciones'!B20</f>
        <v>Adicional</v>
      </c>
      <c r="B24" s="22">
        <f>'Hoja Resumen Especificaciones'!C8</f>
        <v>138</v>
      </c>
      <c r="C24" s="22">
        <f>'Hoja Resumen Especificaciones'!D20</f>
        <v>3.4000000000000002E-4</v>
      </c>
      <c r="D24" s="22">
        <f>B24/C24</f>
        <v>405882.35294117645</v>
      </c>
      <c r="F24" s="15">
        <v>105</v>
      </c>
      <c r="G24" s="15">
        <v>28</v>
      </c>
      <c r="H24" s="15">
        <v>15</v>
      </c>
      <c r="I24" s="15">
        <v>0</v>
      </c>
    </row>
    <row r="25" spans="1:12" x14ac:dyDescent="0.25">
      <c r="A25" s="15" t="s">
        <v>23</v>
      </c>
      <c r="B25" s="15">
        <f>'Hoja Resumen Especificaciones'!D8</f>
        <v>1.2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165.6</v>
      </c>
      <c r="C26" s="22">
        <f>'Hoja Resumen Especificaciones'!D20</f>
        <v>3.4000000000000002E-4</v>
      </c>
      <c r="D26" s="22">
        <f>B26/C26</f>
        <v>487058.82352941169</v>
      </c>
      <c r="F26" s="37" t="s">
        <v>22</v>
      </c>
      <c r="G26" s="37"/>
      <c r="H26" s="37"/>
      <c r="I26" s="37"/>
      <c r="J26" s="9" t="s">
        <v>20</v>
      </c>
      <c r="K26" s="9" t="s">
        <v>64</v>
      </c>
      <c r="L26" s="9" t="s">
        <v>33</v>
      </c>
    </row>
    <row r="27" spans="1:12" x14ac:dyDescent="0.25">
      <c r="F27" s="15">
        <f>4*(G24*I24)+(4/2)*(F24+G24)*(J27/COS(B22))+4*F24*H24</f>
        <v>26782</v>
      </c>
      <c r="G27" s="15"/>
      <c r="H27" s="15"/>
      <c r="I27" s="15"/>
      <c r="J27" s="15">
        <f>(F24-G24)/(2*TAN(B22))</f>
        <v>66.683956091401782</v>
      </c>
      <c r="K27" s="15">
        <f>G24*G24</f>
        <v>784</v>
      </c>
      <c r="L27" s="15">
        <f>F24*F24</f>
        <v>11025</v>
      </c>
    </row>
    <row r="28" spans="1:12" x14ac:dyDescent="0.25">
      <c r="F28" s="15"/>
      <c r="G28" s="15"/>
      <c r="H28" s="15"/>
      <c r="I28" s="15"/>
      <c r="J28" s="23"/>
      <c r="K28" s="23"/>
      <c r="L28" s="23"/>
    </row>
    <row r="29" spans="1:12" x14ac:dyDescent="0.25">
      <c r="F29" s="37" t="s">
        <v>21</v>
      </c>
      <c r="G29" s="37"/>
      <c r="H29" s="37"/>
      <c r="I29" s="37"/>
      <c r="J29" s="23"/>
      <c r="K29" s="23"/>
      <c r="L29" s="23"/>
    </row>
    <row r="30" spans="1:12" x14ac:dyDescent="0.25">
      <c r="F30" s="30">
        <f>D26-(L27*H24+(K27*I24)+(J27/3*(L27+K27+SQRT(L27*K27))))</f>
        <v>-6156.7326012832928</v>
      </c>
      <c r="G30" s="15"/>
      <c r="H30" s="15"/>
      <c r="I30" s="15"/>
      <c r="J30" s="23"/>
      <c r="K30" s="23"/>
      <c r="L30" s="23"/>
    </row>
  </sheetData>
  <mergeCells count="18">
    <mergeCell ref="G18:I18"/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  <mergeCell ref="F29:I29"/>
    <mergeCell ref="A19:C19"/>
    <mergeCell ref="G19:I19"/>
    <mergeCell ref="A20:B20"/>
    <mergeCell ref="G20:I20"/>
    <mergeCell ref="F22:I22"/>
    <mergeCell ref="F26:I2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9" workbookViewId="0">
      <selection activeCell="A28" sqref="A28:C28"/>
    </sheetView>
  </sheetViews>
  <sheetFormatPr baseColWidth="10" defaultRowHeight="15" x14ac:dyDescent="0.25"/>
  <sheetData>
    <row r="1" spans="1:14" x14ac:dyDescent="0.25">
      <c r="A1" s="33" t="str">
        <f>CONCATENATE("MEMORIA DE CÁLCULO ESFUERZOS ",UPPER('Hoja Resumen Especificaciones'!B8))</f>
        <v>MEMORIA DE CÁLCULO ESFUERZOS TOLVA CONTENEDOR ADICIONAL.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4" x14ac:dyDescent="0.25">
      <c r="A2" s="3" t="s">
        <v>69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4" ht="30" x14ac:dyDescent="0.25">
      <c r="A3" s="7" t="s">
        <v>27</v>
      </c>
      <c r="B3" s="24">
        <v>43595</v>
      </c>
      <c r="C3" s="34" t="s">
        <v>70</v>
      </c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</row>
    <row r="8" spans="1:14" x14ac:dyDescent="0.25">
      <c r="B8" s="53" t="s">
        <v>73</v>
      </c>
      <c r="F8" s="9" t="s">
        <v>122</v>
      </c>
      <c r="G8" s="9" t="s">
        <v>123</v>
      </c>
      <c r="H8" s="9" t="s">
        <v>124</v>
      </c>
      <c r="I8" s="9" t="s">
        <v>125</v>
      </c>
      <c r="J8" s="9" t="s">
        <v>127</v>
      </c>
    </row>
    <row r="9" spans="1:14" x14ac:dyDescent="0.25">
      <c r="B9" s="53"/>
      <c r="F9" s="22">
        <f>'2. CC Contenedor'!F24/100</f>
        <v>1.05</v>
      </c>
      <c r="G9" s="22">
        <f>'2. CC Contenedor'!G24/100</f>
        <v>0.28000000000000003</v>
      </c>
      <c r="H9" s="22">
        <f>'2. CC Contenedor'!H24/100</f>
        <v>0.15</v>
      </c>
      <c r="I9" s="22">
        <f>'2. CC Contenedor'!I24/100</f>
        <v>0</v>
      </c>
      <c r="J9" s="22">
        <f>'2. CC Contenedor'!J27/100</f>
        <v>0.66683956091401786</v>
      </c>
    </row>
    <row r="11" spans="1:14" x14ac:dyDescent="0.25">
      <c r="A11" s="38" t="s">
        <v>74</v>
      </c>
      <c r="B11" s="39"/>
      <c r="C11" s="40"/>
      <c r="F11" s="38" t="s">
        <v>75</v>
      </c>
      <c r="G11" s="39"/>
      <c r="H11" s="39"/>
      <c r="I11" s="40"/>
      <c r="K11" s="38" t="s">
        <v>76</v>
      </c>
      <c r="L11" s="39"/>
      <c r="M11" s="39"/>
      <c r="N11" s="40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54" t="s">
        <v>58</v>
      </c>
      <c r="G13" s="15"/>
      <c r="H13" s="9" t="s">
        <v>80</v>
      </c>
      <c r="I13" s="9" t="s">
        <v>81</v>
      </c>
      <c r="K13" s="54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5836.9500000000007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1556.5200000000002</v>
      </c>
      <c r="N14" s="15" t="s">
        <v>85</v>
      </c>
    </row>
    <row r="15" spans="1:14" x14ac:dyDescent="0.25">
      <c r="A15" s="15" t="s">
        <v>86</v>
      </c>
      <c r="B15" s="22">
        <f>'Hoja Resumen Especificaciones'!C20*1000</f>
        <v>340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62">
        <f>(1-EXP((-$B$21*$B$20*B18*H9)/B16))</f>
        <v>8.2143561543107424E-2</v>
      </c>
      <c r="I15" s="15"/>
      <c r="K15" s="15">
        <v>2</v>
      </c>
      <c r="L15" s="15" t="s">
        <v>89</v>
      </c>
      <c r="M15" s="22">
        <f>(1-EXP((-$B$21*$B$20*B19*J9)/B17))</f>
        <v>0.76043773486766908</v>
      </c>
      <c r="N15" s="15"/>
    </row>
    <row r="16" spans="1:14" x14ac:dyDescent="0.25">
      <c r="A16" s="15" t="s">
        <v>90</v>
      </c>
      <c r="B16" s="22">
        <f>F9^2</f>
        <v>1.1025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479.46786154904095</v>
      </c>
      <c r="I16" s="15" t="s">
        <v>85</v>
      </c>
      <c r="K16" s="15">
        <v>3</v>
      </c>
      <c r="L16" s="15" t="s">
        <v>93</v>
      </c>
      <c r="M16" s="22">
        <f>M14*M15+H16</f>
        <v>1663.1044046252653</v>
      </c>
      <c r="N16" s="15" t="s">
        <v>85</v>
      </c>
    </row>
    <row r="17" spans="1:13" x14ac:dyDescent="0.25">
      <c r="A17" s="15" t="s">
        <v>94</v>
      </c>
      <c r="B17" s="22">
        <f>G9^2</f>
        <v>7.8400000000000011E-2</v>
      </c>
      <c r="C17" s="15" t="s">
        <v>91</v>
      </c>
    </row>
    <row r="18" spans="1:13" x14ac:dyDescent="0.25">
      <c r="A18" s="15" t="s">
        <v>95</v>
      </c>
      <c r="B18" s="22">
        <f>4*F9</f>
        <v>4.2</v>
      </c>
      <c r="C18" s="15" t="s">
        <v>96</v>
      </c>
      <c r="D18" s="53" t="s">
        <v>97</v>
      </c>
      <c r="E18" t="s">
        <v>15</v>
      </c>
      <c r="F18" s="38" t="s">
        <v>98</v>
      </c>
      <c r="G18" s="39"/>
      <c r="H18" s="40"/>
      <c r="I18" s="55"/>
      <c r="K18" s="38" t="s">
        <v>99</v>
      </c>
      <c r="L18" s="39"/>
      <c r="M18" s="40"/>
    </row>
    <row r="19" spans="1:13" x14ac:dyDescent="0.25">
      <c r="A19" s="15" t="s">
        <v>100</v>
      </c>
      <c r="B19" s="22">
        <f>4*G9</f>
        <v>1.1200000000000001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60">
        <f>$B$25*($B$23*COS($B$24)^2+1.5*SIN($B$24)^2)</f>
        <v>683.2417027073833</v>
      </c>
      <c r="H20" s="15" t="s">
        <v>85</v>
      </c>
      <c r="I20" s="23"/>
      <c r="K20" s="15" t="s">
        <v>104</v>
      </c>
      <c r="L20" s="22">
        <f>$B$26*($B$23*COS($B$24)^2+1.5*SIN($B$24)^2)</f>
        <v>2369.9237765910025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60">
        <f>$B$23*$B$25*(COS($B$24)^2)</f>
        <v>143.84035846471232</v>
      </c>
      <c r="H21" s="15" t="s">
        <v>85</v>
      </c>
      <c r="I21" s="23"/>
      <c r="K21" s="15" t="s">
        <v>106</v>
      </c>
      <c r="L21" s="22">
        <f>$B$23*$B$26*(COS($B$24)^2)</f>
        <v>498.93132138757977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60">
        <f>3*((B16/B18)*(B14*B15*B21)/(SQRT(B20)))</f>
        <v>2397.7718865223351</v>
      </c>
      <c r="H22" s="15" t="s">
        <v>85</v>
      </c>
      <c r="I22" s="23"/>
      <c r="K22" s="15" t="s">
        <v>108</v>
      </c>
      <c r="L22" s="22">
        <f>3*((B17/B19)*(B14*B15*B21)/(SQRT(B20)))</f>
        <v>639.40583640595605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56" t="s">
        <v>110</v>
      </c>
      <c r="G23" s="61">
        <f>G20+G22+2*B25*B21</f>
        <v>3560.4814507787596</v>
      </c>
      <c r="H23" s="56" t="s">
        <v>85</v>
      </c>
      <c r="I23" s="23"/>
      <c r="K23" s="15" t="s">
        <v>110</v>
      </c>
      <c r="L23" s="22">
        <f>L22+L21</f>
        <v>1138.3371577935359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479.46786154904095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1663.1044046252653</v>
      </c>
      <c r="C26" s="15"/>
      <c r="F26" s="10" t="s">
        <v>115</v>
      </c>
      <c r="G26" s="57">
        <f>($J$9/SIN($B$24))-$F$9*($F$9-$G$9)/(6*($F$9+$G$9))</f>
        <v>0.66868421052631588</v>
      </c>
      <c r="H26" s="10" t="s">
        <v>96</v>
      </c>
      <c r="K26" s="10" t="s">
        <v>115</v>
      </c>
      <c r="L26" s="57">
        <f>($J$9/SIN($B$24))-$F$9*($F$9-$G$9)/(6*($F$9+$G$9))</f>
        <v>0.66868421052631588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58">
        <f>((PI()^2*$B$28*1000000000)/(12*(1-$B$20^2)*$G$23))^(-1/2)*$G$26*1000</f>
        <v>9.6285320026461674E-2</v>
      </c>
      <c r="H27" s="10" t="s">
        <v>118</v>
      </c>
      <c r="K27" s="10" t="s">
        <v>117</v>
      </c>
      <c r="L27" s="58">
        <f>((PI()^2*$B$28*1000000000)/(12*(1-$B$20^2)*$L$23))^(-1/2)*$G$26*1000</f>
        <v>5.444288997285214E-2</v>
      </c>
      <c r="M27" s="10" t="s">
        <v>118</v>
      </c>
    </row>
    <row r="28" spans="1:13" x14ac:dyDescent="0.25">
      <c r="A28" s="59" t="s">
        <v>119</v>
      </c>
      <c r="B28" s="15">
        <v>190</v>
      </c>
      <c r="C28" s="59" t="s">
        <v>120</v>
      </c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A9" workbookViewId="0">
      <selection activeCell="J25" sqref="J25"/>
    </sheetView>
  </sheetViews>
  <sheetFormatPr baseColWidth="10" defaultRowHeight="15" x14ac:dyDescent="0.25"/>
  <cols>
    <col min="6" max="6" width="12.7109375" bestFit="1" customWidth="1"/>
  </cols>
  <sheetData>
    <row r="1" spans="1:12" x14ac:dyDescent="0.25">
      <c r="A1" s="33" t="str">
        <f>CONCATENATE("MEMORIA DE CÁLCULO ",UPPER('Hoja Resumen Especificaciones'!B9))</f>
        <v>MEMORIA DE CÁLCULO TOLVA CONTENEDOR MINERAL.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43594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48">
        <v>43595</v>
      </c>
      <c r="C4" s="10" t="s">
        <v>67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 t="s">
        <v>133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Especificaciones'!C9," kg.")</f>
        <v>1. Sostener 25 kg.</v>
      </c>
      <c r="B11" s="46"/>
      <c r="C11" s="46"/>
      <c r="D11" t="s">
        <v>15</v>
      </c>
      <c r="J11" t="s">
        <v>15</v>
      </c>
    </row>
    <row r="12" spans="1:12" ht="15" customHeight="1" x14ac:dyDescent="0.25">
      <c r="A12" s="45" t="s">
        <v>57</v>
      </c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Especificaciones'!D9,".")</f>
        <v>4. El factor de seguridad es de 1,2.</v>
      </c>
      <c r="B14" s="42"/>
      <c r="C14" s="42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4" x14ac:dyDescent="0.25">
      <c r="A17" s="9" t="s">
        <v>12</v>
      </c>
      <c r="B17" s="15"/>
      <c r="C17" s="15"/>
      <c r="F17" s="15"/>
      <c r="G17" s="9" t="s">
        <v>14</v>
      </c>
      <c r="H17" s="15"/>
      <c r="I17" s="15"/>
      <c r="N17" t="s">
        <v>66</v>
      </c>
    </row>
    <row r="18" spans="1:14" ht="15" customHeight="1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4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4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4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4" ht="45" x14ac:dyDescent="0.25">
      <c r="A22" s="18" t="s">
        <v>63</v>
      </c>
      <c r="B22" s="19">
        <f>B21*PI()/180</f>
        <v>0.52359877559829882</v>
      </c>
      <c r="D22" t="s">
        <v>15</v>
      </c>
      <c r="F22" s="37" t="s">
        <v>32</v>
      </c>
      <c r="G22" s="37"/>
      <c r="H22" s="37"/>
      <c r="I22" s="37"/>
    </row>
    <row r="23" spans="1:14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  <c r="J23" s="9" t="s">
        <v>20</v>
      </c>
    </row>
    <row r="24" spans="1:14" x14ac:dyDescent="0.25">
      <c r="A24" s="15" t="str">
        <f>'Hoja Resumen Especificaciones'!B21</f>
        <v>Mineral</v>
      </c>
      <c r="B24" s="22">
        <f>'Hoja Resumen Especificaciones'!C9</f>
        <v>25</v>
      </c>
      <c r="C24" s="22">
        <f>'Hoja Resumen Especificaciones'!D21</f>
        <v>1.245E-3</v>
      </c>
      <c r="D24" s="22">
        <f>B24/C24</f>
        <v>20080.321285140562</v>
      </c>
      <c r="F24" s="15">
        <v>45</v>
      </c>
      <c r="G24" s="15">
        <v>2.5</v>
      </c>
      <c r="H24" s="15">
        <v>20</v>
      </c>
      <c r="I24" s="15">
        <v>0</v>
      </c>
      <c r="J24" s="15">
        <f>(J27-G24)/(2*TAN(B22))</f>
        <v>28.145825622994259</v>
      </c>
    </row>
    <row r="25" spans="1:14" x14ac:dyDescent="0.25">
      <c r="A25" s="15" t="s">
        <v>23</v>
      </c>
      <c r="B25" s="15">
        <f>'Hoja Resumen Especificaciones'!D9</f>
        <v>1.2</v>
      </c>
      <c r="C25" s="25"/>
      <c r="D25" s="26"/>
      <c r="F25" s="15"/>
      <c r="G25" s="15"/>
      <c r="H25" s="15"/>
      <c r="I25" s="15"/>
      <c r="K25" s="15"/>
      <c r="L25" s="15"/>
    </row>
    <row r="26" spans="1:14" x14ac:dyDescent="0.25">
      <c r="A26" s="15" t="s">
        <v>2</v>
      </c>
      <c r="B26" s="15">
        <f>B25*B24</f>
        <v>30</v>
      </c>
      <c r="C26" s="22">
        <f>'Hoja Resumen Especificaciones'!D21</f>
        <v>1.245E-3</v>
      </c>
      <c r="D26" s="22">
        <f>B26/C26</f>
        <v>24096.385542168675</v>
      </c>
      <c r="F26" s="37" t="s">
        <v>22</v>
      </c>
      <c r="G26" s="37"/>
      <c r="H26" s="37"/>
      <c r="I26" s="37"/>
      <c r="J26" s="9" t="s">
        <v>65</v>
      </c>
      <c r="K26" s="9" t="s">
        <v>64</v>
      </c>
      <c r="L26" s="9" t="s">
        <v>33</v>
      </c>
    </row>
    <row r="27" spans="1:14" x14ac:dyDescent="0.25">
      <c r="A27" s="15" t="str">
        <f>'Hoja Resumen Especificaciones'!B24</f>
        <v>Grasa de sobrepaso</v>
      </c>
      <c r="B27" s="22">
        <f>'Hoja Resumen Especificaciones'!C9</f>
        <v>25</v>
      </c>
      <c r="C27" s="22">
        <f>'Hoja Resumen Especificaciones'!D24</f>
        <v>6.4000000000000005E-4</v>
      </c>
      <c r="D27" s="22">
        <f>B27/C27</f>
        <v>39062.5</v>
      </c>
      <c r="F27" s="15">
        <f>2*(J24^2)*TAN(B22)+J24/COS(B22)*F24*2+2*H24*F24+4*J24*TAN(B22)*H24</f>
        <v>6939.7393327473137</v>
      </c>
      <c r="G27" s="15"/>
      <c r="H27" s="15"/>
      <c r="I27" s="15"/>
      <c r="J27" s="15">
        <v>35</v>
      </c>
      <c r="K27" s="15">
        <f>G24*G24</f>
        <v>6.25</v>
      </c>
      <c r="L27" s="15">
        <f>F24*J27</f>
        <v>1575</v>
      </c>
    </row>
    <row r="28" spans="1:14" x14ac:dyDescent="0.25">
      <c r="A28" s="15" t="s">
        <v>23</v>
      </c>
      <c r="B28" s="15">
        <f>'Hoja Resumen Especificaciones'!D9</f>
        <v>1.2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4" x14ac:dyDescent="0.25">
      <c r="A29" s="15" t="s">
        <v>2</v>
      </c>
      <c r="B29" s="15">
        <f>B28*B27</f>
        <v>30</v>
      </c>
      <c r="C29" s="22">
        <f>'Hoja Resumen Especificaciones'!D24</f>
        <v>6.4000000000000005E-4</v>
      </c>
      <c r="D29" s="47">
        <f>B29/C29</f>
        <v>46874.999999999993</v>
      </c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4" x14ac:dyDescent="0.25">
      <c r="F30" s="15">
        <f>D29-((J24/3)*(L27+K27+SQRT(K27*L27))+(L27*H24))</f>
        <v>-391.03127682446939</v>
      </c>
      <c r="G30" s="15"/>
      <c r="H30" s="22">
        <f>F30*C26</f>
        <v>-0.48683393964646438</v>
      </c>
      <c r="I30" s="15"/>
      <c r="J30" s="23"/>
      <c r="K30" s="23"/>
      <c r="L30" s="23"/>
    </row>
    <row r="31" spans="1:14" x14ac:dyDescent="0.25">
      <c r="J31" s="23"/>
      <c r="K31" s="23"/>
      <c r="L31" s="23"/>
    </row>
  </sheetData>
  <mergeCells count="17"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  <mergeCell ref="A20:B20"/>
    <mergeCell ref="F22:I22"/>
    <mergeCell ref="F26:I26"/>
    <mergeCell ref="G18:I18"/>
    <mergeCell ref="G19:I19"/>
    <mergeCell ref="G20:I20"/>
    <mergeCell ref="A19:C19"/>
  </mergeCells>
  <pageMargins left="0.7" right="0.7" top="0.75" bottom="0.75" header="0.3" footer="0.3"/>
  <pageSetup orientation="portrait" horizontalDpi="360" verticalDpi="360" r:id="rId1"/>
  <drawing r:id="rId2"/>
  <legacyDrawing r:id="rId3"/>
  <oleObjects>
    <mc:AlternateContent xmlns:mc="http://schemas.openxmlformats.org/markup-compatibility/2006">
      <mc:Choice Requires="x14">
        <oleObject progId="Visio.Drawing.11" shapeId="13313" r:id="rId4">
          <objectPr defaultSize="0" autoPict="0" r:id="rId5">
            <anchor moveWithCells="1">
              <from>
                <xdr:col>9</xdr:col>
                <xdr:colOff>476250</xdr:colOff>
                <xdr:row>7</xdr:row>
                <xdr:rowOff>9525</xdr:rowOff>
              </from>
              <to>
                <xdr:col>11</xdr:col>
                <xdr:colOff>476250</xdr:colOff>
                <xdr:row>21</xdr:row>
                <xdr:rowOff>438150</xdr:rowOff>
              </to>
            </anchor>
          </objectPr>
        </oleObject>
      </mc:Choice>
      <mc:Fallback>
        <oleObject progId="Visio.Drawing.11" shapeId="1331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6" workbookViewId="0">
      <selection sqref="A1:N28"/>
    </sheetView>
  </sheetViews>
  <sheetFormatPr baseColWidth="10" defaultRowHeight="15" x14ac:dyDescent="0.25"/>
  <sheetData>
    <row r="1" spans="1:14" x14ac:dyDescent="0.25">
      <c r="A1" s="33" t="str">
        <f>CONCATENATE("MEMORIA DE CÁLCULO ESFUERZOS ",UPPER('Hoja Resumen Especificaciones'!B9))</f>
        <v>MEMORIA DE CÁLCULO ESFUERZOS TOLVA CONTENEDOR MINERAL.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4" x14ac:dyDescent="0.25">
      <c r="A2" s="3" t="s">
        <v>69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</row>
    <row r="3" spans="1:14" ht="30" x14ac:dyDescent="0.25">
      <c r="A3" s="7" t="s">
        <v>27</v>
      </c>
      <c r="B3" s="24">
        <v>43595</v>
      </c>
      <c r="C3" s="34" t="s">
        <v>70</v>
      </c>
      <c r="D3" s="35"/>
      <c r="E3" s="35"/>
      <c r="F3" s="35"/>
      <c r="G3" s="35"/>
      <c r="H3" s="35"/>
      <c r="I3" s="35"/>
      <c r="J3" s="35"/>
      <c r="K3" s="35"/>
      <c r="L3" s="35"/>
      <c r="M3" s="36"/>
    </row>
    <row r="4" spans="1:14" x14ac:dyDescent="0.25">
      <c r="A4" s="7"/>
      <c r="B4" s="24"/>
      <c r="C4" s="4"/>
      <c r="D4" s="5"/>
      <c r="E4" s="5"/>
      <c r="F4" s="5"/>
      <c r="G4" s="5"/>
      <c r="H4" s="5"/>
      <c r="I4" s="5"/>
      <c r="J4" s="5"/>
      <c r="K4" s="5"/>
      <c r="L4" s="5"/>
      <c r="M4" s="6"/>
    </row>
    <row r="5" spans="1:14" x14ac:dyDescent="0.25">
      <c r="A5" s="9" t="s">
        <v>29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4" x14ac:dyDescent="0.25">
      <c r="A6" s="11"/>
      <c r="B6" s="12" t="s">
        <v>71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4" x14ac:dyDescent="0.25">
      <c r="B7" t="s">
        <v>72</v>
      </c>
      <c r="F7" s="9" t="s">
        <v>126</v>
      </c>
      <c r="G7" s="15"/>
      <c r="H7" s="15"/>
      <c r="I7" s="15"/>
      <c r="J7" s="15"/>
      <c r="K7" s="15"/>
    </row>
    <row r="8" spans="1:14" x14ac:dyDescent="0.25">
      <c r="B8" s="53" t="s">
        <v>73</v>
      </c>
      <c r="F8" s="65" t="s">
        <v>122</v>
      </c>
      <c r="G8" s="65" t="s">
        <v>123</v>
      </c>
      <c r="H8" s="65" t="s">
        <v>124</v>
      </c>
      <c r="I8" s="65" t="s">
        <v>125</v>
      </c>
      <c r="J8" s="65" t="s">
        <v>127</v>
      </c>
      <c r="K8" s="64" t="s">
        <v>129</v>
      </c>
    </row>
    <row r="9" spans="1:14" x14ac:dyDescent="0.25">
      <c r="B9" s="53"/>
      <c r="F9" s="22">
        <f>'3. Min Contenedor'!F24/100</f>
        <v>0.45</v>
      </c>
      <c r="G9" s="22">
        <f>'3. Min Contenedor'!G24/100</f>
        <v>2.5000000000000001E-2</v>
      </c>
      <c r="H9" s="22">
        <f>'3. Min Contenedor'!H24/100</f>
        <v>0.2</v>
      </c>
      <c r="I9" s="22">
        <f>'3. Min Contenedor'!I24/100</f>
        <v>0</v>
      </c>
      <c r="J9" s="22">
        <f>'3. Min Contenedor'!J24/100</f>
        <v>0.28145825622994258</v>
      </c>
      <c r="K9" s="15">
        <f>'3. Min Contenedor'!J27/100</f>
        <v>0.35</v>
      </c>
    </row>
    <row r="11" spans="1:14" x14ac:dyDescent="0.25">
      <c r="A11" s="38" t="s">
        <v>74</v>
      </c>
      <c r="B11" s="39"/>
      <c r="C11" s="40"/>
      <c r="F11" s="38" t="s">
        <v>75</v>
      </c>
      <c r="G11" s="39"/>
      <c r="H11" s="39"/>
      <c r="I11" s="40"/>
      <c r="K11" s="38" t="s">
        <v>76</v>
      </c>
      <c r="L11" s="39"/>
      <c r="M11" s="39"/>
      <c r="N11" s="40"/>
    </row>
    <row r="12" spans="1:14" x14ac:dyDescent="0.25">
      <c r="A12" s="9" t="s">
        <v>77</v>
      </c>
      <c r="B12" s="15"/>
      <c r="C12" s="15"/>
      <c r="F12" s="9" t="s">
        <v>78</v>
      </c>
      <c r="G12" s="15"/>
      <c r="H12" s="15"/>
      <c r="I12" s="15"/>
      <c r="K12" s="9" t="s">
        <v>78</v>
      </c>
      <c r="L12" s="15"/>
      <c r="M12" s="15"/>
      <c r="N12" s="15"/>
    </row>
    <row r="13" spans="1:14" x14ac:dyDescent="0.25">
      <c r="A13" s="9" t="s">
        <v>79</v>
      </c>
      <c r="B13" s="9" t="s">
        <v>80</v>
      </c>
      <c r="C13" s="9" t="s">
        <v>81</v>
      </c>
      <c r="F13" s="54" t="s">
        <v>58</v>
      </c>
      <c r="G13" s="15"/>
      <c r="H13" s="9" t="s">
        <v>80</v>
      </c>
      <c r="I13" s="9" t="s">
        <v>81</v>
      </c>
      <c r="K13" s="54" t="s">
        <v>58</v>
      </c>
      <c r="L13" s="15"/>
      <c r="M13" s="9" t="s">
        <v>80</v>
      </c>
      <c r="N13" s="9" t="s">
        <v>81</v>
      </c>
    </row>
    <row r="14" spans="1:14" x14ac:dyDescent="0.25">
      <c r="A14" s="15" t="s">
        <v>82</v>
      </c>
      <c r="B14" s="22">
        <v>9.81</v>
      </c>
      <c r="C14" s="15" t="s">
        <v>83</v>
      </c>
      <c r="F14" s="15">
        <v>1</v>
      </c>
      <c r="G14" s="15" t="s">
        <v>84</v>
      </c>
      <c r="H14" s="30">
        <f>($B$14*$B$15*$B$16)/($B$20*$B$18*$B$21)</f>
        <v>8015.0765625000004</v>
      </c>
      <c r="I14" s="15" t="s">
        <v>85</v>
      </c>
      <c r="K14" s="15">
        <v>1</v>
      </c>
      <c r="L14" s="15" t="s">
        <v>84</v>
      </c>
      <c r="M14" s="22">
        <f>($B$14*$B$15*$B$17)/(($B$20*$B$19*B21))</f>
        <v>964.21973684210525</v>
      </c>
      <c r="N14" s="15" t="s">
        <v>85</v>
      </c>
    </row>
    <row r="15" spans="1:14" x14ac:dyDescent="0.25">
      <c r="A15" s="15" t="s">
        <v>86</v>
      </c>
      <c r="B15" s="22">
        <f>'Hoja Resumen Especificaciones'!C21*1000</f>
        <v>1245</v>
      </c>
      <c r="C15" s="15" t="s">
        <v>87</v>
      </c>
      <c r="D15" t="s">
        <v>88</v>
      </c>
      <c r="E15" t="s">
        <v>15</v>
      </c>
      <c r="F15" s="15">
        <v>2</v>
      </c>
      <c r="G15" s="15" t="s">
        <v>121</v>
      </c>
      <c r="H15" s="62">
        <f>(1-EXP((-$B$21*$B$20*B18*H9)/B16))</f>
        <v>0.26270109914786299</v>
      </c>
      <c r="I15" s="15"/>
      <c r="K15" s="15">
        <v>2</v>
      </c>
      <c r="L15" s="15" t="s">
        <v>89</v>
      </c>
      <c r="M15" s="22">
        <f>(1-EXP((-$B$21*$B$20*B19*J9)/B17))</f>
        <v>0.97170691674754561</v>
      </c>
      <c r="N15" s="15"/>
    </row>
    <row r="16" spans="1:14" x14ac:dyDescent="0.25">
      <c r="A16" s="15" t="s">
        <v>90</v>
      </c>
      <c r="B16" s="22">
        <f>F9*K9</f>
        <v>0.1575</v>
      </c>
      <c r="C16" s="15" t="s">
        <v>91</v>
      </c>
      <c r="D16" t="s">
        <v>92</v>
      </c>
      <c r="E16" t="s">
        <v>15</v>
      </c>
      <c r="F16" s="15">
        <v>3</v>
      </c>
      <c r="G16" s="15" t="s">
        <v>93</v>
      </c>
      <c r="H16" s="30">
        <f>H14*H15</f>
        <v>2105.5694227230256</v>
      </c>
      <c r="I16" s="15" t="s">
        <v>85</v>
      </c>
      <c r="K16" s="15">
        <v>3</v>
      </c>
      <c r="L16" s="15" t="s">
        <v>93</v>
      </c>
      <c r="M16" s="22">
        <f>M14*M15+H16</f>
        <v>3042.5084102769974</v>
      </c>
      <c r="N16" s="15" t="s">
        <v>85</v>
      </c>
    </row>
    <row r="17" spans="1:13" x14ac:dyDescent="0.25">
      <c r="A17" s="15" t="s">
        <v>94</v>
      </c>
      <c r="B17" s="22">
        <f>G9*F9</f>
        <v>1.1250000000000001E-2</v>
      </c>
      <c r="C17" s="15" t="s">
        <v>91</v>
      </c>
    </row>
    <row r="18" spans="1:13" x14ac:dyDescent="0.25">
      <c r="A18" s="15" t="s">
        <v>95</v>
      </c>
      <c r="B18" s="22">
        <f>2*(F9+K9)</f>
        <v>1.6</v>
      </c>
      <c r="C18" s="15" t="s">
        <v>96</v>
      </c>
      <c r="D18" s="53" t="s">
        <v>97</v>
      </c>
      <c r="E18" t="s">
        <v>15</v>
      </c>
      <c r="F18" s="38" t="s">
        <v>98</v>
      </c>
      <c r="G18" s="39"/>
      <c r="H18" s="40"/>
      <c r="I18" s="55"/>
      <c r="K18" s="38" t="s">
        <v>99</v>
      </c>
      <c r="L18" s="39"/>
      <c r="M18" s="40"/>
    </row>
    <row r="19" spans="1:13" x14ac:dyDescent="0.25">
      <c r="A19" s="15" t="s">
        <v>100</v>
      </c>
      <c r="B19" s="22">
        <f>2*(F9+G9)</f>
        <v>0.95000000000000007</v>
      </c>
      <c r="C19" s="15" t="s">
        <v>96</v>
      </c>
      <c r="D19" t="s">
        <v>101</v>
      </c>
      <c r="E19" t="s">
        <v>15</v>
      </c>
      <c r="F19" s="9" t="s">
        <v>102</v>
      </c>
      <c r="G19" s="9" t="s">
        <v>80</v>
      </c>
      <c r="H19" s="9" t="s">
        <v>81</v>
      </c>
      <c r="I19" s="11"/>
      <c r="K19" s="9" t="s">
        <v>102</v>
      </c>
      <c r="L19" s="9" t="s">
        <v>80</v>
      </c>
      <c r="M19" s="9" t="s">
        <v>81</v>
      </c>
    </row>
    <row r="20" spans="1:13" x14ac:dyDescent="0.25">
      <c r="A20" s="15" t="s">
        <v>103</v>
      </c>
      <c r="B20" s="22">
        <v>0.3</v>
      </c>
      <c r="C20" s="15"/>
      <c r="F20" s="15" t="s">
        <v>104</v>
      </c>
      <c r="G20" s="60">
        <f>$B$25*($B$23*COS($B$24)^2+1.5*SIN($B$24)^2)</f>
        <v>3000.4364273803112</v>
      </c>
      <c r="H20" s="15" t="s">
        <v>85</v>
      </c>
      <c r="I20" s="23"/>
      <c r="K20" s="15" t="s">
        <v>104</v>
      </c>
      <c r="L20" s="22">
        <f>$B$26*($B$23*COS($B$24)^2+1.5*SIN($B$24)^2)</f>
        <v>4335.5744846447205</v>
      </c>
      <c r="M20" s="15" t="s">
        <v>85</v>
      </c>
    </row>
    <row r="21" spans="1:13" x14ac:dyDescent="0.25">
      <c r="A21" s="15" t="s">
        <v>105</v>
      </c>
      <c r="B21" s="22">
        <v>0.5</v>
      </c>
      <c r="C21" s="15"/>
      <c r="F21" s="15" t="s">
        <v>106</v>
      </c>
      <c r="G21" s="60">
        <f>$B$23*$B$25*(COS($B$24)^2)</f>
        <v>631.67082681690783</v>
      </c>
      <c r="H21" s="15" t="s">
        <v>85</v>
      </c>
      <c r="I21" s="23"/>
      <c r="K21" s="15" t="s">
        <v>106</v>
      </c>
      <c r="L21" s="22">
        <f>$B$23*$B$26*(COS($B$24)^2)</f>
        <v>912.75252308309962</v>
      </c>
      <c r="M21" s="15" t="s">
        <v>85</v>
      </c>
    </row>
    <row r="22" spans="1:13" x14ac:dyDescent="0.25">
      <c r="A22" s="15" t="s">
        <v>107</v>
      </c>
      <c r="B22" s="22">
        <v>0.08</v>
      </c>
      <c r="C22" s="15" t="s">
        <v>96</v>
      </c>
      <c r="F22" s="15" t="s">
        <v>108</v>
      </c>
      <c r="G22" s="60">
        <f>3*((B16/B18)*(B14*B15*B21)/(SQRT(B20)))</f>
        <v>3292.5286750591622</v>
      </c>
      <c r="H22" s="15" t="s">
        <v>85</v>
      </c>
      <c r="I22" s="23"/>
      <c r="K22" s="15" t="s">
        <v>108</v>
      </c>
      <c r="L22" s="22">
        <f>3*((B17/B19)*(B14*B15*B21)/(SQRT(B20)))</f>
        <v>396.09367519508714</v>
      </c>
      <c r="M22" s="15" t="s">
        <v>85</v>
      </c>
    </row>
    <row r="23" spans="1:13" x14ac:dyDescent="0.25">
      <c r="A23" s="15" t="s">
        <v>109</v>
      </c>
      <c r="B23" s="15">
        <v>1.2</v>
      </c>
      <c r="C23" s="15"/>
      <c r="F23" s="56" t="s">
        <v>110</v>
      </c>
      <c r="G23" s="61">
        <f>G20+G22+2*B25*B21</f>
        <v>8398.5345251624985</v>
      </c>
      <c r="H23" s="56" t="s">
        <v>85</v>
      </c>
      <c r="I23" s="23"/>
      <c r="K23" s="15" t="s">
        <v>110</v>
      </c>
      <c r="L23" s="22">
        <f>L22+L21</f>
        <v>1308.8461982781869</v>
      </c>
      <c r="M23" s="15" t="s">
        <v>85</v>
      </c>
    </row>
    <row r="24" spans="1:13" x14ac:dyDescent="0.25">
      <c r="A24" s="15" t="s">
        <v>128</v>
      </c>
      <c r="B24" s="22">
        <f>60*PI()/180</f>
        <v>1.0471975511965976</v>
      </c>
      <c r="C24" s="15" t="s">
        <v>111</v>
      </c>
    </row>
    <row r="25" spans="1:13" x14ac:dyDescent="0.25">
      <c r="A25" s="15" t="s">
        <v>112</v>
      </c>
      <c r="B25" s="22">
        <f>$H$16</f>
        <v>2105.5694227230256</v>
      </c>
      <c r="C25" s="15" t="s">
        <v>85</v>
      </c>
      <c r="F25" s="9" t="s">
        <v>113</v>
      </c>
      <c r="G25" s="10"/>
      <c r="H25" s="10"/>
      <c r="K25" s="9" t="s">
        <v>113</v>
      </c>
      <c r="L25" s="10"/>
      <c r="M25" s="10"/>
    </row>
    <row r="26" spans="1:13" x14ac:dyDescent="0.25">
      <c r="A26" s="15" t="s">
        <v>114</v>
      </c>
      <c r="B26" s="22">
        <f>M16</f>
        <v>3042.5084102769974</v>
      </c>
      <c r="C26" s="15"/>
      <c r="F26" s="10" t="s">
        <v>115</v>
      </c>
      <c r="G26" s="57">
        <f>($J$9/SIN($B$24))</f>
        <v>0.32500000000000007</v>
      </c>
      <c r="H26" s="10" t="s">
        <v>96</v>
      </c>
      <c r="K26" s="10" t="s">
        <v>115</v>
      </c>
      <c r="L26" s="57">
        <f>($J$9/SIN($B$24))</f>
        <v>0.32500000000000007</v>
      </c>
      <c r="M26" s="10" t="s">
        <v>96</v>
      </c>
    </row>
    <row r="27" spans="1:13" x14ac:dyDescent="0.25">
      <c r="A27" s="15" t="s">
        <v>116</v>
      </c>
      <c r="B27" s="22">
        <f>0.421/COS(B24)</f>
        <v>0.84199999999999975</v>
      </c>
      <c r="C27" s="15" t="s">
        <v>96</v>
      </c>
      <c r="F27" s="10" t="s">
        <v>117</v>
      </c>
      <c r="G27" s="58">
        <f>((PI()^2*$B$28*1000000000)/(12*(1-$B$20^2)*$G$23))^(-1/2)*$G$26*1000</f>
        <v>7.1873660342297321E-2</v>
      </c>
      <c r="H27" s="10" t="s">
        <v>118</v>
      </c>
      <c r="K27" s="10" t="s">
        <v>117</v>
      </c>
      <c r="L27" s="58">
        <f>((PI()^2*$B$28*1000000000)/(12*(1-$B$20^2)*$L$23))^(-1/2)*$G$26*1000</f>
        <v>2.8373461037813439E-2</v>
      </c>
      <c r="M27" s="10" t="s">
        <v>118</v>
      </c>
    </row>
    <row r="28" spans="1:13" x14ac:dyDescent="0.25">
      <c r="A28" s="59" t="s">
        <v>119</v>
      </c>
      <c r="B28" s="15">
        <v>190</v>
      </c>
      <c r="C28" s="59" t="s">
        <v>120</v>
      </c>
    </row>
  </sheetData>
  <mergeCells count="8">
    <mergeCell ref="F18:H18"/>
    <mergeCell ref="K18:M18"/>
    <mergeCell ref="A1:M1"/>
    <mergeCell ref="B2:M2"/>
    <mergeCell ref="C3:M3"/>
    <mergeCell ref="A11:C11"/>
    <mergeCell ref="F11:I11"/>
    <mergeCell ref="K11:N11"/>
  </mergeCells>
  <hyperlinks>
    <hyperlink ref="B8" r:id="rId1"/>
    <hyperlink ref="D18" r:id="rId2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"/>
  <sheetViews>
    <sheetView topLeftCell="A13" workbookViewId="0">
      <selection activeCell="D22" sqref="D22"/>
    </sheetView>
  </sheetViews>
  <sheetFormatPr baseColWidth="10" defaultRowHeight="15" x14ac:dyDescent="0.25"/>
  <cols>
    <col min="1" max="1" width="12.5703125" bestFit="1" customWidth="1"/>
  </cols>
  <sheetData>
    <row r="1" spans="1:12" x14ac:dyDescent="0.25">
      <c r="A1" s="33" t="str">
        <f>CONCATENATE("MEMORIA DE CÁLCULO ",UPPER('Hoja Resumen Especificaciones'!B10))</f>
        <v>MEMORIA DE CÁLCULO TOLVA CONTENEDOR LEVADURA.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x14ac:dyDescent="0.25">
      <c r="A2" s="3" t="s">
        <v>34</v>
      </c>
      <c r="B2" s="34" t="s">
        <v>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1:12" ht="30" x14ac:dyDescent="0.25">
      <c r="A3" s="7" t="s">
        <v>27</v>
      </c>
      <c r="B3" s="8">
        <v>43594</v>
      </c>
      <c r="C3" s="34" t="s">
        <v>28</v>
      </c>
      <c r="D3" s="35"/>
      <c r="E3" s="35"/>
      <c r="F3" s="35"/>
      <c r="G3" s="35"/>
      <c r="H3" s="35"/>
      <c r="I3" s="35"/>
      <c r="J3" s="35"/>
      <c r="K3" s="35"/>
      <c r="L3" s="36"/>
    </row>
    <row r="4" spans="1:12" x14ac:dyDescent="0.25">
      <c r="A4" s="9" t="s">
        <v>29</v>
      </c>
      <c r="B4" s="49">
        <v>43595</v>
      </c>
      <c r="C4" s="10" t="s">
        <v>67</v>
      </c>
      <c r="D4" s="10"/>
      <c r="E4" s="10"/>
      <c r="F4" s="10"/>
      <c r="G4" s="10"/>
      <c r="H4" s="10"/>
      <c r="I4" s="10"/>
      <c r="J4" s="10"/>
      <c r="K4" s="10"/>
      <c r="L4" s="10"/>
    </row>
    <row r="5" spans="1:12" x14ac:dyDescent="0.25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25">
      <c r="A6" s="11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7" spans="1:12" x14ac:dyDescent="0.25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9" spans="1:12" x14ac:dyDescent="0.25">
      <c r="D9" s="13"/>
      <c r="E9" s="1"/>
    </row>
    <row r="10" spans="1:12" x14ac:dyDescent="0.25">
      <c r="A10" s="37" t="s">
        <v>30</v>
      </c>
      <c r="B10" s="37"/>
      <c r="C10" s="37"/>
      <c r="D10" t="s">
        <v>15</v>
      </c>
      <c r="J10" t="s">
        <v>15</v>
      </c>
    </row>
    <row r="11" spans="1:12" x14ac:dyDescent="0.25">
      <c r="A11" s="46" t="str">
        <f>CONCATENATE("1. Sostener ",'Hoja Resumen Especificaciones'!C10," kg.")</f>
        <v>1. Sostener 1 kg.</v>
      </c>
      <c r="B11" s="46"/>
      <c r="C11" s="46"/>
      <c r="D11" t="s">
        <v>15</v>
      </c>
      <c r="J11" t="s">
        <v>15</v>
      </c>
    </row>
    <row r="12" spans="1:12" ht="15" customHeight="1" x14ac:dyDescent="0.25">
      <c r="A12" s="45" t="s">
        <v>57</v>
      </c>
      <c r="B12" s="45"/>
      <c r="C12" s="45"/>
      <c r="D12" t="s">
        <v>15</v>
      </c>
      <c r="J12" t="s">
        <v>15</v>
      </c>
    </row>
    <row r="13" spans="1:12" x14ac:dyDescent="0.25">
      <c r="A13" s="42" t="s">
        <v>56</v>
      </c>
      <c r="B13" s="42"/>
      <c r="C13" s="42"/>
      <c r="D13" t="s">
        <v>15</v>
      </c>
      <c r="H13" t="s">
        <v>15</v>
      </c>
      <c r="J13" t="s">
        <v>15</v>
      </c>
    </row>
    <row r="14" spans="1:12" x14ac:dyDescent="0.25">
      <c r="A14" s="42" t="str">
        <f>CONCATENATE("4. El factor de seguridad es de ",'Hoja Resumen Especificaciones'!D10,".")</f>
        <v>4. El factor de seguridad es de 2.</v>
      </c>
      <c r="B14" s="42"/>
      <c r="C14" s="42"/>
      <c r="D14" t="s">
        <v>15</v>
      </c>
      <c r="J14" t="s">
        <v>15</v>
      </c>
    </row>
    <row r="15" spans="1:12" x14ac:dyDescent="0.25">
      <c r="A15" s="14"/>
      <c r="B15" s="14"/>
      <c r="C15" s="14"/>
      <c r="J15" t="s">
        <v>15</v>
      </c>
    </row>
    <row r="16" spans="1:12" x14ac:dyDescent="0.25">
      <c r="A16" s="38" t="s">
        <v>7</v>
      </c>
      <c r="B16" s="39"/>
      <c r="C16" s="40"/>
      <c r="D16" t="s">
        <v>15</v>
      </c>
      <c r="E16" t="s">
        <v>15</v>
      </c>
    </row>
    <row r="17" spans="1:12" x14ac:dyDescent="0.25">
      <c r="A17" s="9" t="s">
        <v>12</v>
      </c>
      <c r="B17" s="15"/>
      <c r="C17" s="15"/>
      <c r="F17" s="15"/>
      <c r="G17" s="9" t="s">
        <v>14</v>
      </c>
      <c r="H17" s="15"/>
      <c r="I17" s="15"/>
    </row>
    <row r="18" spans="1:12" ht="15" customHeight="1" x14ac:dyDescent="0.25">
      <c r="A18" s="41" t="s">
        <v>36</v>
      </c>
      <c r="B18" s="41"/>
      <c r="C18" s="41"/>
      <c r="F18" s="15">
        <v>1</v>
      </c>
      <c r="G18" s="42" t="s">
        <v>16</v>
      </c>
      <c r="H18" s="42"/>
      <c r="I18" s="42"/>
    </row>
    <row r="19" spans="1:12" x14ac:dyDescent="0.25">
      <c r="A19" s="43"/>
      <c r="B19" s="43"/>
      <c r="C19" s="43"/>
      <c r="F19" s="15">
        <v>2</v>
      </c>
      <c r="G19" s="42" t="s">
        <v>17</v>
      </c>
      <c r="H19" s="42"/>
      <c r="I19" s="42"/>
    </row>
    <row r="20" spans="1:12" x14ac:dyDescent="0.25">
      <c r="A20" s="44" t="s">
        <v>31</v>
      </c>
      <c r="B20" s="44"/>
      <c r="F20" s="15">
        <v>3</v>
      </c>
      <c r="G20" s="42" t="s">
        <v>19</v>
      </c>
      <c r="H20" s="42"/>
      <c r="I20" s="42"/>
    </row>
    <row r="21" spans="1:12" ht="30" x14ac:dyDescent="0.25">
      <c r="A21" s="17" t="s">
        <v>62</v>
      </c>
      <c r="B21" s="15">
        <v>30</v>
      </c>
      <c r="D21" t="s">
        <v>15</v>
      </c>
      <c r="I21" t="s">
        <v>15</v>
      </c>
    </row>
    <row r="22" spans="1:12" ht="45" x14ac:dyDescent="0.25">
      <c r="A22" s="18" t="s">
        <v>63</v>
      </c>
      <c r="B22" s="19">
        <f>B21*PI()/180</f>
        <v>0.52359877559829882</v>
      </c>
      <c r="D22" t="s">
        <v>15</v>
      </c>
      <c r="F22" s="37" t="s">
        <v>32</v>
      </c>
      <c r="G22" s="37"/>
      <c r="H22" s="37"/>
      <c r="I22" s="37"/>
    </row>
    <row r="23" spans="1:12" ht="30" x14ac:dyDescent="0.25">
      <c r="A23" s="32" t="s">
        <v>35</v>
      </c>
      <c r="B23" s="21" t="s">
        <v>55</v>
      </c>
      <c r="C23" s="20" t="s">
        <v>13</v>
      </c>
      <c r="D23" s="20" t="s">
        <v>8</v>
      </c>
      <c r="F23" s="9" t="s">
        <v>11</v>
      </c>
      <c r="G23" s="9" t="s">
        <v>9</v>
      </c>
      <c r="H23" s="9" t="s">
        <v>10</v>
      </c>
      <c r="I23" s="9" t="s">
        <v>18</v>
      </c>
      <c r="J23" s="9" t="s">
        <v>20</v>
      </c>
    </row>
    <row r="24" spans="1:12" x14ac:dyDescent="0.25">
      <c r="A24" s="15" t="str">
        <f>'Hoja Resumen Especificaciones'!B22</f>
        <v>Levadura</v>
      </c>
      <c r="B24" s="22">
        <f>'Hoja Resumen Especificaciones'!C10</f>
        <v>1</v>
      </c>
      <c r="C24" s="22">
        <f>'Hoja Resumen Especificaciones'!D22</f>
        <v>7.0999999999999991E-4</v>
      </c>
      <c r="D24" s="22">
        <f>B24/C24</f>
        <v>1408.4507042253522</v>
      </c>
      <c r="F24" s="15">
        <v>15</v>
      </c>
      <c r="G24" s="15">
        <v>1.3</v>
      </c>
      <c r="H24" s="15">
        <v>10</v>
      </c>
      <c r="I24" s="15">
        <v>0</v>
      </c>
      <c r="J24" s="15">
        <f>(J27-G24)/(2*TAN(B22))</f>
        <v>9.2664718204934928</v>
      </c>
    </row>
    <row r="25" spans="1:12" x14ac:dyDescent="0.25">
      <c r="A25" s="15" t="s">
        <v>23</v>
      </c>
      <c r="B25" s="15">
        <f>'Hoja Resumen Especificaciones'!D10</f>
        <v>2</v>
      </c>
      <c r="C25" s="25"/>
      <c r="D25" s="26"/>
      <c r="F25" s="15"/>
      <c r="G25" s="15"/>
      <c r="H25" s="15"/>
      <c r="I25" s="15"/>
      <c r="J25" s="15"/>
      <c r="K25" s="15"/>
      <c r="L25" s="15"/>
    </row>
    <row r="26" spans="1:12" x14ac:dyDescent="0.25">
      <c r="A26" s="15" t="s">
        <v>2</v>
      </c>
      <c r="B26" s="15">
        <f>B25*B24</f>
        <v>2</v>
      </c>
      <c r="C26" s="22">
        <f>C24</f>
        <v>7.0999999999999991E-4</v>
      </c>
      <c r="D26" s="47">
        <f>B26/C26</f>
        <v>2816.9014084507044</v>
      </c>
      <c r="F26" s="37" t="s">
        <v>22</v>
      </c>
      <c r="G26" s="37"/>
      <c r="H26" s="37"/>
      <c r="I26" s="37"/>
      <c r="J26" s="9" t="s">
        <v>65</v>
      </c>
      <c r="K26" s="9" t="s">
        <v>64</v>
      </c>
      <c r="L26" s="9" t="s">
        <v>33</v>
      </c>
    </row>
    <row r="27" spans="1:12" x14ac:dyDescent="0.25">
      <c r="A27" s="15" t="str">
        <f>'Hoja Resumen Especificaciones'!B23</f>
        <v>Secuestrante</v>
      </c>
      <c r="B27" s="22">
        <f>'Hoja Resumen Especificaciones'!C10</f>
        <v>1</v>
      </c>
      <c r="C27" s="22">
        <f>'Hoja Resumen Especificaciones'!D23</f>
        <v>1.0009999999999999E-3</v>
      </c>
      <c r="D27" s="22">
        <f>B27/C27</f>
        <v>999.00099900099906</v>
      </c>
      <c r="F27" s="15">
        <f>2*(J24^2)*TAN(B22)+J24/COS(B22)*F24*2+2*H24*F24+4*J24*TAN(B22)*H24</f>
        <v>934.15124847928041</v>
      </c>
      <c r="G27" s="15"/>
      <c r="H27" s="15"/>
      <c r="I27" s="15"/>
      <c r="J27" s="15">
        <v>12</v>
      </c>
      <c r="K27" s="15">
        <f>G24*G24</f>
        <v>1.6900000000000002</v>
      </c>
      <c r="L27" s="15">
        <f>F24*2*J24*TAN(B22)</f>
        <v>160.49999999999997</v>
      </c>
    </row>
    <row r="28" spans="1:12" x14ac:dyDescent="0.25">
      <c r="A28" s="15" t="s">
        <v>23</v>
      </c>
      <c r="B28" s="15">
        <f>'Hoja Resumen Especificaciones'!D10</f>
        <v>2</v>
      </c>
      <c r="C28" s="25"/>
      <c r="D28" s="26"/>
      <c r="F28" s="15"/>
      <c r="G28" s="15"/>
      <c r="H28" s="15"/>
      <c r="I28" s="15"/>
      <c r="J28" s="23"/>
      <c r="K28" s="23"/>
      <c r="L28" s="23"/>
    </row>
    <row r="29" spans="1:12" x14ac:dyDescent="0.25">
      <c r="A29" s="15" t="s">
        <v>2</v>
      </c>
      <c r="B29" s="15">
        <f>B28*B27</f>
        <v>2</v>
      </c>
      <c r="C29" s="22">
        <f>C27</f>
        <v>1.0009999999999999E-3</v>
      </c>
      <c r="D29" s="22">
        <f>B29/C29</f>
        <v>1998.0019980019981</v>
      </c>
      <c r="F29" s="3" t="s">
        <v>21</v>
      </c>
      <c r="G29" s="3"/>
      <c r="H29" s="3" t="s">
        <v>132</v>
      </c>
      <c r="I29" s="3"/>
      <c r="J29" s="23"/>
      <c r="K29" s="23"/>
      <c r="L29" s="23"/>
    </row>
    <row r="30" spans="1:12" x14ac:dyDescent="0.25">
      <c r="F30" s="15">
        <f>D29-((J24/3)*(L27+K27+SQRT(K27*L27))+(L27*H24))</f>
        <v>-158.84579616356655</v>
      </c>
      <c r="G30" s="15"/>
      <c r="H30" s="22">
        <f>F30*C26</f>
        <v>-0.11278051527613224</v>
      </c>
      <c r="I30" s="15"/>
      <c r="J30" s="23"/>
      <c r="K30" s="23"/>
      <c r="L30" s="23"/>
    </row>
  </sheetData>
  <mergeCells count="17">
    <mergeCell ref="A1:L1"/>
    <mergeCell ref="B2:L2"/>
    <mergeCell ref="C3:L3"/>
    <mergeCell ref="A10:C10"/>
    <mergeCell ref="A11:C11"/>
    <mergeCell ref="A12:C12"/>
    <mergeCell ref="A13:C13"/>
    <mergeCell ref="A14:C14"/>
    <mergeCell ref="A16:C16"/>
    <mergeCell ref="A18:C18"/>
    <mergeCell ref="A20:B20"/>
    <mergeCell ref="F22:I22"/>
    <mergeCell ref="F26:I26"/>
    <mergeCell ref="G18:I18"/>
    <mergeCell ref="G19:I19"/>
    <mergeCell ref="G20:I20"/>
    <mergeCell ref="A19:C19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4337" r:id="rId3">
          <objectPr defaultSize="0" autoPict="0" r:id="rId4">
            <anchor moveWithCells="1">
              <from>
                <xdr:col>10</xdr:col>
                <xdr:colOff>219075</xdr:colOff>
                <xdr:row>7</xdr:row>
                <xdr:rowOff>28575</xdr:rowOff>
              </from>
              <to>
                <xdr:col>12</xdr:col>
                <xdr:colOff>361950</xdr:colOff>
                <xdr:row>22</xdr:row>
                <xdr:rowOff>190500</xdr:rowOff>
              </to>
            </anchor>
          </objectPr>
        </oleObject>
      </mc:Choice>
      <mc:Fallback>
        <oleObject progId="Visio.Drawing.11" shapeId="1433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 Resumen Especificaciones</vt:lpstr>
      <vt:lpstr>1. Con Contenedor</vt:lpstr>
      <vt:lpstr>1. Con Cont Conico</vt:lpstr>
      <vt:lpstr>1.Con Contenedor Esf</vt:lpstr>
      <vt:lpstr>2. CC Contenedor</vt:lpstr>
      <vt:lpstr>2.CC Contenedor Esf</vt:lpstr>
      <vt:lpstr>3. Min Contenedor</vt:lpstr>
      <vt:lpstr>3. Min Contenedor Esf</vt:lpstr>
      <vt:lpstr>4. Lev Contenedor</vt:lpstr>
      <vt:lpstr>4. Lev Contenedof Esf</vt:lpstr>
      <vt:lpstr>5. Tolva Romana</vt:lpstr>
      <vt:lpstr>6 Tolva Med Min-Grasa</vt:lpstr>
      <vt:lpstr>7 Tolva Med Lev-Secuestrante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2019-05-10T22:51:41Z</dcterms:modified>
</cp:coreProperties>
</file>