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Formas para tolvas" sheetId="9" r:id="rId8"/>
    <sheet name="Dimensionado tolva levadura" sheetId="7" r:id="rId9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romana'!$S$27,'Calculo tolva romana'!$U$27,'Calculo tolva romana'!$V$27</definedName>
    <definedName name="solver_adj" localSheetId="8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8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8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8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8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romana'!$S$27:$W$27</definedName>
    <definedName name="solver_lhs1" localSheetId="8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romana'!$S$33</definedName>
    <definedName name="solver_lhs2" localSheetId="8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romana'!$U$27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romana'!$V$27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8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8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8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8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8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8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8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8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romana'!$S$30</definedName>
    <definedName name="solver_opt" localSheetId="8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8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8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8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8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8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8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8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8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8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8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8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8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8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8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8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8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9" l="1"/>
  <c r="C12" i="9"/>
  <c r="O31" i="3" l="1"/>
  <c r="O30" i="3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9" i="3" l="1"/>
  <c r="X11" i="1" l="1"/>
  <c r="X9" i="1"/>
  <c r="Q31" i="3" l="1"/>
  <c r="P30" i="3" l="1"/>
  <c r="W27" i="3" l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30" i="3"/>
  <c r="Z27" i="3"/>
  <c r="Y27" i="3"/>
  <c r="S33" i="3" s="1"/>
  <c r="T23" i="3"/>
  <c r="J26" i="1"/>
  <c r="G14" i="3"/>
  <c r="Q28" i="3"/>
  <c r="O24" i="3"/>
  <c r="Q29" i="3" l="1"/>
  <c r="Q30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4" i="3" l="1"/>
  <c r="B38" i="3"/>
  <c r="E27" i="3"/>
  <c r="H19" i="3"/>
  <c r="K7" i="3"/>
  <c r="H16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2" i="3"/>
  <c r="B19" i="3"/>
  <c r="C14" i="3"/>
  <c r="B14" i="3"/>
  <c r="A14" i="3"/>
  <c r="E7" i="3"/>
  <c r="B35" i="3" l="1"/>
  <c r="D14" i="4"/>
  <c r="B15" i="4" s="1"/>
  <c r="D14" i="3"/>
  <c r="B16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<sst xmlns="http://schemas.openxmlformats.org/spreadsheetml/2006/main" count="750" uniqueCount="254">
  <si>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</si>
  <si>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</si>
  <si>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</si>
  <si>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</si>
  <si>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</si>
  <si>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</si>
  <si>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</si>
  <si>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</si>
  <si>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</si>
  <si>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</si>
  <si>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</si>
  <si>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</si>
  <si>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</si>
  <si>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</si>
  <si>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</si>
  <si>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</si>
  <si>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</si>
  <si>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</si>
  <si>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</si>
  <si>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</si>
  <si>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</si>
  <si>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</si>
  <si>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</si>
  <si>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</si>
  <si>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</si>
  <si>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</si>
  <si>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</si>
  <si>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</si>
  <si>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</si>
  <si>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</si>
  <si>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</si>
  <si>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</si>
  <si>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</si>
  <si>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</si>
  <si>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</si>
  <si>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</si>
  <si>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</si>
  <si>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</si>
  <si>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</si>
  <si>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</si>
  <si>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</si>
  <si>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</si>
  <si>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</si>
  <si>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</si>
  <si>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</si>
  <si>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</si>
  <si>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</si>
  <si>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</si>
  <si>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</si>
  <si>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</si>
  <si>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</si>
  <si>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</si>
  <si>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</si>
  <si>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</si>
  <si>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</si>
  <si>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</si>
  <si>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</si>
  <si>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</si>
  <si>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</si>
  <si>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</si>
  <si>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</si>
  <si>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</si>
  <si>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</si>
  <si>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</si>
  <si>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</si>
  <si>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</si>
  <si>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</si>
  <si>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</si>
  <si>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</si>
  <si>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</si>
  <si>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</si>
  <si>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</si>
  <si>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</si>
  <si>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</si>
  <si>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</si>
  <si>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</si>
  <si>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</si>
  <si>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</si>
  <si>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</si>
  <si>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</si>
  <si>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</si>
  <si>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</si>
  <si>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</si>
  <si>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</si>
  <si>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</si>
  <si>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</si>
  <si>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</si>
  <si>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</si>
  <si>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</si>
  <si>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</si>
  <si>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</si>
  <si>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</si>
  <si>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</si>
  <si>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</si>
  <si>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</si>
  <si>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</si>
  <si>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Espeficicaciones de diseño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</si>
  <si>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</si>
  <si>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</si>
  <si>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</si>
  <si>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</si>
  <si>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</si>
  <si>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</si>
  <si>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</si>
  <si>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</si>
  <si>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</si>
  <si>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</si>
  <si>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</si>
  <si>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</si>
  <si>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adicional (g)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</si>
  <si>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</si>
  <si>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</si>
  <si>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</si>
  <si>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</si>
  <si>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</si>
  <si>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Relación (con./adic.)</t>
  </si>
  <si>
    <t>Entrada</t>
  </si>
  <si>
    <t>Tabla con resultados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</si>
  <si>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</si>
  <si>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</si>
  <si>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</si>
  <si>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</si>
  <si>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</si>
  <si>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</si>
  <si>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</si>
  <si>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</si>
  <si>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</si>
  <si>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</si>
  <si>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</si>
  <si>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</si>
  <si>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</si>
  <si>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</si>
  <si>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</si>
  <si>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</si>
  <si>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</si>
  <si>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</si>
  <si>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</si>
  <si>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</si>
  <si>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</si>
  <si>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</si>
  <si>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</si>
  <si>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</si>
  <si>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</si>
  <si>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</si>
  <si>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</si>
  <si>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</si>
  <si>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</si>
  <si>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</si>
  <si>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</si>
  <si>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</si>
  <si>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</si>
  <si>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</si>
  <si>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</si>
  <si>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</si>
  <si>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</si>
  <si>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</si>
  <si>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</si>
  <si>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</si>
  <si>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</si>
  <si>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</si>
  <si>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</si>
  <si>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</si>
  <si>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</si>
  <si>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</si>
  <si>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</si>
  <si>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</si>
  <si>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</si>
  <si>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</si>
  <si>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</si>
  <si>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</si>
  <si>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</si>
  <si>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</si>
  <si>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</si>
  <si>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</si>
  <si>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</si>
  <si>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</si>
  <si>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</si>
  <si>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</si>
  <si>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</si>
  <si>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</si>
  <si>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</si>
  <si>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</si>
  <si>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</si>
  <si>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</si>
  <si>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</si>
  <si>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</si>
  <si>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</si>
  <si>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</si>
  <si>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</si>
  <si>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</si>
  <si>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</si>
  <si>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</si>
  <si>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</si>
  <si>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</si>
  <si>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</si>
  <si>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</si>
  <si>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</si>
  <si>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</si>
  <si>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</si>
  <si>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</si>
  <si>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</si>
  <si>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</si>
  <si>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</si>
  <si>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</si>
  <si>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</si>
  <si>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</si>
  <si>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</si>
  <si>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</si>
  <si>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</si>
  <si>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</si>
  <si>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</si>
  <si>
    <t>Calculo de medidas para la tolva romana</t>
  </si>
  <si>
    <t>1. La tolva tiene que sostener hasta 15 kg del alimento más ligero, entre el concentrado y adicional</t>
  </si>
  <si>
    <t>2. Alojar 4 celdas de carga</t>
  </si>
  <si>
    <t>3. Minizar la cantidad de material necesario.</t>
  </si>
  <si>
    <t>4. El ángulo de reposo del material de 60° con las paredes</t>
  </si>
  <si>
    <t>5. El actuador a 90°</t>
  </si>
  <si>
    <t>6. Simétrico.</t>
  </si>
  <si>
    <t>7. La apertura debe ser de 10 cm.</t>
  </si>
  <si>
    <t>8. Factor de seguridad de 1,5</t>
  </si>
  <si>
    <t>Según datos de DP</t>
  </si>
  <si>
    <t>Menor densidad de Citrocom</t>
  </si>
  <si>
    <t>Determinar el volumen máximo y la masa de cada uno de los alimentos.</t>
  </si>
  <si>
    <t>Se aplicó Solver  para minizar el material.</t>
  </si>
  <si>
    <t>Sujeto a restricción de masa</t>
  </si>
  <si>
    <t>Se pretende evaluar el desempeño de dos tolvas, que según la literatura son las mejores para el contenedor de levadura. Así mismo se evaluó el mismo desempeño para otros materiales.</t>
  </si>
  <si>
    <t>Se evaluó de la sigueinte manera.</t>
  </si>
  <si>
    <t>1. Medir la masa de salida dada una masa inicial para calcular una diferencia de masas.</t>
  </si>
  <si>
    <t>2. Medir el tiempo que le toma descargar todo el material.</t>
  </si>
  <si>
    <t>3. Medir 10 muestras para cada uno.</t>
  </si>
  <si>
    <t>No.</t>
  </si>
  <si>
    <t>Cantidad</t>
  </si>
  <si>
    <t>Grasa de sobrepaso</t>
  </si>
  <si>
    <t>Tiempo (s).</t>
  </si>
  <si>
    <t>Diferencia (g).</t>
  </si>
  <si>
    <t>Masa (g).</t>
  </si>
  <si>
    <t>Cantidad (g)</t>
  </si>
  <si>
    <t>Notas</t>
  </si>
  <si>
    <t>*</t>
  </si>
  <si>
    <t>*****</t>
  </si>
  <si>
    <t>Nota</t>
  </si>
  <si>
    <t>No se realizaron pruebas con el mineral, simplemente porque no fluje a través del agujero.</t>
  </si>
  <si>
    <t>Secuestrante</t>
  </si>
  <si>
    <t>No fluje a traves de esta geometría</t>
  </si>
  <si>
    <t>Boca de 1in x  6 cm G1</t>
  </si>
  <si>
    <t>Condicion</t>
  </si>
  <si>
    <t>592 con plato</t>
  </si>
  <si>
    <t>Fluyó la parte cuadrada</t>
  </si>
  <si>
    <t>Fluyó la parte cuadrada primero, luego todo</t>
  </si>
  <si>
    <t>Fluyó todo, se llenóen proporciones 2:3, 3 la parte ranurada.</t>
  </si>
  <si>
    <t xml:space="preserve">Se llenó todo y fluyó la parte ranirada. </t>
  </si>
  <si>
    <t>Se decidio hacer pruebas con la forma 3</t>
  </si>
  <si>
    <t>Boca de 1in x  6 cm G3</t>
  </si>
  <si>
    <t>500 sin 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</si>
</sst>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Z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148</v>
      </c>
    </row>
    <row r="5" spans="1:26" x14ac:dyDescent="0.25">
      <c r="O5" s="5">
        <v>43503</v>
      </c>
      <c r="P5" t="s">
        <v>152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151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136</v>
      </c>
      <c r="B21">
        <v>6000</v>
      </c>
      <c r="O21" t="s">
        <v>136</v>
      </c>
      <c r="P21">
        <v>6000</v>
      </c>
    </row>
    <row r="22" spans="1:27" x14ac:dyDescent="0.25">
      <c r="A22" t="s">
        <v>138</v>
      </c>
      <c r="B22">
        <v>50</v>
      </c>
      <c r="I22" t="s">
        <v>94</v>
      </c>
      <c r="O22" t="s">
        <v>138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149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136</v>
      </c>
      <c r="B21">
        <v>2000</v>
      </c>
      <c r="O21" t="s">
        <v>136</v>
      </c>
      <c r="P21">
        <v>2000</v>
      </c>
    </row>
    <row r="22" spans="1:27" x14ac:dyDescent="0.25">
      <c r="A22" t="s">
        <v>137</v>
      </c>
      <c r="B22">
        <v>50</v>
      </c>
      <c r="I22" t="s">
        <v>94</v>
      </c>
      <c r="O22" t="s">
        <v>137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L11" sqref="L11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22.7109375" customWidth="1"/>
    <col min="21" max="21" width="16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211</v>
      </c>
    </row>
    <row r="3" spans="1:22" x14ac:dyDescent="0.25">
      <c r="A3" t="s">
        <v>40</v>
      </c>
      <c r="N3" s="5">
        <v>43537</v>
      </c>
    </row>
    <row r="5" spans="1:22" x14ac:dyDescent="0.25">
      <c r="A5" t="s">
        <v>63</v>
      </c>
      <c r="G5" t="s">
        <v>64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96</v>
      </c>
      <c r="P6" t="s">
        <v>122</v>
      </c>
      <c r="Q6" s="1" t="s">
        <v>97</v>
      </c>
      <c r="T6" s="1" t="s">
        <v>106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212</v>
      </c>
      <c r="P7" t="s">
        <v>122</v>
      </c>
      <c r="Q7" t="s">
        <v>101</v>
      </c>
      <c r="R7" t="s">
        <v>102</v>
      </c>
      <c r="S7" t="s">
        <v>122</v>
      </c>
      <c r="T7" t="s">
        <v>108</v>
      </c>
      <c r="V7" t="s">
        <v>122</v>
      </c>
    </row>
    <row r="8" spans="1:22" x14ac:dyDescent="0.25">
      <c r="N8" t="s">
        <v>213</v>
      </c>
      <c r="P8" t="s">
        <v>122</v>
      </c>
      <c r="Q8" t="s">
        <v>99</v>
      </c>
      <c r="R8" t="s">
        <v>103</v>
      </c>
      <c r="S8" t="s">
        <v>122</v>
      </c>
      <c r="T8" t="s">
        <v>109</v>
      </c>
      <c r="V8" t="s">
        <v>122</v>
      </c>
    </row>
    <row r="9" spans="1:22" x14ac:dyDescent="0.25">
      <c r="A9" t="s">
        <v>45</v>
      </c>
      <c r="G9" t="s">
        <v>45</v>
      </c>
      <c r="N9" t="s">
        <v>214</v>
      </c>
      <c r="P9" t="s">
        <v>122</v>
      </c>
      <c r="Q9" t="s">
        <v>100</v>
      </c>
      <c r="R9" t="s">
        <v>104</v>
      </c>
      <c r="S9" t="s">
        <v>122</v>
      </c>
      <c r="T9" t="s">
        <v>111</v>
      </c>
      <c r="U9" t="s">
        <v>220</v>
      </c>
      <c r="V9" t="s">
        <v>122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215</v>
      </c>
      <c r="P10" t="s">
        <v>122</v>
      </c>
      <c r="Q10" t="s">
        <v>98</v>
      </c>
      <c r="R10" t="s">
        <v>105</v>
      </c>
      <c r="S10" t="s">
        <v>122</v>
      </c>
      <c r="T10" t="s">
        <v>110</v>
      </c>
      <c r="U10" t="s">
        <v>221</v>
      </c>
      <c r="V10" t="s">
        <v>122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216</v>
      </c>
      <c r="P11" t="s">
        <v>122</v>
      </c>
      <c r="S11" t="s">
        <v>122</v>
      </c>
      <c r="T11" t="s">
        <v>112</v>
      </c>
      <c r="U11" t="s">
        <v>113</v>
      </c>
      <c r="V11" t="s">
        <v>122</v>
      </c>
    </row>
    <row r="12" spans="1:22" x14ac:dyDescent="0.25">
      <c r="A12" s="1" t="s">
        <v>41</v>
      </c>
      <c r="G12" s="1" t="s">
        <v>41</v>
      </c>
      <c r="N12" t="s">
        <v>217</v>
      </c>
      <c r="Q12" t="s">
        <v>130</v>
      </c>
      <c r="R12" t="s">
        <v>131</v>
      </c>
      <c r="S12" t="s">
        <v>122</v>
      </c>
      <c r="T12" t="s">
        <v>126</v>
      </c>
      <c r="V12" t="s">
        <v>122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218</v>
      </c>
      <c r="P13" t="s">
        <v>122</v>
      </c>
      <c r="Q13" t="s">
        <v>122</v>
      </c>
      <c r="T13" t="s">
        <v>122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219</v>
      </c>
    </row>
    <row r="16" spans="1:22" x14ac:dyDescent="0.25">
      <c r="A16" t="s">
        <v>54</v>
      </c>
      <c r="B16">
        <f>E7-D14-A14</f>
        <v>5.1152937885490246E-8</v>
      </c>
      <c r="G16" t="s">
        <v>54</v>
      </c>
      <c r="H16">
        <f>K7-J14-G14</f>
        <v>2.1905525799866155E-2</v>
      </c>
      <c r="N16" s="1" t="s">
        <v>81</v>
      </c>
    </row>
    <row r="17" spans="1:26" x14ac:dyDescent="0.25">
      <c r="N17" s="1" t="s">
        <v>114</v>
      </c>
      <c r="S17" s="1" t="s">
        <v>121</v>
      </c>
    </row>
    <row r="18" spans="1:26" x14ac:dyDescent="0.25">
      <c r="A18" s="1" t="s">
        <v>42</v>
      </c>
      <c r="G18" s="1" t="s">
        <v>42</v>
      </c>
      <c r="N18" t="s">
        <v>222</v>
      </c>
      <c r="P18" t="s">
        <v>122</v>
      </c>
      <c r="R18" t="s">
        <v>122</v>
      </c>
      <c r="S18" t="s">
        <v>123</v>
      </c>
      <c r="U18" t="s">
        <v>122</v>
      </c>
    </row>
    <row r="19" spans="1:26" x14ac:dyDescent="0.25">
      <c r="A19" t="s">
        <v>54</v>
      </c>
      <c r="B19">
        <f>2*B11*TAN(35*PI()/180)+C11-A11</f>
        <v>0</v>
      </c>
      <c r="G19" t="s">
        <v>54</v>
      </c>
      <c r="H19">
        <f>1.62*G11-H11</f>
        <v>3.8031799931559362E-12</v>
      </c>
      <c r="N19" t="s">
        <v>223</v>
      </c>
      <c r="P19" t="s">
        <v>122</v>
      </c>
      <c r="R19" t="s">
        <v>122</v>
      </c>
      <c r="S19" t="s">
        <v>124</v>
      </c>
      <c r="U19" t="s">
        <v>122</v>
      </c>
    </row>
    <row r="20" spans="1:26" x14ac:dyDescent="0.25">
      <c r="N20" t="s">
        <v>224</v>
      </c>
      <c r="P20" t="s">
        <v>122</v>
      </c>
      <c r="R20" t="s">
        <v>122</v>
      </c>
      <c r="S20" s="1" t="s">
        <v>127</v>
      </c>
      <c r="U20" t="s">
        <v>122</v>
      </c>
    </row>
    <row r="21" spans="1:26" x14ac:dyDescent="0.25">
      <c r="A21" s="1" t="s">
        <v>43</v>
      </c>
      <c r="P21" t="s">
        <v>122</v>
      </c>
      <c r="S21" t="s">
        <v>128</v>
      </c>
      <c r="U21" t="s">
        <v>122</v>
      </c>
    </row>
    <row r="22" spans="1:26" x14ac:dyDescent="0.25">
      <c r="A22" t="s">
        <v>54</v>
      </c>
      <c r="B22">
        <f>2*D11-B11</f>
        <v>0</v>
      </c>
      <c r="S22" s="1" t="s">
        <v>126</v>
      </c>
      <c r="T22">
        <v>30</v>
      </c>
    </row>
    <row r="23" spans="1:26" x14ac:dyDescent="0.25">
      <c r="N23" s="1" t="s">
        <v>116</v>
      </c>
      <c r="S23" t="s">
        <v>129</v>
      </c>
      <c r="T23">
        <f>30*PI()/180</f>
        <v>0.52359877559829882</v>
      </c>
    </row>
    <row r="24" spans="1:26" x14ac:dyDescent="0.25">
      <c r="N24" t="s">
        <v>115</v>
      </c>
      <c r="O24">
        <f>6000/2000</f>
        <v>3</v>
      </c>
    </row>
    <row r="25" spans="1:26" x14ac:dyDescent="0.25">
      <c r="A25" t="s">
        <v>65</v>
      </c>
      <c r="S25" s="1" t="s">
        <v>74</v>
      </c>
    </row>
    <row r="26" spans="1:26" x14ac:dyDescent="0.25">
      <c r="A26" t="s">
        <v>1</v>
      </c>
      <c r="C26" t="s">
        <v>44</v>
      </c>
      <c r="E26" t="s">
        <v>10</v>
      </c>
      <c r="N26" t="s">
        <v>117</v>
      </c>
      <c r="S26" t="s">
        <v>101</v>
      </c>
      <c r="T26" t="s">
        <v>99</v>
      </c>
      <c r="U26" t="s">
        <v>100</v>
      </c>
      <c r="V26" t="s">
        <v>125</v>
      </c>
      <c r="W26" t="s">
        <v>130</v>
      </c>
      <c r="Y26" t="s">
        <v>132</v>
      </c>
      <c r="Z26" t="s">
        <v>133</v>
      </c>
    </row>
    <row r="27" spans="1:26" x14ac:dyDescent="0.25">
      <c r="A27">
        <v>28.16</v>
      </c>
      <c r="B27" t="s">
        <v>2</v>
      </c>
      <c r="C27">
        <v>1.3</v>
      </c>
      <c r="E27">
        <f>A27*C27</f>
        <v>36.608000000000004</v>
      </c>
      <c r="O27" t="s">
        <v>107</v>
      </c>
      <c r="P27" t="s">
        <v>120</v>
      </c>
      <c r="Q27" t="s">
        <v>84</v>
      </c>
      <c r="S27">
        <v>58.792234391009401</v>
      </c>
      <c r="T27">
        <v>10</v>
      </c>
      <c r="U27">
        <v>7.8768082220043922</v>
      </c>
      <c r="V27">
        <v>5</v>
      </c>
      <c r="W27">
        <f>(S27-T27)/(2*TAN(T23))</f>
        <v>42.25531449001889</v>
      </c>
      <c r="Y27">
        <f>S27*S27</f>
        <v>3456.5268246873884</v>
      </c>
      <c r="Z27">
        <f>T27*T27</f>
        <v>100</v>
      </c>
    </row>
    <row r="28" spans="1:26" x14ac:dyDescent="0.25">
      <c r="N28" t="s">
        <v>118</v>
      </c>
      <c r="O28">
        <v>11250.005999999999</v>
      </c>
      <c r="P28">
        <v>0.44022</v>
      </c>
      <c r="Q28">
        <f>O28/P28</f>
        <v>25555.417745672617</v>
      </c>
    </row>
    <row r="29" spans="1:26" x14ac:dyDescent="0.25">
      <c r="A29" t="s">
        <v>45</v>
      </c>
      <c r="N29" t="s">
        <v>119</v>
      </c>
      <c r="O29">
        <f>O28/O24</f>
        <v>3750.002</v>
      </c>
      <c r="P29">
        <v>0.29499999999999998</v>
      </c>
      <c r="Q29">
        <f>O29/P29</f>
        <v>12711.871186440678</v>
      </c>
      <c r="S29" s="1" t="s">
        <v>135</v>
      </c>
    </row>
    <row r="30" spans="1:26" x14ac:dyDescent="0.25">
      <c r="A30" t="s">
        <v>46</v>
      </c>
      <c r="B30" t="s">
        <v>47</v>
      </c>
      <c r="N30" t="s">
        <v>31</v>
      </c>
      <c r="O30">
        <f>SUM(O28:O29)</f>
        <v>15000.008</v>
      </c>
      <c r="P30">
        <f>(P28*O24+P29)/4</f>
        <v>0.40391499999999997</v>
      </c>
      <c r="Q30">
        <f>SUM(Q28:Q29)</f>
        <v>38267.288932113297</v>
      </c>
      <c r="S30">
        <f>4*(T27*V27)+(4/2)*(S27+T27)*(W27/COS(T23))+4*S27*U27</f>
        <v>8765.4342703392249</v>
      </c>
    </row>
    <row r="31" spans="1:26" x14ac:dyDescent="0.25">
      <c r="A31">
        <v>2.8271785049016125</v>
      </c>
      <c r="B31">
        <v>4.5800291779406122</v>
      </c>
      <c r="N31" t="s">
        <v>139</v>
      </c>
      <c r="O31">
        <f>1.5*O30</f>
        <v>22500.011999999999</v>
      </c>
      <c r="Q31">
        <f>1.5*Q30</f>
        <v>57400.933398169946</v>
      </c>
    </row>
    <row r="32" spans="1:26" x14ac:dyDescent="0.25">
      <c r="A32" t="s">
        <v>41</v>
      </c>
      <c r="N32" t="s">
        <v>150</v>
      </c>
      <c r="O32">
        <v>1.5</v>
      </c>
      <c r="S32" t="s">
        <v>134</v>
      </c>
    </row>
    <row r="33" spans="1:19" x14ac:dyDescent="0.25">
      <c r="A33" t="s">
        <v>50</v>
      </c>
      <c r="S33">
        <f>Q31*O32-(Y27*U27+(Z27*V27)+(W27/3*(Y27+Z27+SQRT(Y27*Z27))))</f>
        <v>1.8265059043187648E-4</v>
      </c>
    </row>
    <row r="34" spans="1:19" x14ac:dyDescent="0.25">
      <c r="A34">
        <f>A31*A31*B31</f>
        <v>36.607890624964938</v>
      </c>
    </row>
    <row r="35" spans="1:19" x14ac:dyDescent="0.25">
      <c r="A35" t="s">
        <v>54</v>
      </c>
      <c r="B35">
        <f>E27-D34-A34</f>
        <v>1.0937503506625035E-4</v>
      </c>
    </row>
    <row r="37" spans="1:19" x14ac:dyDescent="0.25">
      <c r="A37" t="s">
        <v>42</v>
      </c>
    </row>
    <row r="38" spans="1:19" x14ac:dyDescent="0.25">
      <c r="A38" t="s">
        <v>54</v>
      </c>
      <c r="B38">
        <f>1.62*A31-B31</f>
        <v>0</v>
      </c>
      <c r="N3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153</v>
      </c>
    </row>
    <row r="2" spans="1:18" x14ac:dyDescent="0.25">
      <c r="A2" t="s">
        <v>154</v>
      </c>
    </row>
    <row r="3" spans="1:18" x14ac:dyDescent="0.25">
      <c r="A3" t="s">
        <v>155</v>
      </c>
    </row>
    <row r="4" spans="1:18" x14ac:dyDescent="0.25">
      <c r="A4" s="7">
        <v>43516</v>
      </c>
    </row>
    <row r="6" spans="1:18" x14ac:dyDescent="0.25">
      <c r="A6" t="s">
        <v>156</v>
      </c>
    </row>
    <row r="7" spans="1:18" x14ac:dyDescent="0.25">
      <c r="A7" t="s">
        <v>157</v>
      </c>
      <c r="B7" t="s">
        <v>158</v>
      </c>
    </row>
    <row r="8" spans="1:18" x14ac:dyDescent="0.25">
      <c r="A8" t="s">
        <v>159</v>
      </c>
      <c r="B8" s="8" t="s">
        <v>160</v>
      </c>
    </row>
    <row r="11" spans="1:18" x14ac:dyDescent="0.25">
      <c r="A11" s="1" t="s">
        <v>161</v>
      </c>
      <c r="K11" s="1" t="s">
        <v>184</v>
      </c>
      <c r="P11" s="1" t="s">
        <v>198</v>
      </c>
    </row>
    <row r="12" spans="1:18" x14ac:dyDescent="0.25">
      <c r="A12" t="s">
        <v>162</v>
      </c>
      <c r="K12" t="s">
        <v>162</v>
      </c>
      <c r="P12" t="s">
        <v>162</v>
      </c>
    </row>
    <row r="13" spans="1:18" x14ac:dyDescent="0.25">
      <c r="A13" t="s">
        <v>164</v>
      </c>
      <c r="B13" t="s">
        <v>165</v>
      </c>
      <c r="C13" t="s">
        <v>166</v>
      </c>
      <c r="K13" t="s">
        <v>187</v>
      </c>
      <c r="L13">
        <v>1.2</v>
      </c>
      <c r="P13" t="s">
        <v>199</v>
      </c>
      <c r="Q13">
        <f>'Calculo tolva romana'!W27/COS('Calculo de esfuerzos tolva'!L14)/100</f>
        <v>0.48803543514169417</v>
      </c>
      <c r="R13" t="s">
        <v>22</v>
      </c>
    </row>
    <row r="14" spans="1:18" x14ac:dyDescent="0.25">
      <c r="A14" t="s">
        <v>163</v>
      </c>
      <c r="B14">
        <v>9.81</v>
      </c>
      <c r="C14" t="s">
        <v>183</v>
      </c>
      <c r="K14" t="s">
        <v>188</v>
      </c>
      <c r="L14">
        <v>0.52400000000000002</v>
      </c>
      <c r="M14" t="s">
        <v>67</v>
      </c>
      <c r="N14" t="s">
        <v>190</v>
      </c>
      <c r="P14" t="s">
        <v>200</v>
      </c>
      <c r="Q14">
        <f>0.1</f>
        <v>0.1</v>
      </c>
      <c r="R14" t="s">
        <v>22</v>
      </c>
    </row>
    <row r="15" spans="1:18" x14ac:dyDescent="0.25">
      <c r="A15" t="s">
        <v>167</v>
      </c>
      <c r="B15">
        <v>529.86</v>
      </c>
      <c r="C15" t="s">
        <v>17</v>
      </c>
      <c r="D15" t="s">
        <v>168</v>
      </c>
      <c r="K15" t="s">
        <v>189</v>
      </c>
      <c r="L15">
        <f>A31/B19</f>
        <v>398.75749863804339</v>
      </c>
      <c r="M15" t="s">
        <v>35</v>
      </c>
      <c r="P15" t="s">
        <v>201</v>
      </c>
      <c r="Q15">
        <f>'Calculo tolva romana'!S27/100</f>
        <v>0.58792234391009401</v>
      </c>
      <c r="R15" t="s">
        <v>22</v>
      </c>
    </row>
    <row r="16" spans="1:18" x14ac:dyDescent="0.25">
      <c r="A16" t="s">
        <v>169</v>
      </c>
      <c r="B16">
        <f>(58.6/100)^2</f>
        <v>0.34339599999999998</v>
      </c>
      <c r="C16" t="s">
        <v>182</v>
      </c>
      <c r="D16" t="s">
        <v>170</v>
      </c>
      <c r="K16" t="s">
        <v>193</v>
      </c>
      <c r="L16">
        <f>'Calculo tolva romana'!W27/COS('Calculo de esfuerzos tolva'!L14)</f>
        <v>48.803543514169419</v>
      </c>
      <c r="P16" t="s">
        <v>206</v>
      </c>
      <c r="Q16">
        <f>200*1000^3</f>
        <v>200000000000</v>
      </c>
    </row>
    <row r="17" spans="1:17" x14ac:dyDescent="0.25">
      <c r="A17" t="s">
        <v>171</v>
      </c>
      <c r="B17">
        <f>4*58.6/100</f>
        <v>2.3439999999999999</v>
      </c>
      <c r="C17" t="s">
        <v>172</v>
      </c>
      <c r="P17" t="s">
        <v>205</v>
      </c>
      <c r="Q17">
        <v>1</v>
      </c>
    </row>
    <row r="18" spans="1:17" x14ac:dyDescent="0.25">
      <c r="A18" t="s">
        <v>173</v>
      </c>
      <c r="B18">
        <v>0.3</v>
      </c>
      <c r="D18" t="s">
        <v>175</v>
      </c>
      <c r="P18" t="s">
        <v>202</v>
      </c>
    </row>
    <row r="19" spans="1:17" x14ac:dyDescent="0.25">
      <c r="A19" t="s">
        <v>174</v>
      </c>
      <c r="B19">
        <v>0.5</v>
      </c>
      <c r="D19" t="s">
        <v>176</v>
      </c>
      <c r="E19" t="s">
        <v>158</v>
      </c>
      <c r="K19" t="s">
        <v>191</v>
      </c>
      <c r="N19" t="s">
        <v>197</v>
      </c>
      <c r="P19" t="s">
        <v>203</v>
      </c>
      <c r="Q19">
        <f>Q13-(Q15)*(Q15-Q14)/(6*Q14+Q15)</f>
        <v>0.24655462661214267</v>
      </c>
    </row>
    <row r="20" spans="1:17" x14ac:dyDescent="0.25">
      <c r="A20" t="s">
        <v>177</v>
      </c>
      <c r="B20">
        <v>0.08</v>
      </c>
      <c r="C20" t="s">
        <v>3</v>
      </c>
      <c r="K20" t="s">
        <v>192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194</v>
      </c>
      <c r="L21">
        <f>L13*L15*(COS(L14)^2)</f>
        <v>358.71544250401558</v>
      </c>
      <c r="M21" t="s">
        <v>35</v>
      </c>
      <c r="P21" t="s">
        <v>204</v>
      </c>
    </row>
    <row r="22" spans="1:17" x14ac:dyDescent="0.25">
      <c r="K22" t="s">
        <v>195</v>
      </c>
      <c r="L22">
        <f>3*((B16/B17)*(B14*B15*B19)/(SQRT(B18)))*(SIN(L14)^2)</f>
        <v>522.08563773183255</v>
      </c>
      <c r="M22" t="s">
        <v>35</v>
      </c>
      <c r="N22" t="s">
        <v>207</v>
      </c>
      <c r="P22">
        <f>(Q17*PI()^2*Q16)/(12*(1-0.3^3)*N26)</f>
        <v>72784293.430552989</v>
      </c>
    </row>
    <row r="23" spans="1:17" x14ac:dyDescent="0.25">
      <c r="A23" s="1" t="s">
        <v>185</v>
      </c>
      <c r="D23" s="1" t="s">
        <v>186</v>
      </c>
      <c r="K23" t="s">
        <v>196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178</v>
      </c>
      <c r="D24">
        <f>A31*TAN(B18)</f>
        <v>61.675074566203399</v>
      </c>
      <c r="E24" t="s">
        <v>35</v>
      </c>
      <c r="P24" t="s">
        <v>208</v>
      </c>
    </row>
    <row r="25" spans="1:17" x14ac:dyDescent="0.25">
      <c r="A25">
        <f>(B14*B15*B16)/(TAN(B18)*B17)</f>
        <v>2461.7103487256813</v>
      </c>
      <c r="B25" t="s">
        <v>35</v>
      </c>
      <c r="N25" t="s">
        <v>209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179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180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181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136</v>
      </c>
      <c r="B21">
        <v>100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41.435296439663965</v>
      </c>
    </row>
    <row r="29" spans="1:13" x14ac:dyDescent="0.25">
      <c r="I29" t="s">
        <v>146</v>
      </c>
      <c r="J29">
        <f>PI()*(0.5*I15+0.5*L15)*J26</f>
        <v>3027.5137226549482</v>
      </c>
    </row>
    <row r="30" spans="1:13" x14ac:dyDescent="0.25">
      <c r="I30" t="s">
        <v>145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D16" workbookViewId="0">
      <selection activeCell="M24" sqref="M24"/>
    </sheetView>
  </sheetViews>
  <sheetFormatPr baseColWidth="10" defaultRowHeight="15" x14ac:dyDescent="0.25"/>
  <sheetData>
    <row r="1" spans="1:19" x14ac:dyDescent="0.25">
      <c r="A1" t="s">
        <v>225</v>
      </c>
    </row>
    <row r="2" spans="1:19" x14ac:dyDescent="0.25">
      <c r="A2" t="s">
        <v>69</v>
      </c>
    </row>
    <row r="3" spans="1:19" x14ac:dyDescent="0.25">
      <c r="A3" s="5">
        <v>43592</v>
      </c>
    </row>
    <row r="5" spans="1:19" x14ac:dyDescent="0.25">
      <c r="A5" t="s">
        <v>226</v>
      </c>
    </row>
    <row r="6" spans="1:19" x14ac:dyDescent="0.25">
      <c r="A6" t="s">
        <v>227</v>
      </c>
    </row>
    <row r="7" spans="1:19" x14ac:dyDescent="0.25">
      <c r="A7" t="s">
        <v>228</v>
      </c>
    </row>
    <row r="8" spans="1:19" x14ac:dyDescent="0.25">
      <c r="A8" t="s">
        <v>229</v>
      </c>
    </row>
    <row r="10" spans="1:19" x14ac:dyDescent="0.25">
      <c r="A10" s="1" t="s">
        <v>14</v>
      </c>
      <c r="B10" t="s">
        <v>62</v>
      </c>
      <c r="C10" t="s">
        <v>236</v>
      </c>
      <c r="D10">
        <v>500</v>
      </c>
      <c r="F10" s="1" t="s">
        <v>14</v>
      </c>
      <c r="G10" t="s">
        <v>61</v>
      </c>
      <c r="H10" t="s">
        <v>231</v>
      </c>
      <c r="I10">
        <v>500</v>
      </c>
      <c r="K10" s="1" t="s">
        <v>14</v>
      </c>
      <c r="L10" t="s">
        <v>232</v>
      </c>
      <c r="M10" t="s">
        <v>231</v>
      </c>
      <c r="N10">
        <v>500</v>
      </c>
      <c r="P10" s="1" t="s">
        <v>14</v>
      </c>
      <c r="Q10" t="s">
        <v>242</v>
      </c>
      <c r="R10" t="s">
        <v>231</v>
      </c>
      <c r="S10">
        <v>500</v>
      </c>
    </row>
    <row r="11" spans="1:19" x14ac:dyDescent="0.25">
      <c r="A11" t="s">
        <v>230</v>
      </c>
      <c r="B11" t="s">
        <v>107</v>
      </c>
      <c r="C11" t="s">
        <v>234</v>
      </c>
      <c r="D11" t="s">
        <v>233</v>
      </c>
      <c r="F11" t="s">
        <v>230</v>
      </c>
      <c r="G11" t="s">
        <v>107</v>
      </c>
      <c r="H11" t="s">
        <v>234</v>
      </c>
      <c r="I11" t="s">
        <v>233</v>
      </c>
      <c r="K11" t="s">
        <v>230</v>
      </c>
      <c r="L11" t="s">
        <v>235</v>
      </c>
      <c r="M11" t="s">
        <v>234</v>
      </c>
      <c r="N11" t="s">
        <v>233</v>
      </c>
      <c r="P11" t="s">
        <v>230</v>
      </c>
      <c r="Q11" t="s">
        <v>235</v>
      </c>
      <c r="R11" t="s">
        <v>234</v>
      </c>
      <c r="S11" t="s">
        <v>233</v>
      </c>
    </row>
    <row r="12" spans="1:19" x14ac:dyDescent="0.25">
      <c r="A12">
        <v>1</v>
      </c>
      <c r="B12">
        <v>486</v>
      </c>
      <c r="C12">
        <f>$D$10-B12</f>
        <v>14</v>
      </c>
      <c r="D12">
        <v>5.2</v>
      </c>
      <c r="E12" t="s">
        <v>239</v>
      </c>
      <c r="F12">
        <v>1</v>
      </c>
      <c r="K12">
        <v>1</v>
      </c>
      <c r="L12">
        <v>499</v>
      </c>
      <c r="N12">
        <v>5.62</v>
      </c>
      <c r="P12">
        <v>1</v>
      </c>
    </row>
    <row r="13" spans="1:19" x14ac:dyDescent="0.25">
      <c r="A13">
        <v>2</v>
      </c>
      <c r="B13">
        <v>488</v>
      </c>
      <c r="D13">
        <v>5.19</v>
      </c>
      <c r="E13" t="s">
        <v>238</v>
      </c>
      <c r="F13">
        <v>2</v>
      </c>
      <c r="K13">
        <v>2</v>
      </c>
      <c r="L13">
        <v>500</v>
      </c>
      <c r="N13">
        <v>5.55</v>
      </c>
      <c r="P13">
        <v>2</v>
      </c>
    </row>
    <row r="14" spans="1:19" x14ac:dyDescent="0.25">
      <c r="A14">
        <v>3</v>
      </c>
      <c r="B14">
        <v>4.9400000000000004</v>
      </c>
      <c r="D14">
        <v>5.13</v>
      </c>
      <c r="F14">
        <v>3</v>
      </c>
      <c r="K14">
        <v>3</v>
      </c>
      <c r="L14">
        <v>500</v>
      </c>
      <c r="N14">
        <v>5.48</v>
      </c>
      <c r="P14">
        <v>3</v>
      </c>
    </row>
    <row r="15" spans="1:19" x14ac:dyDescent="0.25">
      <c r="A15">
        <v>4</v>
      </c>
      <c r="B15">
        <v>4.91</v>
      </c>
      <c r="D15">
        <v>5.05</v>
      </c>
      <c r="E15" t="s">
        <v>238</v>
      </c>
      <c r="F15">
        <v>4</v>
      </c>
      <c r="K15">
        <v>4</v>
      </c>
      <c r="L15">
        <v>500</v>
      </c>
      <c r="N15">
        <v>5.57</v>
      </c>
      <c r="P15">
        <v>4</v>
      </c>
    </row>
    <row r="16" spans="1:19" x14ac:dyDescent="0.25">
      <c r="A16">
        <v>5</v>
      </c>
      <c r="B16">
        <v>4.97</v>
      </c>
      <c r="D16">
        <v>5.37</v>
      </c>
      <c r="E16" t="s">
        <v>238</v>
      </c>
      <c r="F16">
        <v>5</v>
      </c>
      <c r="K16">
        <v>5</v>
      </c>
      <c r="L16">
        <v>4.99</v>
      </c>
      <c r="N16">
        <v>5.62</v>
      </c>
      <c r="P16">
        <v>5</v>
      </c>
    </row>
    <row r="17" spans="1:19" x14ac:dyDescent="0.25">
      <c r="A17">
        <v>6</v>
      </c>
      <c r="B17">
        <v>4.95</v>
      </c>
      <c r="D17">
        <v>5.39</v>
      </c>
      <c r="E17" t="s">
        <v>238</v>
      </c>
      <c r="F17">
        <v>6</v>
      </c>
      <c r="K17">
        <v>6</v>
      </c>
      <c r="L17">
        <v>499</v>
      </c>
      <c r="N17">
        <v>5.66</v>
      </c>
      <c r="P17">
        <v>6</v>
      </c>
    </row>
    <row r="18" spans="1:19" x14ac:dyDescent="0.25">
      <c r="A18">
        <v>7</v>
      </c>
      <c r="B18">
        <v>4.8499999999999996</v>
      </c>
      <c r="D18">
        <v>5.09</v>
      </c>
      <c r="E18" t="s">
        <v>238</v>
      </c>
      <c r="F18">
        <v>7</v>
      </c>
      <c r="K18">
        <v>7</v>
      </c>
      <c r="L18">
        <v>500</v>
      </c>
      <c r="N18">
        <v>5.5</v>
      </c>
      <c r="P18">
        <v>7</v>
      </c>
    </row>
    <row r="19" spans="1:19" x14ac:dyDescent="0.25">
      <c r="A19">
        <v>8</v>
      </c>
      <c r="B19">
        <v>494</v>
      </c>
      <c r="D19">
        <v>5.61</v>
      </c>
      <c r="E19" t="s">
        <v>238</v>
      </c>
      <c r="F19">
        <v>8</v>
      </c>
      <c r="K19">
        <v>8</v>
      </c>
      <c r="L19">
        <v>500</v>
      </c>
      <c r="N19">
        <v>5.57</v>
      </c>
      <c r="P19">
        <v>8</v>
      </c>
    </row>
    <row r="20" spans="1:19" x14ac:dyDescent="0.25">
      <c r="A20">
        <v>9</v>
      </c>
      <c r="B20">
        <v>496</v>
      </c>
      <c r="D20">
        <v>5.51</v>
      </c>
      <c r="F20">
        <v>9</v>
      </c>
      <c r="K20">
        <v>9</v>
      </c>
      <c r="L20">
        <v>500</v>
      </c>
      <c r="N20">
        <v>5.73</v>
      </c>
      <c r="P20">
        <v>9</v>
      </c>
    </row>
    <row r="21" spans="1:19" x14ac:dyDescent="0.25">
      <c r="A21">
        <v>10</v>
      </c>
      <c r="B21">
        <v>492</v>
      </c>
      <c r="D21">
        <v>5.72</v>
      </c>
      <c r="F21">
        <v>10</v>
      </c>
      <c r="K21">
        <v>10</v>
      </c>
      <c r="L21">
        <v>500</v>
      </c>
      <c r="N21">
        <v>5.47</v>
      </c>
      <c r="P21">
        <v>10</v>
      </c>
    </row>
    <row r="22" spans="1:19" x14ac:dyDescent="0.25">
      <c r="F22" t="s">
        <v>240</v>
      </c>
      <c r="G22" t="s">
        <v>241</v>
      </c>
      <c r="P22" t="s">
        <v>243</v>
      </c>
    </row>
    <row r="23" spans="1:19" x14ac:dyDescent="0.25">
      <c r="A23" t="s">
        <v>237</v>
      </c>
    </row>
    <row r="25" spans="1:19" x14ac:dyDescent="0.25">
      <c r="F25" t="s">
        <v>244</v>
      </c>
      <c r="K25" t="s">
        <v>252</v>
      </c>
      <c r="P25" t="s">
        <v>252</v>
      </c>
    </row>
    <row r="26" spans="1:19" x14ac:dyDescent="0.25">
      <c r="A26" s="1" t="s">
        <v>14</v>
      </c>
      <c r="B26" t="s">
        <v>62</v>
      </c>
      <c r="C26" t="s">
        <v>236</v>
      </c>
      <c r="D26">
        <v>500</v>
      </c>
      <c r="F26" s="1" t="s">
        <v>14</v>
      </c>
      <c r="G26" t="s">
        <v>242</v>
      </c>
      <c r="H26" t="s">
        <v>231</v>
      </c>
      <c r="I26" t="s">
        <v>246</v>
      </c>
      <c r="K26" s="1" t="s">
        <v>14</v>
      </c>
      <c r="L26" t="s">
        <v>242</v>
      </c>
      <c r="M26" t="s">
        <v>231</v>
      </c>
      <c r="N26" t="s">
        <v>246</v>
      </c>
      <c r="P26" s="1" t="s">
        <v>14</v>
      </c>
      <c r="Q26" t="s">
        <v>62</v>
      </c>
      <c r="R26" t="s">
        <v>231</v>
      </c>
      <c r="S26" t="s">
        <v>253</v>
      </c>
    </row>
    <row r="27" spans="1:19" x14ac:dyDescent="0.25">
      <c r="A27" t="s">
        <v>230</v>
      </c>
      <c r="B27" t="s">
        <v>107</v>
      </c>
      <c r="C27" t="s">
        <v>234</v>
      </c>
      <c r="D27" t="s">
        <v>233</v>
      </c>
      <c r="F27" t="s">
        <v>230</v>
      </c>
      <c r="G27" t="s">
        <v>107</v>
      </c>
      <c r="H27" t="s">
        <v>245</v>
      </c>
      <c r="I27" t="s">
        <v>233</v>
      </c>
      <c r="K27" t="s">
        <v>230</v>
      </c>
      <c r="L27" t="s">
        <v>235</v>
      </c>
      <c r="M27" t="s">
        <v>245</v>
      </c>
      <c r="N27" t="s">
        <v>233</v>
      </c>
      <c r="P27" t="s">
        <v>230</v>
      </c>
      <c r="Q27" t="s">
        <v>235</v>
      </c>
      <c r="R27" t="s">
        <v>234</v>
      </c>
      <c r="S27" t="s">
        <v>233</v>
      </c>
    </row>
    <row r="28" spans="1:19" x14ac:dyDescent="0.25">
      <c r="A28">
        <v>1</v>
      </c>
      <c r="B28">
        <v>493</v>
      </c>
      <c r="C28">
        <f>$D$10-B28</f>
        <v>7</v>
      </c>
      <c r="D28">
        <v>4.84</v>
      </c>
      <c r="F28">
        <v>1</v>
      </c>
      <c r="H28">
        <v>0</v>
      </c>
      <c r="K28">
        <v>1</v>
      </c>
      <c r="L28">
        <v>588</v>
      </c>
      <c r="N28">
        <v>9.9700000000000006</v>
      </c>
      <c r="P28">
        <v>1</v>
      </c>
      <c r="Q28">
        <v>496</v>
      </c>
      <c r="S28">
        <v>1.71</v>
      </c>
    </row>
    <row r="29" spans="1:19" x14ac:dyDescent="0.25">
      <c r="A29">
        <v>2</v>
      </c>
      <c r="B29">
        <v>480</v>
      </c>
      <c r="D29">
        <v>4.68</v>
      </c>
      <c r="F29">
        <v>2</v>
      </c>
      <c r="H29">
        <v>0</v>
      </c>
      <c r="J29" t="s">
        <v>247</v>
      </c>
      <c r="K29">
        <v>2</v>
      </c>
      <c r="L29">
        <v>587</v>
      </c>
      <c r="N29">
        <v>9.67</v>
      </c>
      <c r="P29">
        <v>2</v>
      </c>
      <c r="Q29">
        <v>497</v>
      </c>
      <c r="S29">
        <v>1.56</v>
      </c>
    </row>
    <row r="30" spans="1:19" x14ac:dyDescent="0.25">
      <c r="A30">
        <v>3</v>
      </c>
      <c r="B30">
        <v>490</v>
      </c>
      <c r="D30">
        <v>4.62</v>
      </c>
      <c r="F30">
        <v>3</v>
      </c>
      <c r="H30">
        <v>0</v>
      </c>
      <c r="J30" t="s">
        <v>247</v>
      </c>
      <c r="K30">
        <v>3</v>
      </c>
      <c r="L30">
        <v>586</v>
      </c>
      <c r="N30">
        <v>9.9700000000000006</v>
      </c>
      <c r="P30">
        <v>3</v>
      </c>
      <c r="Q30">
        <v>499</v>
      </c>
      <c r="S30">
        <v>2.0299999999999998</v>
      </c>
    </row>
    <row r="31" spans="1:19" x14ac:dyDescent="0.25">
      <c r="A31">
        <v>4</v>
      </c>
      <c r="B31">
        <v>495</v>
      </c>
      <c r="D31">
        <v>4.79</v>
      </c>
      <c r="F31">
        <v>4</v>
      </c>
      <c r="G31">
        <v>590</v>
      </c>
      <c r="H31">
        <v>0</v>
      </c>
      <c r="I31">
        <v>19.399999999999999</v>
      </c>
      <c r="J31" t="s">
        <v>248</v>
      </c>
      <c r="K31">
        <v>4</v>
      </c>
      <c r="L31">
        <v>587</v>
      </c>
      <c r="N31">
        <v>11.94</v>
      </c>
      <c r="P31">
        <v>4</v>
      </c>
    </row>
    <row r="32" spans="1:19" x14ac:dyDescent="0.25">
      <c r="A32">
        <v>5</v>
      </c>
      <c r="B32">
        <v>498</v>
      </c>
      <c r="D32">
        <v>4.7300000000000004</v>
      </c>
      <c r="E32" t="s">
        <v>238</v>
      </c>
      <c r="F32">
        <v>5</v>
      </c>
      <c r="I32">
        <v>17.829999999999998</v>
      </c>
      <c r="J32" t="s">
        <v>248</v>
      </c>
      <c r="K32">
        <v>5</v>
      </c>
      <c r="L32">
        <v>589</v>
      </c>
      <c r="N32">
        <v>9.2200000000000006</v>
      </c>
      <c r="P32">
        <v>5</v>
      </c>
    </row>
    <row r="33" spans="1:16" x14ac:dyDescent="0.25">
      <c r="A33">
        <v>6</v>
      </c>
      <c r="B33">
        <v>486</v>
      </c>
      <c r="D33">
        <v>4.51</v>
      </c>
      <c r="F33">
        <v>6</v>
      </c>
      <c r="H33">
        <v>0</v>
      </c>
      <c r="J33" t="s">
        <v>247</v>
      </c>
      <c r="K33">
        <v>6</v>
      </c>
      <c r="L33">
        <v>588</v>
      </c>
      <c r="N33">
        <v>9.8800000000000008</v>
      </c>
      <c r="P33">
        <v>6</v>
      </c>
    </row>
    <row r="34" spans="1:16" x14ac:dyDescent="0.25">
      <c r="A34">
        <v>7</v>
      </c>
      <c r="B34">
        <v>480</v>
      </c>
      <c r="D34">
        <v>4.59</v>
      </c>
      <c r="F34">
        <v>7</v>
      </c>
      <c r="H34">
        <v>0</v>
      </c>
      <c r="K34">
        <v>7</v>
      </c>
      <c r="L34">
        <v>585</v>
      </c>
      <c r="N34">
        <v>8.42</v>
      </c>
      <c r="P34">
        <v>7</v>
      </c>
    </row>
    <row r="35" spans="1:16" x14ac:dyDescent="0.25">
      <c r="A35">
        <v>8</v>
      </c>
      <c r="B35">
        <v>482</v>
      </c>
      <c r="D35">
        <v>4.58</v>
      </c>
      <c r="E35" t="s">
        <v>238</v>
      </c>
      <c r="F35">
        <v>8</v>
      </c>
      <c r="I35">
        <v>10.17</v>
      </c>
      <c r="J35" t="s">
        <v>249</v>
      </c>
      <c r="K35">
        <v>8</v>
      </c>
      <c r="L35">
        <v>589</v>
      </c>
      <c r="N35">
        <v>8.92</v>
      </c>
      <c r="P35">
        <v>8</v>
      </c>
    </row>
    <row r="36" spans="1:16" x14ac:dyDescent="0.25">
      <c r="A36">
        <v>9</v>
      </c>
      <c r="B36">
        <v>496</v>
      </c>
      <c r="D36">
        <v>4.7699999999999996</v>
      </c>
      <c r="E36" t="s">
        <v>238</v>
      </c>
      <c r="F36">
        <v>9</v>
      </c>
      <c r="J36" t="s">
        <v>250</v>
      </c>
      <c r="K36">
        <v>9</v>
      </c>
      <c r="L36">
        <v>590</v>
      </c>
      <c r="N36">
        <v>9.68</v>
      </c>
      <c r="P36">
        <v>9</v>
      </c>
    </row>
    <row r="37" spans="1:16" x14ac:dyDescent="0.25">
      <c r="A37">
        <v>10</v>
      </c>
      <c r="B37">
        <v>498</v>
      </c>
      <c r="D37">
        <v>469</v>
      </c>
      <c r="F37">
        <v>10</v>
      </c>
      <c r="J37" t="s">
        <v>251</v>
      </c>
      <c r="K37">
        <v>10</v>
      </c>
      <c r="L37">
        <v>588</v>
      </c>
      <c r="N37">
        <v>9.44</v>
      </c>
      <c r="P3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H22" sqref="G22:H22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140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142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143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141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144</v>
      </c>
      <c r="M17" t="s">
        <v>10</v>
      </c>
    </row>
    <row r="18" spans="1:13" x14ac:dyDescent="0.25">
      <c r="A18" t="s">
        <v>78</v>
      </c>
      <c r="B18">
        <v>0.71</v>
      </c>
      <c r="C18" t="s">
        <v>210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136</v>
      </c>
      <c r="B21">
        <v>10</v>
      </c>
      <c r="C21" t="s">
        <v>210</v>
      </c>
    </row>
    <row r="22" spans="1:13" x14ac:dyDescent="0.25">
      <c r="A22" t="s">
        <v>138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147</v>
      </c>
      <c r="J26">
        <f>J15/COS(B16)</f>
        <v>17.085069549951005</v>
      </c>
    </row>
    <row r="29" spans="1:13" x14ac:dyDescent="0.25">
      <c r="I29" t="s">
        <v>146</v>
      </c>
      <c r="J29">
        <f>PI()*(0.5*I15+0.5*L15)*J26</f>
        <v>528.29144955043387</v>
      </c>
    </row>
    <row r="30" spans="1:13" x14ac:dyDescent="0.25">
      <c r="I30" t="s">
        <v>145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Formas para tolvas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2019-05-09T22:33:18Z</dcterms:modified>
</cp:coreProperties>
</file>