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.mena\Documents\Graduacion\Graduacion\Tesis\"/>
    </mc:Choice>
  </mc:AlternateContent>
  <bookViews>
    <workbookView xWindow="0" yWindow="0" windowWidth="28800" windowHeight="12300"/>
  </bookViews>
  <sheets>
    <sheet name="Densidades" sheetId="2" r:id="rId1"/>
    <sheet name="Hoja1" sheetId="7" r:id="rId2"/>
    <sheet name="Volumen de tubos" sheetId="4" r:id="rId3"/>
    <sheet name="Ángulos de reposo" sheetId="5" r:id="rId4"/>
    <sheet name="Mediciones" sheetId="1" r:id="rId5"/>
    <sheet name="Instrumentos" sheetId="3" r:id="rId6"/>
    <sheet name="Proporciones contenedor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O4" i="2" s="1"/>
  <c r="B68" i="2" s="1"/>
  <c r="N4" i="2"/>
  <c r="B22" i="7" l="1"/>
  <c r="D20" i="7"/>
  <c r="D19" i="7"/>
  <c r="D18" i="7"/>
  <c r="D17" i="7"/>
  <c r="D16" i="7"/>
  <c r="D15" i="7"/>
  <c r="D14" i="7"/>
  <c r="D4" i="7"/>
  <c r="D5" i="7"/>
  <c r="D6" i="7"/>
  <c r="D7" i="7"/>
  <c r="D8" i="7"/>
  <c r="D9" i="7"/>
  <c r="D3" i="7"/>
  <c r="B10" i="7"/>
  <c r="D21" i="7" l="1"/>
  <c r="E21" i="7" s="1"/>
  <c r="B16" i="2" s="1"/>
  <c r="D10" i="7"/>
  <c r="E10" i="7" s="1"/>
  <c r="F4" i="2"/>
  <c r="F5" i="2"/>
  <c r="H13" i="4"/>
  <c r="I13" i="4" l="1"/>
  <c r="B15" i="4"/>
  <c r="B13" i="6"/>
  <c r="B12" i="6"/>
  <c r="B11" i="6"/>
  <c r="D4" i="6"/>
  <c r="D5" i="6"/>
  <c r="D6" i="6"/>
  <c r="D3" i="6"/>
  <c r="D31" i="4"/>
  <c r="H9" i="4"/>
  <c r="F10" i="4"/>
  <c r="F9" i="4"/>
  <c r="D9" i="4"/>
  <c r="G31" i="4"/>
  <c r="D26" i="4"/>
  <c r="C12" i="6" l="1"/>
  <c r="E10" i="6"/>
  <c r="E12" i="6"/>
  <c r="E11" i="6"/>
  <c r="D10" i="6"/>
  <c r="C11" i="6"/>
  <c r="D12" i="6"/>
  <c r="D13" i="6"/>
  <c r="D11" i="6"/>
  <c r="C10" i="6"/>
  <c r="C13" i="6"/>
  <c r="M14" i="4"/>
  <c r="B14" i="4" s="1"/>
  <c r="C70" i="2" l="1"/>
  <c r="B70" i="2"/>
  <c r="E70" i="2" l="1"/>
  <c r="C4" i="5"/>
  <c r="D4" i="5" s="1"/>
  <c r="C3" i="5"/>
  <c r="D3" i="5" s="1"/>
  <c r="G10" i="2"/>
  <c r="B4" i="5"/>
  <c r="B3" i="5"/>
  <c r="G4" i="2"/>
  <c r="B64" i="2" s="1"/>
  <c r="B10" i="2"/>
  <c r="C9" i="2" s="1"/>
  <c r="B9" i="2"/>
  <c r="J5" i="2"/>
  <c r="K4" i="2" s="1"/>
  <c r="B65" i="2" s="1"/>
  <c r="F10" i="2"/>
  <c r="G9" i="2" s="1"/>
  <c r="C65" i="2" s="1"/>
  <c r="J4" i="2"/>
  <c r="F9" i="2"/>
  <c r="B5" i="2"/>
  <c r="C4" i="2" s="1"/>
  <c r="B66" i="2" s="1"/>
  <c r="B4" i="2"/>
  <c r="B67" i="2"/>
  <c r="J10" i="2"/>
  <c r="K9" i="2" s="1"/>
  <c r="D68" i="2" s="1"/>
  <c r="J9" i="2"/>
  <c r="D66" i="2" l="1"/>
  <c r="B18" i="2"/>
  <c r="B33" i="4" s="1"/>
  <c r="D65" i="2"/>
  <c r="E65" i="2" s="1"/>
  <c r="C16" i="2" s="1"/>
  <c r="D64" i="2"/>
  <c r="C68" i="2"/>
  <c r="C69" i="2"/>
  <c r="B17" i="2"/>
  <c r="D69" i="2"/>
  <c r="D67" i="2"/>
  <c r="B32" i="4"/>
  <c r="B18" i="4"/>
  <c r="B30" i="4"/>
  <c r="B16" i="4"/>
  <c r="B69" i="2"/>
  <c r="C66" i="2"/>
  <c r="C67" i="2"/>
  <c r="C64" i="2"/>
  <c r="E66" i="2" l="1"/>
  <c r="C17" i="2" s="1"/>
  <c r="B19" i="4"/>
  <c r="E67" i="2"/>
  <c r="E69" i="2"/>
  <c r="E64" i="2"/>
  <c r="C15" i="2" s="1"/>
  <c r="B31" i="4"/>
  <c r="B17" i="4"/>
  <c r="B21" i="4" s="1"/>
  <c r="B34" i="4"/>
  <c r="B20" i="4"/>
  <c r="B29" i="4"/>
  <c r="B35" i="4" l="1"/>
  <c r="B36" i="4" s="1"/>
  <c r="E31" i="4" s="1"/>
  <c r="E68" i="2"/>
  <c r="C18" i="2" s="1"/>
  <c r="H31" i="4" l="1"/>
</calcChain>
</file>

<file path=xl/sharedStrings.xml><?xml version="1.0" encoding="utf-8"?>
<sst xmlns="http://schemas.openxmlformats.org/spreadsheetml/2006/main" count="228" uniqueCount="103">
  <si>
    <t>Mineral</t>
  </si>
  <si>
    <t>Concentrado</t>
  </si>
  <si>
    <t>Adicional</t>
  </si>
  <si>
    <t>Secuestrante</t>
  </si>
  <si>
    <t>Levadura</t>
  </si>
  <si>
    <t>Grasa</t>
  </si>
  <si>
    <t>Variable</t>
  </si>
  <si>
    <t>Masa (g)</t>
  </si>
  <si>
    <t>Error (g)</t>
  </si>
  <si>
    <t>Promedio</t>
  </si>
  <si>
    <t>Desv. Esta</t>
  </si>
  <si>
    <t>Beaker 80 ml</t>
  </si>
  <si>
    <t>Beaker 200 ml</t>
  </si>
  <si>
    <t>Tazón 200 ml</t>
  </si>
  <si>
    <t>Columna1</t>
  </si>
  <si>
    <t xml:space="preserve">Variable </t>
  </si>
  <si>
    <t>Material</t>
  </si>
  <si>
    <t>Densidad (g/ml)</t>
  </si>
  <si>
    <t>Error (g/ml)</t>
  </si>
  <si>
    <t>Términos de error</t>
  </si>
  <si>
    <t>Término 1</t>
  </si>
  <si>
    <t>Término 2</t>
  </si>
  <si>
    <t>Término 3</t>
  </si>
  <si>
    <t>Total</t>
  </si>
  <si>
    <t>Secuentrante</t>
  </si>
  <si>
    <t>Unidad</t>
  </si>
  <si>
    <t>Alimento</t>
  </si>
  <si>
    <t>Cantidad (g)</t>
  </si>
  <si>
    <t>Factor de conversión</t>
  </si>
  <si>
    <t>Ángulo de reposo para diferentes alimentos</t>
  </si>
  <si>
    <t>Ángulo (Ω±2) °</t>
  </si>
  <si>
    <t>Desv. Esta (°)</t>
  </si>
  <si>
    <t>Error (°)</t>
  </si>
  <si>
    <t>Tabla 1 Medición de la masa para los distintos materiales</t>
  </si>
  <si>
    <t>ml</t>
  </si>
  <si>
    <t>No</t>
  </si>
  <si>
    <t>Masa beaker 80 ml</t>
  </si>
  <si>
    <t>Masa beaker 200 ml</t>
  </si>
  <si>
    <t>Masa tazón 200 ml</t>
  </si>
  <si>
    <t>Ángulos de reposo para diferentes alimentos</t>
  </si>
  <si>
    <t>Ángulo (Ω±1) °</t>
  </si>
  <si>
    <t>Romana</t>
  </si>
  <si>
    <t>Modelo</t>
  </si>
  <si>
    <t>SNOWREX EJ-600</t>
  </si>
  <si>
    <t>Resolución (g)</t>
  </si>
  <si>
    <t>TA-WS 503</t>
  </si>
  <si>
    <t>Beaker</t>
  </si>
  <si>
    <t>(ml)</t>
  </si>
  <si>
    <t>Capacidad</t>
  </si>
  <si>
    <t>Resolución</t>
  </si>
  <si>
    <t>Tazón</t>
  </si>
  <si>
    <t>Acrílico</t>
  </si>
  <si>
    <t>Acrílico 80x15x3 mm3</t>
  </si>
  <si>
    <t>Densidades de los alimentos</t>
  </si>
  <si>
    <t>Cuadrado</t>
  </si>
  <si>
    <t>Rectángulo</t>
  </si>
  <si>
    <t>Círculo</t>
  </si>
  <si>
    <t>Número de figura</t>
  </si>
  <si>
    <t>1 si es pulgada, 0 si es centímetro</t>
  </si>
  <si>
    <t>1. Ingrese la unidad</t>
  </si>
  <si>
    <t>2. Ingrese el valor de la figura que desea. Ej: si quiere cuadrado ingrese 1.</t>
  </si>
  <si>
    <t>2. Ingrese el número de figura</t>
  </si>
  <si>
    <t>4. Ingresar cantidad de cada alimento</t>
  </si>
  <si>
    <t>3. Caraterísticas geométricas</t>
  </si>
  <si>
    <t>Área (cm2)</t>
  </si>
  <si>
    <t>¡Léeme!</t>
  </si>
  <si>
    <t>Conc.</t>
  </si>
  <si>
    <t>Adic.</t>
  </si>
  <si>
    <t>Min.</t>
  </si>
  <si>
    <t>Sec.</t>
  </si>
  <si>
    <t>Lev.</t>
  </si>
  <si>
    <t>Gra.</t>
  </si>
  <si>
    <t>Pasos para usar el archivo.</t>
  </si>
  <si>
    <t>1. Seleccione la unidad para trabajar. 1 si es pulgada, 0 si es centímetro.</t>
  </si>
  <si>
    <t>4. Ingrese la cantidad de los alimentos que necesita en g.</t>
  </si>
  <si>
    <t>3. Ingrese las características geométricas de la figura. Ej: si eligió el círculo ingrese el diámetro.</t>
  </si>
  <si>
    <t>Ingrese el modo</t>
  </si>
  <si>
    <t>Área ---&gt; altura 0; altura ---&gt;Area 1</t>
  </si>
  <si>
    <t>Sumatoria</t>
  </si>
  <si>
    <t>Ingrese la altura deseada</t>
  </si>
  <si>
    <t>En caso de hacer el proceso inverso:</t>
  </si>
  <si>
    <t>5. Seleccione en la casilla B25 el modo que desea e ingrese la altura deseada. Se mostrarán el diámetro y el lado para figuras circular y cuadradas.</t>
  </si>
  <si>
    <t>Requerimiento de alimentos para 25 vacas</t>
  </si>
  <si>
    <t>Máximo (kg)</t>
  </si>
  <si>
    <t>Mínimo (kg)</t>
  </si>
  <si>
    <t>Total (kg)</t>
  </si>
  <si>
    <t>Total vacas</t>
  </si>
  <si>
    <t>Proporción en el tamaño de los volúmenes</t>
  </si>
  <si>
    <t xml:space="preserve"> </t>
  </si>
  <si>
    <t>Componentes del concentrado</t>
  </si>
  <si>
    <t xml:space="preserve">Componente </t>
  </si>
  <si>
    <t>Porcentaje</t>
  </si>
  <si>
    <t>Maiz</t>
  </si>
  <si>
    <t>DDG</t>
  </si>
  <si>
    <t>Densidad (kg/m3)</t>
  </si>
  <si>
    <t>Asmite</t>
  </si>
  <si>
    <t>Cascarilla soya hojuela</t>
  </si>
  <si>
    <t>Miel</t>
  </si>
  <si>
    <t>Harina soya</t>
  </si>
  <si>
    <t>Componentes del adicional</t>
  </si>
  <si>
    <t>Harina de coquito solvente</t>
  </si>
  <si>
    <t>Volumen</t>
  </si>
  <si>
    <t>Caracterización de los alimentos y tazas de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</si>
</sst>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indexed="64"/>
      </bottom>
      <diagonal/>
    </border>
  </borders>
  <cellStyleXfs count="6">
    <xf numFmtId="0" fontId="0" fillId="0" borderId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2" fontId="0" fillId="0" borderId="0" xfId="0" applyNumberFormat="1"/>
    <xf numFmtId="165" fontId="0" fillId="0" borderId="0" xfId="0" applyNumberForma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5" fillId="2" borderId="1" xfId="0" applyFont="1" applyFill="1" applyBorder="1"/>
    <xf numFmtId="0" fontId="0" fillId="3" borderId="0" xfId="0" applyFont="1" applyFill="1"/>
    <xf numFmtId="164" fontId="0" fillId="3" borderId="0" xfId="0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3" borderId="0" xfId="0" applyNumberFormat="1" applyFont="1" applyFill="1"/>
    <xf numFmtId="1" fontId="0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0" fillId="3" borderId="0" xfId="0" applyNumberFormat="1" applyFont="1" applyFill="1"/>
    <xf numFmtId="2" fontId="0" fillId="0" borderId="0" xfId="0" applyNumberFormat="1" applyFont="1"/>
    <xf numFmtId="0" fontId="2" fillId="3" borderId="2" xfId="0" applyFont="1" applyFill="1" applyBorder="1"/>
    <xf numFmtId="0" fontId="4" fillId="0" borderId="0" xfId="0" applyFont="1"/>
    <xf numFmtId="0" fontId="6" fillId="6" borderId="3" xfId="3" applyBorder="1"/>
    <xf numFmtId="0" fontId="6" fillId="7" borderId="3" xfId="4" applyBorder="1"/>
    <xf numFmtId="0" fontId="6" fillId="5" borderId="3" xfId="2" applyBorder="1"/>
    <xf numFmtId="0" fontId="6" fillId="8" borderId="3" xfId="5" applyBorder="1"/>
    <xf numFmtId="0" fontId="5" fillId="9" borderId="6" xfId="0" applyFont="1" applyFill="1" applyBorder="1"/>
    <xf numFmtId="0" fontId="0" fillId="3" borderId="6" xfId="0" applyFont="1" applyFill="1" applyBorder="1"/>
    <xf numFmtId="0" fontId="5" fillId="9" borderId="7" xfId="0" applyFont="1" applyFill="1" applyBorder="1"/>
    <xf numFmtId="0" fontId="0" fillId="7" borderId="3" xfId="4" applyFont="1" applyBorder="1"/>
    <xf numFmtId="0" fontId="2" fillId="0" borderId="0" xfId="0" applyFont="1" applyAlignment="1">
      <alignment vertical="center" wrapText="1"/>
    </xf>
    <xf numFmtId="2" fontId="0" fillId="3" borderId="2" xfId="0" applyNumberFormat="1" applyFont="1" applyFill="1" applyBorder="1"/>
    <xf numFmtId="0" fontId="2" fillId="0" borderId="0" xfId="0" applyFont="1" applyAlignment="1">
      <alignment horizontal="right"/>
    </xf>
    <xf numFmtId="2" fontId="0" fillId="3" borderId="6" xfId="0" applyNumberFormat="1" applyFont="1" applyFill="1" applyBorder="1"/>
    <xf numFmtId="2" fontId="6" fillId="5" borderId="3" xfId="2" applyNumberFormat="1" applyBorder="1"/>
    <xf numFmtId="2" fontId="6" fillId="6" borderId="3" xfId="3" applyNumberFormat="1" applyBorder="1"/>
    <xf numFmtId="1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4" xfId="2" applyFont="1" applyBorder="1" applyAlignment="1">
      <alignment horizontal="center"/>
    </xf>
    <xf numFmtId="0" fontId="2" fillId="5" borderId="5" xfId="2" applyFont="1" applyBorder="1" applyAlignment="1">
      <alignment horizontal="center"/>
    </xf>
    <xf numFmtId="0" fontId="2" fillId="6" borderId="4" xfId="3" applyFont="1" applyBorder="1" applyAlignment="1">
      <alignment horizontal="center"/>
    </xf>
    <xf numFmtId="0" fontId="2" fillId="6" borderId="5" xfId="3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4" borderId="0" xfId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7" borderId="4" xfId="4" applyFont="1" applyBorder="1" applyAlignment="1">
      <alignment horizontal="center"/>
    </xf>
    <xf numFmtId="0" fontId="2" fillId="7" borderId="5" xfId="4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/>
  </cellXfs>
  <cellStyles count="6">
    <cellStyle name="40% - Énfasis2" xfId="2" builtinId="35"/>
    <cellStyle name="40% - Énfasis4" xfId="3" builtinId="43"/>
    <cellStyle name="40% - Énfasis5" xfId="4" builtinId="47"/>
    <cellStyle name="40% - Énfasis6" xfId="5" builtinId="51"/>
    <cellStyle name="Incorrecto" xfId="1" builtinId="27"/>
    <cellStyle name="Normal" xfId="0" builtinId="0"/>
  </cellStyles>
  <dxfs count="2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9525</xdr:rowOff>
    </xdr:from>
    <xdr:to>
      <xdr:col>7</xdr:col>
      <xdr:colOff>542925</xdr:colOff>
      <xdr:row>6</xdr:row>
      <xdr:rowOff>123825</xdr:rowOff>
    </xdr:to>
    <xdr:sp macro="" textlink="">
      <xdr:nvSpPr>
        <xdr:cNvPr id="3" name="Elipse 2"/>
        <xdr:cNvSpPr/>
      </xdr:nvSpPr>
      <xdr:spPr>
        <a:xfrm>
          <a:off x="6581775" y="200025"/>
          <a:ext cx="523875" cy="49530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R" sz="2000" b="1">
              <a:solidFill>
                <a:sysClr val="windowText" lastClr="000000"/>
              </a:solidFill>
            </a:rPr>
            <a:t>3</a:t>
          </a:r>
          <a:endParaRPr lang="es-C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4</xdr:row>
      <xdr:rowOff>19050</xdr:rowOff>
    </xdr:from>
    <xdr:to>
      <xdr:col>3</xdr:col>
      <xdr:colOff>523875</xdr:colOff>
      <xdr:row>6</xdr:row>
      <xdr:rowOff>95250</xdr:rowOff>
    </xdr:to>
    <xdr:sp macro="" textlink="">
      <xdr:nvSpPr>
        <xdr:cNvPr id="4" name="Rectángulo 3"/>
        <xdr:cNvSpPr/>
      </xdr:nvSpPr>
      <xdr:spPr>
        <a:xfrm>
          <a:off x="3381375" y="209550"/>
          <a:ext cx="504825" cy="457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R" sz="2000" b="1">
              <a:solidFill>
                <a:sysClr val="windowText" lastClr="000000"/>
              </a:solidFill>
            </a:rPr>
            <a:t>1</a:t>
          </a:r>
          <a:endParaRPr lang="es-C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4</xdr:row>
      <xdr:rowOff>19050</xdr:rowOff>
    </xdr:from>
    <xdr:to>
      <xdr:col>6</xdr:col>
      <xdr:colOff>457200</xdr:colOff>
      <xdr:row>6</xdr:row>
      <xdr:rowOff>104775</xdr:rowOff>
    </xdr:to>
    <xdr:sp macro="" textlink="">
      <xdr:nvSpPr>
        <xdr:cNvPr id="5" name="Rectángulo 4"/>
        <xdr:cNvSpPr/>
      </xdr:nvSpPr>
      <xdr:spPr>
        <a:xfrm>
          <a:off x="5057775" y="209550"/>
          <a:ext cx="1200150" cy="4667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R" sz="20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0" name="Tabla10" displayName="Tabla10" ref="A3:C5" totalsRowShown="0">
  <autoFilter ref="A3:C5"/>
  <tableColumns count="3">
    <tableColumn id="1" name="Variable"/>
    <tableColumn id="2" name="Masa (g)">
      <calculatedColumnFormula>_xlfn.STDEV.S(Mediciones!B3:B32)</calculatedColumnFormula>
    </tableColumn>
    <tableColumn id="3" name="Error (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1" name="Tabla11" displayName="Tabla11" ref="E3:G5" totalsRowShown="0">
  <autoFilter ref="E3:G5"/>
  <tableColumns count="3">
    <tableColumn id="1" name="Variable"/>
    <tableColumn id="2" name="Masa (g)" dataDxfId="26">
      <calculatedColumnFormula>_xlfn.STDEV.S(Mediciones!E3:E32)</calculatedColumnFormula>
    </tableColumn>
    <tableColumn id="3" name="Error (g)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2" name="Tabla12" displayName="Tabla12" ref="I3:K5" totalsRowShown="0">
  <autoFilter ref="I3:K5"/>
  <tableColumns count="3">
    <tableColumn id="1" name="Variable"/>
    <tableColumn id="2" name="Masa (g)" dataDxfId="24">
      <calculatedColumnFormula>_xlfn.STDEV.S(Mediciones!H3:H32)</calculatedColumnFormula>
    </tableColumn>
    <tableColumn id="3" name="Error (g)" dataDxfId="2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5" name="Tabla15" displayName="Tabla15" ref="A8:C10" totalsRowShown="0">
  <autoFilter ref="A8:C10"/>
  <tableColumns count="3">
    <tableColumn id="1" name="Columna1"/>
    <tableColumn id="2" name="Masa (g)" dataDxfId="22">
      <calculatedColumnFormula>_xlfn.STDEV.S(Mediciones!B36:B65)</calculatedColumnFormula>
    </tableColumn>
    <tableColumn id="3" name="Error (g)" dataDxfId="2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6" name="Tabla16" displayName="Tabla16" ref="E8:G10" totalsRowShown="0">
  <autoFilter ref="E8:G10"/>
  <tableColumns count="3">
    <tableColumn id="1" name="Variable"/>
    <tableColumn id="2" name="Masa (g)" dataDxfId="20">
      <calculatedColumnFormula>_xlfn.STDEV.S(Mediciones!E36:E65)</calculatedColumnFormula>
    </tableColumn>
    <tableColumn id="3" name="Error (g)" dataDxfId="19">
      <calculatedColumnFormula>SQRT((0.01/SQRT(3))^2+(F10/SQRT(30))^2)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7" name="Tabla17" displayName="Tabla17" ref="A14:C18" totalsRowShown="0">
  <autoFilter ref="A14:C18"/>
  <tableColumns count="3">
    <tableColumn id="1" name="Alimento"/>
    <tableColumn id="2" name="Densidad (g/ml)" dataDxfId="18"/>
    <tableColumn id="3" name="Error (g/ml)" dataDxfId="17">
      <calculatedColumnFormula>E64</calculatedColumnFormula>
    </tableColumn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I8:K10" totalsRowShown="0">
  <autoFilter ref="I8:K10"/>
  <tableColumns count="3">
    <tableColumn id="1" name="Variable "/>
    <tableColumn id="2" name="Masa (g)">
      <calculatedColumnFormula>_xlfn.STDEV.S(Tabla1[Masa (g)])</calculatedColumnFormula>
    </tableColumn>
    <tableColumn id="3" name="Error (g)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3" name="Tabla2114" displayName="Tabla2114" ref="M3:O5" totalsRowShown="0">
  <autoFilter ref="M3:O5"/>
  <tableColumns count="3">
    <tableColumn id="1" name="Variable"/>
    <tableColumn id="2" name="Masa (g)">
      <calculatedColumnFormula>_xlfn.STDEV.S(Mediciones!J3:J32)</calculatedColumnFormula>
    </tableColumn>
    <tableColumn id="3" name="Error (g)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9" name="Tabla19" displayName="Tabla19" ref="A6:B12" totalsRowShown="0">
  <autoFilter ref="A6:B12"/>
  <tableColumns count="2">
    <tableColumn id="1" name="Alimento"/>
    <tableColumn id="2" name="Cantidad (g)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id="3" name="Tabla3" displayName="Tabla3" ref="A3:B33" totalsRowShown="0">
  <autoFilter ref="A3:B33"/>
  <tableColumns count="2">
    <tableColumn id="1" name="No"/>
    <tableColumn id="2" name="Masa (g)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4" name="Tabla4" displayName="Tabla4" ref="D3:E33" totalsRowShown="0">
  <autoFilter ref="D3:E33"/>
  <tableColumns count="2">
    <tableColumn id="1" name="No"/>
    <tableColumn id="2" name="Masa (g)" dataDxfId="15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5" name="Tabla5" displayName="Tabla5" ref="G3:H33" totalsRowShown="0">
  <autoFilter ref="G3:H33"/>
  <tableColumns count="2">
    <tableColumn id="1" name="No"/>
    <tableColumn id="2" name="Masa (g)" dataDxfId="14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6" name="Tabla6" displayName="Tabla6" ref="J3:K33" totalsRowShown="0">
  <autoFilter ref="J3:K33"/>
  <tableColumns count="2">
    <tableColumn id="1" name="No"/>
    <tableColumn id="2" name="Masa (g)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7" name="Tabla7" displayName="Tabla7" ref="A36:B66" totalsRowShown="0">
  <autoFilter ref="A36:B66"/>
  <tableColumns count="2">
    <tableColumn id="1" name="No"/>
    <tableColumn id="2" name="Masa (g)" dataDxfId="12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8" name="Tabla8" displayName="Tabla8" ref="D36:E66" totalsRowShown="0" dataDxfId="11">
  <autoFilter ref="D36:E66"/>
  <tableColumns count="2">
    <tableColumn id="1" name="No" dataDxfId="10"/>
    <tableColumn id="2" name="Masa (g)" dataDxf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" name="Tabla1" displayName="Tabla1" ref="G36:H66" totalsRowShown="0">
  <autoFilter ref="G36:H66"/>
  <tableColumns count="2">
    <tableColumn id="1" name="No" dataDxfId="8"/>
    <tableColumn id="2" name="Masa (g)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id="2" name="Tabla2" displayName="Tabla2" ref="M3:N33" totalsRowShown="0">
  <autoFilter ref="M3:N33"/>
  <tableColumns count="2">
    <tableColumn id="1" name="No"/>
    <tableColumn id="2" name="Masa (g)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9" name="Tabla9" displayName="Tabla9" ref="P3:Q33" totalsRowShown="0" headerRowDxfId="7" dataDxfId="6">
  <autoFilter ref="P3:Q33"/>
  <tableColumns count="2">
    <tableColumn id="1" name="No" dataDxfId="5"/>
    <tableColumn id="2" name="Masa (g)" dataDxf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20" name="Tabla20" displayName="Tabla20" ref="A71:B81" totalsRowShown="0">
  <autoFilter ref="A71:B81"/>
  <tableColumns count="2">
    <tableColumn id="1" name="No"/>
    <tableColumn id="2" name="Ángulo (Ω±1) °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3" name="Tabla23" displayName="Tabla23" ref="D71:E81" totalsRowShown="0">
  <autoFilter ref="D71:E81"/>
  <tableColumns count="2">
    <tableColumn id="1" name="No"/>
    <tableColumn id="2" name="Ángulo (Ω±1) °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4" name="Tabla24" displayName="Tabla24" ref="A2:D6" totalsRowShown="0">
  <autoFilter ref="A2:D6"/>
  <tableColumns count="4">
    <tableColumn id="1" name="Alimento"/>
    <tableColumn id="2" name="Máximo (kg)"/>
    <tableColumn id="3" name="Mínimo (kg)"/>
    <tableColumn id="4" name="Total (kg)">
      <calculatedColumnFormula>B3*$F$2</calculatedColumnFormula>
    </tableColumn>
  </tableColumns>
  <tableStyleInfo name="TableStyleMedium16" showFirstColumn="0" showLastColumn="0" showRowStripes="1" showColumnStripes="0"/>
</table>
</file>

<file path=xl/tables/table22.xml><?xml version="1.0" encoding="utf-8"?>
<table xmlns="http://schemas.openxmlformats.org/spreadsheetml/2006/main" id="26" name="Tabla26" displayName="Tabla26" ref="A9:E13" totalsRowShown="0">
  <autoFilter ref="A9:E13"/>
  <tableColumns count="5">
    <tableColumn id="1" name="Columna1"/>
    <tableColumn id="2" name="Concentrado" dataDxfId="3">
      <calculatedColumnFormula>($B$3/B3)^(1/3)</calculatedColumnFormula>
    </tableColumn>
    <tableColumn id="3" name="Adicional" dataDxfId="2">
      <calculatedColumnFormula>($D$4/D3)^(1/3)</calculatedColumnFormula>
    </tableColumn>
    <tableColumn id="4" name="Mineral" dataDxfId="1">
      <calculatedColumnFormula>($D$5/D3)^(1/3)</calculatedColumnFormula>
    </tableColumn>
    <tableColumn id="5" name="Levadura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0"/>
  <sheetViews>
    <sheetView tabSelected="1" topLeftCell="B10" zoomScale="130" zoomScaleNormal="130" workbookViewId="0">
      <selection activeCell="J32" sqref="J32"/>
    </sheetView>
  </sheetViews>
  <sheetFormatPr baseColWidth="10" defaultColWidth="11.42578125" defaultRowHeight="15" x14ac:dyDescent="0.25"/>
  <cols>
    <col min="1" max="1" width="12.7109375" customWidth="1"/>
    <col min="2" max="2" width="17.5703125" bestFit="1" customWidth="1"/>
    <col min="3" max="3" width="13.5703125" bestFit="1" customWidth="1"/>
    <col min="4" max="4" width="12" customWidth="1"/>
    <col min="5" max="5" width="12" bestFit="1" customWidth="1"/>
    <col min="16" max="17" width="11.42578125" customWidth="1"/>
    <col min="18" max="18" width="11.85546875" customWidth="1"/>
    <col min="19" max="19" width="11.42578125" customWidth="1"/>
  </cols>
  <sheetData>
    <row r="1" spans="1:23" ht="18.75" x14ac:dyDescent="0.3">
      <c r="A1" s="39" t="s">
        <v>102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51"/>
      <c r="Q1" s="51"/>
      <c r="R1" s="51"/>
      <c r="S1" s="51"/>
    </row>
    <row r="2" spans="1:23" x14ac:dyDescent="0.25">
      <c r="A2" s="38" t="s">
        <v>0</v>
      </c>
      <c r="B2" s="38"/>
      <c r="C2" s="38"/>
      <c r="D2" s="2"/>
      <c r="E2" s="38" t="s">
        <v>1</v>
      </c>
      <c r="F2" s="38"/>
      <c r="G2" s="38"/>
      <c r="H2" s="2"/>
      <c r="I2" s="38" t="s">
        <v>2</v>
      </c>
      <c r="J2" s="38"/>
      <c r="K2" s="38"/>
      <c r="L2" s="2"/>
      <c r="M2" s="38" t="s">
        <v>4</v>
      </c>
      <c r="N2" s="38"/>
      <c r="O2" s="38"/>
      <c r="Q2" s="52"/>
      <c r="R2" s="52"/>
      <c r="S2" s="52"/>
      <c r="U2" s="52"/>
      <c r="V2" s="52"/>
      <c r="W2" s="52"/>
    </row>
    <row r="3" spans="1:23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  <c r="I3" t="s">
        <v>6</v>
      </c>
      <c r="J3" t="s">
        <v>7</v>
      </c>
      <c r="K3" t="s">
        <v>8</v>
      </c>
      <c r="M3" s="4" t="s">
        <v>6</v>
      </c>
      <c r="N3" t="s">
        <v>7</v>
      </c>
      <c r="O3" t="s">
        <v>8</v>
      </c>
      <c r="Q3" s="4"/>
      <c r="U3" s="4"/>
    </row>
    <row r="4" spans="1:23" x14ac:dyDescent="0.25">
      <c r="A4" t="s">
        <v>9</v>
      </c>
      <c r="B4" s="3">
        <f>AVERAGE(Mediciones!B4:B33)</f>
        <v>151.18866666666662</v>
      </c>
      <c r="C4" s="3">
        <f>SQRT((0.01/SQRT(3))^2+(B5/SQRT(30))^2)</f>
        <v>5.983374155401084E-3</v>
      </c>
      <c r="E4" t="s">
        <v>9</v>
      </c>
      <c r="F4" s="3">
        <f>AVERAGE(Mediciones!E4:E33)</f>
        <v>104.70133333333332</v>
      </c>
      <c r="G4" s="3">
        <f>SQRT((0.01/SQRT(3))^2+(F5/SQRT(30))^2)</f>
        <v>5.8669801379156459E-3</v>
      </c>
      <c r="I4" t="s">
        <v>9</v>
      </c>
      <c r="J4" s="3">
        <f>AVERAGE(Mediciones!H4:H33)</f>
        <v>198.46700000000001</v>
      </c>
      <c r="K4" s="3">
        <f>SQRT((0.01/SQRT(3))^2+(J5/SQRT(30))^2)</f>
        <v>5.8358779343271484E-3</v>
      </c>
      <c r="M4" t="s">
        <v>9</v>
      </c>
      <c r="N4">
        <f>AVERAGE(Mediciones!J4:J33)</f>
        <v>15.5</v>
      </c>
      <c r="O4" s="5">
        <f>SQRT((1/SQRT(3))^2+(N5/SQRT(30))^2)</f>
        <v>1.7078251276599332</v>
      </c>
      <c r="S4" s="5"/>
      <c r="W4" s="5"/>
    </row>
    <row r="5" spans="1:23" x14ac:dyDescent="0.25">
      <c r="A5" t="s">
        <v>10</v>
      </c>
      <c r="B5" s="3">
        <f>_xlfn.STDEV.S(Mediciones!B4:B33)</f>
        <v>8.6036613430358292E-3</v>
      </c>
      <c r="E5" t="s">
        <v>10</v>
      </c>
      <c r="F5" s="3">
        <f>_xlfn.STDEV.S(Mediciones!E4:E33)</f>
        <v>5.7134646372320082E-3</v>
      </c>
      <c r="G5" s="3"/>
      <c r="I5" t="s">
        <v>10</v>
      </c>
      <c r="J5" s="3">
        <f>_xlfn.STDEV.S(Mediciones!H4:H33)</f>
        <v>4.6609159969897528E-3</v>
      </c>
      <c r="K5" s="3"/>
      <c r="M5" t="s">
        <v>10</v>
      </c>
      <c r="N5">
        <f>_xlfn.STDEV.S(Mediciones!J4:J33)</f>
        <v>8.8034084308295046</v>
      </c>
    </row>
    <row r="7" spans="1:23" x14ac:dyDescent="0.25">
      <c r="A7" s="38" t="s">
        <v>11</v>
      </c>
      <c r="B7" s="38"/>
      <c r="C7" s="38"/>
      <c r="D7" s="2"/>
      <c r="E7" s="38" t="s">
        <v>12</v>
      </c>
      <c r="F7" s="38"/>
      <c r="G7" s="38"/>
      <c r="H7" s="2"/>
      <c r="I7" s="38" t="s">
        <v>13</v>
      </c>
      <c r="J7" s="38"/>
      <c r="K7" s="38"/>
      <c r="M7" s="4"/>
    </row>
    <row r="8" spans="1:23" x14ac:dyDescent="0.25">
      <c r="A8" t="s">
        <v>14</v>
      </c>
      <c r="B8" t="s">
        <v>7</v>
      </c>
      <c r="C8" t="s">
        <v>8</v>
      </c>
      <c r="E8" t="s">
        <v>6</v>
      </c>
      <c r="F8" t="s">
        <v>7</v>
      </c>
      <c r="G8" t="s">
        <v>8</v>
      </c>
      <c r="I8" t="s">
        <v>15</v>
      </c>
      <c r="J8" t="s">
        <v>7</v>
      </c>
      <c r="K8" t="s">
        <v>8</v>
      </c>
    </row>
    <row r="9" spans="1:23" x14ac:dyDescent="0.25">
      <c r="A9" t="s">
        <v>9</v>
      </c>
      <c r="B9" s="3">
        <f>AVERAGE(Mediciones!B37:B66)</f>
        <v>51.609333333333304</v>
      </c>
      <c r="C9" s="3">
        <f>SQRT((0.01/SQRT(3))^2+(B10/SQRT(30))^2)</f>
        <v>5.8316089405282294E-3</v>
      </c>
      <c r="E9" t="s">
        <v>9</v>
      </c>
      <c r="F9" s="3">
        <f>AVERAGE(Mediciones!E37:E66)</f>
        <v>91.186666666666682</v>
      </c>
      <c r="G9" s="3">
        <f>SQRT((0.01/SQRT(3))^2+(F10/SQRT(30))^2)</f>
        <v>5.8982431308526101E-3</v>
      </c>
      <c r="I9" t="s">
        <v>9</v>
      </c>
      <c r="J9">
        <f>AVERAGE(Tabla1[Masa (g)])</f>
        <v>30</v>
      </c>
      <c r="K9" s="6">
        <f>SQRT((1/SQRT(3))^2+(J10/SQRT(30))^2)</f>
        <v>0.57735026918962584</v>
      </c>
      <c r="O9" s="6"/>
    </row>
    <row r="10" spans="1:23" x14ac:dyDescent="0.25">
      <c r="A10" t="s">
        <v>10</v>
      </c>
      <c r="B10" s="3">
        <f>_xlfn.STDEV.S(Mediciones!B37:B66)</f>
        <v>4.497764451087142E-3</v>
      </c>
      <c r="C10" s="3"/>
      <c r="E10" t="s">
        <v>10</v>
      </c>
      <c r="F10" s="3">
        <f>_xlfn.STDEV.S(Mediciones!E37:E66)</f>
        <v>6.6089455225096213E-3</v>
      </c>
      <c r="G10" s="3">
        <f t="shared" ref="G10" si="0">SQRT((0.01/SQRT(3))^2+(F11/SQRT(30))^2)</f>
        <v>5.773502691896258E-3</v>
      </c>
      <c r="I10" t="s">
        <v>10</v>
      </c>
      <c r="J10">
        <f>_xlfn.STDEV.S(Tabla1[Masa (g)])</f>
        <v>0</v>
      </c>
    </row>
    <row r="13" spans="1:23" x14ac:dyDescent="0.25">
      <c r="A13" s="4" t="s">
        <v>53</v>
      </c>
      <c r="B13" s="4"/>
      <c r="C13" s="4"/>
    </row>
    <row r="14" spans="1:23" x14ac:dyDescent="0.25">
      <c r="A14" t="s">
        <v>26</v>
      </c>
      <c r="B14" t="s">
        <v>17</v>
      </c>
      <c r="C14" t="s">
        <v>18</v>
      </c>
    </row>
    <row r="15" spans="1:23" x14ac:dyDescent="0.25">
      <c r="A15" t="s">
        <v>1</v>
      </c>
      <c r="B15" s="3">
        <v>0.52</v>
      </c>
      <c r="C15" s="3">
        <f>E64</f>
        <v>1.1010889982998092E-3</v>
      </c>
      <c r="D15" s="3"/>
      <c r="F15" s="5"/>
      <c r="G15" s="5"/>
    </row>
    <row r="16" spans="1:23" x14ac:dyDescent="0.25">
      <c r="A16" t="s">
        <v>2</v>
      </c>
      <c r="B16" s="3">
        <f>Hoja1!E21</f>
        <v>0.29499999999999998</v>
      </c>
      <c r="C16" s="3">
        <f>E65</f>
        <v>4.4957321587119851E-3</v>
      </c>
      <c r="D16" s="3"/>
    </row>
    <row r="17" spans="1:4" x14ac:dyDescent="0.25">
      <c r="A17" t="s">
        <v>0</v>
      </c>
      <c r="B17" s="3">
        <f>(B4-B9)/80</f>
        <v>1.2447416666666666</v>
      </c>
      <c r="C17" s="3">
        <f>E66</f>
        <v>3.8734654494073264E-3</v>
      </c>
      <c r="D17" s="3"/>
    </row>
    <row r="18" spans="1:4" x14ac:dyDescent="0.25">
      <c r="A18" t="s">
        <v>4</v>
      </c>
      <c r="B18" s="5">
        <f>(R4-J9)/200</f>
        <v>-0.15</v>
      </c>
      <c r="C18" s="3">
        <f>E68</f>
        <v>1.0435350756227549E-2</v>
      </c>
    </row>
    <row r="19" spans="1:4" x14ac:dyDescent="0.25">
      <c r="B19" s="5"/>
      <c r="C19" s="3"/>
    </row>
    <row r="20" spans="1:4" x14ac:dyDescent="0.25">
      <c r="B20" s="5"/>
      <c r="C20" s="3"/>
    </row>
    <row r="21" spans="1:4" x14ac:dyDescent="0.25">
      <c r="B21" s="5"/>
      <c r="C21" s="3"/>
    </row>
    <row r="22" spans="1:4" x14ac:dyDescent="0.25">
      <c r="B22" s="5"/>
      <c r="C22" s="3"/>
    </row>
    <row r="23" spans="1:4" x14ac:dyDescent="0.25">
      <c r="B23" s="5"/>
      <c r="C23" s="3"/>
    </row>
    <row r="24" spans="1:4" x14ac:dyDescent="0.25">
      <c r="B24" s="5"/>
      <c r="C24" s="3"/>
    </row>
    <row r="25" spans="1:4" x14ac:dyDescent="0.25">
      <c r="B25" s="5"/>
      <c r="C25" s="3"/>
    </row>
    <row r="26" spans="1:4" x14ac:dyDescent="0.25">
      <c r="B26" s="5"/>
      <c r="C26" s="3"/>
    </row>
    <row r="27" spans="1:4" x14ac:dyDescent="0.25">
      <c r="B27" s="5"/>
      <c r="C27" s="3"/>
    </row>
    <row r="28" spans="1:4" x14ac:dyDescent="0.25">
      <c r="B28" s="5"/>
      <c r="C28" s="3"/>
    </row>
    <row r="29" spans="1:4" x14ac:dyDescent="0.25">
      <c r="B29" s="5"/>
      <c r="C29" s="3"/>
    </row>
    <row r="30" spans="1:4" x14ac:dyDescent="0.25">
      <c r="B30" s="5"/>
      <c r="C30" s="3"/>
    </row>
    <row r="31" spans="1:4" x14ac:dyDescent="0.25">
      <c r="B31" s="5"/>
      <c r="C31" s="3"/>
    </row>
    <row r="32" spans="1:4" x14ac:dyDescent="0.25">
      <c r="B32" s="5"/>
      <c r="C32" s="3"/>
    </row>
    <row r="33" spans="2:3" x14ac:dyDescent="0.25">
      <c r="B33" s="5"/>
      <c r="C33" s="3"/>
    </row>
    <row r="34" spans="2:3" x14ac:dyDescent="0.25">
      <c r="B34" s="5"/>
      <c r="C34" s="3"/>
    </row>
    <row r="35" spans="2:3" x14ac:dyDescent="0.25">
      <c r="B35" s="5"/>
      <c r="C35" s="3"/>
    </row>
    <row r="36" spans="2:3" x14ac:dyDescent="0.25">
      <c r="B36" s="5"/>
      <c r="C36" s="3"/>
    </row>
    <row r="37" spans="2:3" x14ac:dyDescent="0.25">
      <c r="B37" s="5"/>
      <c r="C37" s="3"/>
    </row>
    <row r="38" spans="2:3" x14ac:dyDescent="0.25">
      <c r="B38" s="5"/>
      <c r="C38" s="3"/>
    </row>
    <row r="39" spans="2:3" x14ac:dyDescent="0.25">
      <c r="B39" s="5"/>
      <c r="C39" s="3"/>
    </row>
    <row r="40" spans="2:3" x14ac:dyDescent="0.25">
      <c r="B40" s="5"/>
      <c r="C40" s="3"/>
    </row>
    <row r="41" spans="2:3" x14ac:dyDescent="0.25">
      <c r="B41" s="5"/>
      <c r="C41" s="3"/>
    </row>
    <row r="42" spans="2:3" x14ac:dyDescent="0.25">
      <c r="B42" s="5"/>
      <c r="C42" s="3"/>
    </row>
    <row r="43" spans="2:3" x14ac:dyDescent="0.25">
      <c r="B43" s="5"/>
      <c r="C43" s="3"/>
    </row>
    <row r="44" spans="2:3" x14ac:dyDescent="0.25">
      <c r="B44" s="5"/>
      <c r="C44" s="3"/>
    </row>
    <row r="45" spans="2:3" x14ac:dyDescent="0.25">
      <c r="B45" s="5"/>
      <c r="C45" s="3"/>
    </row>
    <row r="46" spans="2:3" x14ac:dyDescent="0.25">
      <c r="B46" s="5"/>
      <c r="C46" s="3"/>
    </row>
    <row r="47" spans="2:3" x14ac:dyDescent="0.25">
      <c r="B47" s="5"/>
      <c r="C47" s="3"/>
    </row>
    <row r="48" spans="2:3" x14ac:dyDescent="0.25">
      <c r="B48" s="5"/>
      <c r="C48" s="3"/>
    </row>
    <row r="49" spans="1:5" x14ac:dyDescent="0.25">
      <c r="B49" s="5"/>
      <c r="C49" s="3"/>
    </row>
    <row r="50" spans="1:5" x14ac:dyDescent="0.25">
      <c r="B50" s="5"/>
      <c r="C50" s="3"/>
    </row>
    <row r="51" spans="1:5" x14ac:dyDescent="0.25">
      <c r="B51" s="5"/>
      <c r="C51" s="3"/>
    </row>
    <row r="63" spans="1:5" x14ac:dyDescent="0.25">
      <c r="A63" t="s">
        <v>19</v>
      </c>
      <c r="B63" t="s">
        <v>20</v>
      </c>
      <c r="C63" t="s">
        <v>21</v>
      </c>
      <c r="D63" t="s">
        <v>22</v>
      </c>
      <c r="E63" t="s">
        <v>23</v>
      </c>
    </row>
    <row r="64" spans="1:5" x14ac:dyDescent="0.25">
      <c r="A64" t="s">
        <v>1</v>
      </c>
      <c r="B64">
        <f>(G4/80)^2</f>
        <v>5.378352490421357E-9</v>
      </c>
      <c r="C64">
        <f>($C$9/80)^2</f>
        <v>5.3136973180076226E-9</v>
      </c>
      <c r="D64">
        <f>((F4-B9)/(80^2)*Instrumentos!B10)^2</f>
        <v>1.1010783062500007E-3</v>
      </c>
      <c r="E64">
        <f>SUM(B64:D64)</f>
        <v>1.1010889982998092E-3</v>
      </c>
    </row>
    <row r="65" spans="1:5" x14ac:dyDescent="0.25">
      <c r="A65" t="s">
        <v>2</v>
      </c>
      <c r="B65">
        <f>(K4/200)^2</f>
        <v>8.5143678160916256E-10</v>
      </c>
      <c r="C65">
        <f>(G9/200)^2</f>
        <v>8.6973180076624988E-10</v>
      </c>
      <c r="D65">
        <f>((J4-F9)*Instrumentos!B14/(200^2))^2</f>
        <v>4.4957304375434024E-3</v>
      </c>
      <c r="E65">
        <f>SUM(B65:D65)</f>
        <v>4.4957321587119851E-3</v>
      </c>
    </row>
    <row r="66" spans="1:5" x14ac:dyDescent="0.25">
      <c r="A66" t="s">
        <v>0</v>
      </c>
      <c r="B66">
        <f>(C4/80)^2</f>
        <v>5.5938697318002557E-9</v>
      </c>
      <c r="C66">
        <f>($C$9/80)^2</f>
        <v>5.3136973180076226E-9</v>
      </c>
      <c r="D66">
        <f>((B4-B9)/(80^2)*Instrumentos!B10)^2</f>
        <v>3.8734545418402768E-3</v>
      </c>
      <c r="E66">
        <f t="shared" ref="E66:E67" si="1">SUM(B66:D66)</f>
        <v>3.8734654494073264E-3</v>
      </c>
    </row>
    <row r="67" spans="1:5" x14ac:dyDescent="0.25">
      <c r="A67" t="s">
        <v>24</v>
      </c>
      <c r="B67">
        <f>(O4/80)^2</f>
        <v>4.5572916666666673E-4</v>
      </c>
      <c r="C67">
        <f>($C$9/80)^2</f>
        <v>5.3136973180076226E-9</v>
      </c>
      <c r="D67">
        <f>((N4-$B$9)/(80^2)*Instrumentos!B10)^2</f>
        <v>5.0932966944444366E-4</v>
      </c>
      <c r="E67">
        <f t="shared" si="1"/>
        <v>9.6506414980842832E-4</v>
      </c>
    </row>
    <row r="68" spans="1:5" x14ac:dyDescent="0.25">
      <c r="A68" t="s">
        <v>4</v>
      </c>
      <c r="B68">
        <f>(O4/200)^2</f>
        <v>7.2916666666666686E-5</v>
      </c>
      <c r="C68">
        <f>($K$9/200)^2</f>
        <v>8.3333333333333371E-6</v>
      </c>
      <c r="D68">
        <f>((N4-$K$9)/(200^2)*Instrumentos!$B$18)^2</f>
        <v>3.4794605466946076E-4</v>
      </c>
      <c r="E68">
        <f>SUM(E64:E67)</f>
        <v>1.0435350756227549E-2</v>
      </c>
    </row>
    <row r="69" spans="1:5" x14ac:dyDescent="0.25">
      <c r="A69" t="s">
        <v>5</v>
      </c>
      <c r="B69">
        <f>(W4/200)^2</f>
        <v>0</v>
      </c>
      <c r="C69">
        <f>($K$9/200)^2</f>
        <v>8.3333333333333371E-6</v>
      </c>
      <c r="D69">
        <f>((V4-$K$9)/(200^2)*Instrumentos!$B$18)^2</f>
        <v>5.2083333333333357E-7</v>
      </c>
      <c r="E69">
        <f>SUM(B69:D69)</f>
        <v>8.8541666666666707E-6</v>
      </c>
    </row>
    <row r="70" spans="1:5" x14ac:dyDescent="0.25">
      <c r="A70" t="s">
        <v>51</v>
      </c>
      <c r="B70">
        <f>(O9/3.6)^2</f>
        <v>0</v>
      </c>
      <c r="C70">
        <f>(0.3/3.6)^2</f>
        <v>6.9444444444444441E-3</v>
      </c>
      <c r="E70">
        <f>SUM(B70:D70)</f>
        <v>6.9444444444444441E-3</v>
      </c>
    </row>
  </sheetData>
  <mergeCells count="8">
    <mergeCell ref="A7:C7"/>
    <mergeCell ref="E7:G7"/>
    <mergeCell ref="A2:C2"/>
    <mergeCell ref="E2:G2"/>
    <mergeCell ref="I2:K2"/>
    <mergeCell ref="M2:O2"/>
    <mergeCell ref="I7:K7"/>
    <mergeCell ref="A1:O1"/>
  </mergeCells>
  <pageMargins left="0.7" right="0.7" top="0.75" bottom="0.75" header="0.3" footer="0.3"/>
  <pageSetup scale="67" fitToHeight="0"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20" zoomScaleNormal="120" workbookViewId="0">
      <selection activeCell="F8" sqref="F8"/>
    </sheetView>
  </sheetViews>
  <sheetFormatPr baseColWidth="10" defaultRowHeight="15" x14ac:dyDescent="0.25"/>
  <cols>
    <col min="1" max="1" width="28.5703125" bestFit="1" customWidth="1"/>
  </cols>
  <sheetData>
    <row r="1" spans="1:5" x14ac:dyDescent="0.25">
      <c r="A1" t="s">
        <v>89</v>
      </c>
    </row>
    <row r="2" spans="1:5" x14ac:dyDescent="0.25">
      <c r="A2" t="s">
        <v>90</v>
      </c>
      <c r="B2" t="s">
        <v>91</v>
      </c>
      <c r="C2" t="s">
        <v>94</v>
      </c>
    </row>
    <row r="3" spans="1:5" x14ac:dyDescent="0.25">
      <c r="A3" t="s">
        <v>92</v>
      </c>
      <c r="B3">
        <v>0.2</v>
      </c>
      <c r="C3">
        <v>570</v>
      </c>
      <c r="D3">
        <f>B3*C3</f>
        <v>114</v>
      </c>
    </row>
    <row r="4" spans="1:5" x14ac:dyDescent="0.25">
      <c r="A4" t="s">
        <v>93</v>
      </c>
      <c r="B4">
        <v>0.2</v>
      </c>
      <c r="C4">
        <v>400</v>
      </c>
      <c r="D4">
        <f t="shared" ref="D4:D9" si="0">B4*C4</f>
        <v>80</v>
      </c>
    </row>
    <row r="5" spans="1:5" x14ac:dyDescent="0.25">
      <c r="A5" t="s">
        <v>95</v>
      </c>
      <c r="B5">
        <v>0.3</v>
      </c>
      <c r="C5">
        <v>300</v>
      </c>
      <c r="D5">
        <f t="shared" si="0"/>
        <v>90</v>
      </c>
    </row>
    <row r="6" spans="1:5" x14ac:dyDescent="0.25">
      <c r="A6" t="s">
        <v>96</v>
      </c>
      <c r="B6">
        <v>0.15</v>
      </c>
      <c r="C6">
        <v>250</v>
      </c>
      <c r="D6">
        <f t="shared" si="0"/>
        <v>37.5</v>
      </c>
    </row>
    <row r="7" spans="1:5" x14ac:dyDescent="0.25">
      <c r="A7" t="s">
        <v>97</v>
      </c>
      <c r="B7">
        <v>0.05</v>
      </c>
      <c r="C7">
        <v>1300</v>
      </c>
      <c r="D7">
        <f t="shared" si="0"/>
        <v>65</v>
      </c>
    </row>
    <row r="8" spans="1:5" x14ac:dyDescent="0.25">
      <c r="A8" t="s">
        <v>98</v>
      </c>
      <c r="B8">
        <v>0.05</v>
      </c>
      <c r="C8">
        <v>500</v>
      </c>
      <c r="D8">
        <f t="shared" si="0"/>
        <v>25</v>
      </c>
    </row>
    <row r="9" spans="1:5" x14ac:dyDescent="0.25">
      <c r="A9" t="s">
        <v>0</v>
      </c>
      <c r="B9">
        <v>0.05</v>
      </c>
      <c r="C9">
        <v>1200</v>
      </c>
      <c r="D9">
        <f t="shared" si="0"/>
        <v>60</v>
      </c>
    </row>
    <row r="10" spans="1:5" x14ac:dyDescent="0.25">
      <c r="B10">
        <f>SUM(B3:B9)</f>
        <v>1</v>
      </c>
      <c r="D10">
        <f>SUM(D3:D9)</f>
        <v>471.5</v>
      </c>
      <c r="E10">
        <f>D10/1000</f>
        <v>0.47149999999999997</v>
      </c>
    </row>
    <row r="12" spans="1:5" x14ac:dyDescent="0.25">
      <c r="A12" t="s">
        <v>99</v>
      </c>
    </row>
    <row r="13" spans="1:5" x14ac:dyDescent="0.25">
      <c r="A13" t="s">
        <v>90</v>
      </c>
      <c r="B13" t="s">
        <v>91</v>
      </c>
      <c r="C13" t="s">
        <v>94</v>
      </c>
    </row>
    <row r="14" spans="1:5" x14ac:dyDescent="0.25">
      <c r="A14" t="s">
        <v>92</v>
      </c>
      <c r="B14">
        <v>0</v>
      </c>
      <c r="C14">
        <v>570</v>
      </c>
      <c r="D14">
        <f>B14*C14</f>
        <v>0</v>
      </c>
    </row>
    <row r="15" spans="1:5" x14ac:dyDescent="0.25">
      <c r="A15" t="s">
        <v>93</v>
      </c>
      <c r="B15">
        <v>0.1</v>
      </c>
      <c r="C15">
        <v>400</v>
      </c>
      <c r="D15">
        <f t="shared" ref="D15:D20" si="1">B15*C15</f>
        <v>40</v>
      </c>
    </row>
    <row r="16" spans="1:5" x14ac:dyDescent="0.25">
      <c r="A16" t="s">
        <v>95</v>
      </c>
      <c r="B16">
        <v>0.3</v>
      </c>
      <c r="C16">
        <v>300</v>
      </c>
      <c r="D16">
        <f t="shared" si="1"/>
        <v>90</v>
      </c>
    </row>
    <row r="17" spans="1:5" x14ac:dyDescent="0.25">
      <c r="A17" t="s">
        <v>96</v>
      </c>
      <c r="B17">
        <v>0.3</v>
      </c>
      <c r="C17">
        <v>250</v>
      </c>
      <c r="D17">
        <f t="shared" si="1"/>
        <v>75</v>
      </c>
    </row>
    <row r="18" spans="1:5" x14ac:dyDescent="0.25">
      <c r="A18" t="s">
        <v>97</v>
      </c>
      <c r="B18">
        <v>0.05</v>
      </c>
      <c r="C18">
        <v>1300</v>
      </c>
      <c r="D18">
        <f t="shared" si="1"/>
        <v>65</v>
      </c>
    </row>
    <row r="19" spans="1:5" x14ac:dyDescent="0.25">
      <c r="A19" t="s">
        <v>98</v>
      </c>
      <c r="B19">
        <v>0.05</v>
      </c>
      <c r="C19">
        <v>500</v>
      </c>
      <c r="D19">
        <f t="shared" si="1"/>
        <v>25</v>
      </c>
    </row>
    <row r="20" spans="1:5" x14ac:dyDescent="0.25">
      <c r="A20" t="s">
        <v>0</v>
      </c>
      <c r="B20">
        <v>0</v>
      </c>
      <c r="C20">
        <v>1200</v>
      </c>
      <c r="D20">
        <f t="shared" si="1"/>
        <v>0</v>
      </c>
    </row>
    <row r="21" spans="1:5" x14ac:dyDescent="0.25">
      <c r="A21" t="s">
        <v>100</v>
      </c>
      <c r="B21">
        <v>0.2</v>
      </c>
      <c r="C21">
        <v>250</v>
      </c>
      <c r="D21">
        <f>SUM(D14:D20)</f>
        <v>295</v>
      </c>
      <c r="E21">
        <f>D21/1000</f>
        <v>0.29499999999999998</v>
      </c>
    </row>
    <row r="22" spans="1:5" x14ac:dyDescent="0.25">
      <c r="B22">
        <f>SUM(B14:B21)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5" zoomScale="120" zoomScaleNormal="120" workbookViewId="0">
      <selection activeCell="I10" sqref="I10"/>
    </sheetView>
  </sheetViews>
  <sheetFormatPr baseColWidth="10" defaultColWidth="11.42578125" defaultRowHeight="15" x14ac:dyDescent="0.25"/>
  <cols>
    <col min="1" max="1" width="18.140625" customWidth="1"/>
    <col min="2" max="2" width="17.140625" customWidth="1"/>
    <col min="4" max="4" width="16.85546875" customWidth="1"/>
    <col min="5" max="5" width="13.7109375" bestFit="1" customWidth="1"/>
    <col min="6" max="6" width="12.5703125" customWidth="1"/>
    <col min="8" max="8" width="13.7109375" customWidth="1"/>
  </cols>
  <sheetData>
    <row r="1" spans="1:13" x14ac:dyDescent="0.25">
      <c r="A1" s="44" t="s">
        <v>59</v>
      </c>
      <c r="B1" s="44"/>
      <c r="D1" s="44" t="s">
        <v>61</v>
      </c>
      <c r="E1" s="44"/>
      <c r="F1" s="44"/>
    </row>
    <row r="2" spans="1:13" x14ac:dyDescent="0.25">
      <c r="A2" s="33" t="s">
        <v>25</v>
      </c>
      <c r="B2">
        <v>0</v>
      </c>
      <c r="D2" s="26" t="s">
        <v>57</v>
      </c>
      <c r="E2" s="26">
        <v>3</v>
      </c>
    </row>
    <row r="3" spans="1:13" ht="15" customHeight="1" x14ac:dyDescent="0.25">
      <c r="A3" s="45" t="s">
        <v>58</v>
      </c>
      <c r="B3" s="45"/>
    </row>
    <row r="4" spans="1:13" x14ac:dyDescent="0.25">
      <c r="A4" s="31"/>
      <c r="B4" s="31"/>
      <c r="D4" s="47" t="s">
        <v>63</v>
      </c>
      <c r="E4" s="47"/>
      <c r="F4" s="47"/>
      <c r="G4" s="47"/>
      <c r="H4" s="47"/>
      <c r="I4" s="47"/>
    </row>
    <row r="5" spans="1:13" x14ac:dyDescent="0.25">
      <c r="A5" s="38" t="s">
        <v>62</v>
      </c>
      <c r="B5" s="38"/>
      <c r="C5" s="17"/>
    </row>
    <row r="6" spans="1:13" x14ac:dyDescent="0.25">
      <c r="A6" t="s">
        <v>26</v>
      </c>
      <c r="B6" t="s">
        <v>27</v>
      </c>
    </row>
    <row r="7" spans="1:13" ht="15" customHeight="1" x14ac:dyDescent="0.25">
      <c r="A7" t="s">
        <v>66</v>
      </c>
      <c r="B7">
        <v>6000</v>
      </c>
    </row>
    <row r="8" spans="1:13" ht="15" customHeight="1" x14ac:dyDescent="0.25">
      <c r="A8" t="s">
        <v>67</v>
      </c>
      <c r="B8">
        <v>2000</v>
      </c>
      <c r="D8" s="42" t="s">
        <v>54</v>
      </c>
      <c r="E8" s="43"/>
      <c r="F8" s="48" t="s">
        <v>55</v>
      </c>
      <c r="G8" s="49"/>
      <c r="H8" s="40" t="s">
        <v>56</v>
      </c>
      <c r="I8" s="41"/>
      <c r="J8" s="18"/>
      <c r="K8" s="18"/>
    </row>
    <row r="9" spans="1:13" x14ac:dyDescent="0.25">
      <c r="A9" t="s">
        <v>68</v>
      </c>
      <c r="B9">
        <v>20</v>
      </c>
      <c r="D9" s="23" t="str">
        <f>CONCATENATE("Lado (",IF($B$2=1,"in","cm"),")")</f>
        <v>Lado (cm)</v>
      </c>
      <c r="E9" s="23">
        <v>20</v>
      </c>
      <c r="F9" s="30" t="str">
        <f>CONCATENATE("Base (",IF($B$2=1,"in","cm"),")")</f>
        <v>Base (cm)</v>
      </c>
      <c r="G9" s="30">
        <v>1</v>
      </c>
      <c r="H9" s="25" t="str">
        <f>CONCATENATE("Diámetro (",IF($B$2=1,"in","cm"),")")</f>
        <v>Diámetro (cm)</v>
      </c>
      <c r="I9" s="25">
        <v>20</v>
      </c>
    </row>
    <row r="10" spans="1:13" x14ac:dyDescent="0.25">
      <c r="A10" t="s">
        <v>69</v>
      </c>
      <c r="B10">
        <v>30</v>
      </c>
      <c r="D10" s="23"/>
      <c r="E10" s="23"/>
      <c r="F10" s="24" t="str">
        <f>CONCATENATE("Altura (",IF($B$2=1,"in","cm"),")")</f>
        <v>Altura (cm)</v>
      </c>
      <c r="G10" s="24">
        <v>2</v>
      </c>
      <c r="H10" s="25"/>
      <c r="I10" s="25"/>
    </row>
    <row r="11" spans="1:13" x14ac:dyDescent="0.25">
      <c r="A11" t="s">
        <v>70</v>
      </c>
      <c r="B11">
        <v>5</v>
      </c>
    </row>
    <row r="12" spans="1:13" x14ac:dyDescent="0.25">
      <c r="A12" t="s">
        <v>71</v>
      </c>
      <c r="B12">
        <v>10</v>
      </c>
      <c r="H12" s="4" t="s">
        <v>64</v>
      </c>
      <c r="I12" t="s">
        <v>101</v>
      </c>
    </row>
    <row r="13" spans="1:13" ht="15.75" thickBot="1" x14ac:dyDescent="0.3">
      <c r="H13" s="5">
        <f>IF($E$2=1,E9^2,IF(E2=2,G9*G10,I9^2*PI()/4))*IF(B2=1,H15^2,1)</f>
        <v>314.15926535897933</v>
      </c>
      <c r="I13">
        <f>H13*70</f>
        <v>21991.148575128555</v>
      </c>
    </row>
    <row r="14" spans="1:13" ht="15.75" thickBot="1" x14ac:dyDescent="0.3">
      <c r="A14" s="27" t="s">
        <v>26</v>
      </c>
      <c r="B14" s="29" t="str">
        <f>M14</f>
        <v>Altura (cm)</v>
      </c>
      <c r="H14" t="s">
        <v>28</v>
      </c>
      <c r="M14" t="str">
        <f>CONCATENATE("Altura (",IF(B2=1,"in","cm"),")")</f>
        <v>Altura (cm)</v>
      </c>
    </row>
    <row r="15" spans="1:13" x14ac:dyDescent="0.25">
      <c r="A15" s="28" t="s">
        <v>66</v>
      </c>
      <c r="B15" s="34">
        <f>(B7/(Densidades!B15*'Volumen de tubos'!$H$13))*IF($B$2=1,1/$H$15,1)</f>
        <v>36.728063790437382</v>
      </c>
      <c r="H15">
        <v>2.54</v>
      </c>
    </row>
    <row r="16" spans="1:13" x14ac:dyDescent="0.25">
      <c r="A16" s="13" t="s">
        <v>67</v>
      </c>
      <c r="B16" s="20">
        <f>(B8/(Densidades!B16*'Volumen de tubos'!$H$13))*IF($B$2=1,1/$H$15,1)</f>
        <v>21.580331266697673</v>
      </c>
    </row>
    <row r="17" spans="1:8" ht="18.75" x14ac:dyDescent="0.3">
      <c r="A17" s="11" t="s">
        <v>68</v>
      </c>
      <c r="B17" s="19">
        <f>(B9/(Densidades!B17*'Volumen de tubos'!$H$13))*IF($B$2=1,1/$H$15,1)</f>
        <v>5.1144730622893479E-2</v>
      </c>
      <c r="D17" s="22" t="s">
        <v>65</v>
      </c>
      <c r="H17" t="s">
        <v>88</v>
      </c>
    </row>
    <row r="18" spans="1:8" x14ac:dyDescent="0.25">
      <c r="A18" s="13" t="s">
        <v>69</v>
      </c>
      <c r="B18" s="20" t="e">
        <f>(B10/(Densidades!#REF!*'Volumen de tubos'!$H$13))*IF($B$2=1,1/$H$15,1)</f>
        <v>#REF!</v>
      </c>
      <c r="D18" s="4" t="s">
        <v>72</v>
      </c>
    </row>
    <row r="19" spans="1:8" x14ac:dyDescent="0.25">
      <c r="A19" s="11" t="s">
        <v>70</v>
      </c>
      <c r="B19" s="19">
        <f>(B11/(Densidades!B18*'Volumen de tubos'!$H$13))*IF($B$2=1,1/$H$15,1)</f>
        <v>-0.10610329539459688</v>
      </c>
      <c r="D19" s="4" t="s">
        <v>73</v>
      </c>
    </row>
    <row r="20" spans="1:8" x14ac:dyDescent="0.25">
      <c r="A20" s="13" t="s">
        <v>71</v>
      </c>
      <c r="B20" s="20" t="e">
        <f>(B12/(Densidades!#REF!*'Volumen de tubos'!$H$13))*IF($B$2=1,1/$H$15,1)</f>
        <v>#REF!</v>
      </c>
      <c r="D20" s="4" t="s">
        <v>60</v>
      </c>
    </row>
    <row r="21" spans="1:8" ht="15.75" thickBot="1" x14ac:dyDescent="0.3">
      <c r="A21" s="21" t="s">
        <v>23</v>
      </c>
      <c r="B21" s="32" t="e">
        <f>SUBTOTAL(109,B15:B20)</f>
        <v>#REF!</v>
      </c>
      <c r="D21" s="4" t="s">
        <v>75</v>
      </c>
    </row>
    <row r="22" spans="1:8" x14ac:dyDescent="0.25">
      <c r="D22" s="4" t="s">
        <v>74</v>
      </c>
    </row>
    <row r="23" spans="1:8" x14ac:dyDescent="0.25">
      <c r="D23" s="4" t="s">
        <v>80</v>
      </c>
    </row>
    <row r="24" spans="1:8" x14ac:dyDescent="0.25">
      <c r="D24" s="4" t="s">
        <v>81</v>
      </c>
    </row>
    <row r="25" spans="1:8" x14ac:dyDescent="0.25">
      <c r="A25" s="4" t="s">
        <v>76</v>
      </c>
      <c r="B25">
        <v>0</v>
      </c>
      <c r="D25" s="4" t="s">
        <v>79</v>
      </c>
    </row>
    <row r="26" spans="1:8" x14ac:dyDescent="0.25">
      <c r="A26" s="46" t="s">
        <v>77</v>
      </c>
      <c r="D26" t="str">
        <f>CONCATENATE("Altura (",IF($B$2=1,"in","cm"),")")</f>
        <v>Altura (cm)</v>
      </c>
      <c r="E26">
        <v>873.28</v>
      </c>
    </row>
    <row r="27" spans="1:8" x14ac:dyDescent="0.25">
      <c r="A27" s="46"/>
    </row>
    <row r="28" spans="1:8" ht="15.75" thickBot="1" x14ac:dyDescent="0.3">
      <c r="A28" t="s">
        <v>78</v>
      </c>
    </row>
    <row r="29" spans="1:8" x14ac:dyDescent="0.25">
      <c r="A29" s="28" t="s">
        <v>66</v>
      </c>
      <c r="B29" s="34">
        <f>B7/Densidades!B15</f>
        <v>11538.461538461537</v>
      </c>
    </row>
    <row r="30" spans="1:8" x14ac:dyDescent="0.25">
      <c r="A30" s="13" t="s">
        <v>67</v>
      </c>
      <c r="B30" s="20">
        <f>B8/Densidades!B16</f>
        <v>6779.6610169491532</v>
      </c>
      <c r="D30" s="42" t="s">
        <v>54</v>
      </c>
      <c r="E30" s="43"/>
      <c r="G30" s="40" t="s">
        <v>56</v>
      </c>
      <c r="H30" s="41"/>
    </row>
    <row r="31" spans="1:8" x14ac:dyDescent="0.25">
      <c r="A31" s="11" t="s">
        <v>68</v>
      </c>
      <c r="B31" s="19">
        <f>B9/Densidades!B17</f>
        <v>16.067590999471108</v>
      </c>
      <c r="D31" s="23" t="str">
        <f>CONCATENATE("Lado (",IF($B$2=1,"in","cm"),")")</f>
        <v>Lado (cm)</v>
      </c>
      <c r="E31" s="36" t="e">
        <f>SQRT(B36)*(IF($B$2=0,1,(1/$H$15)))</f>
        <v>#REF!</v>
      </c>
      <c r="G31" s="25" t="str">
        <f>CONCATENATE("Diámetro (",IF($B$2=1,"in","cm"),")")</f>
        <v>Diámetro (cm)</v>
      </c>
      <c r="H31" s="35" t="e">
        <f>SQRT((4*$B$36)/PI())*(IF($B$2=0,1,(1/$H$15)))</f>
        <v>#REF!</v>
      </c>
    </row>
    <row r="32" spans="1:8" x14ac:dyDescent="0.25">
      <c r="A32" s="13" t="s">
        <v>69</v>
      </c>
      <c r="B32" s="20" t="e">
        <f>B10/Densidades!#REF!</f>
        <v>#REF!</v>
      </c>
    </row>
    <row r="33" spans="1:2" x14ac:dyDescent="0.25">
      <c r="A33" s="11" t="s">
        <v>70</v>
      </c>
      <c r="B33" s="19">
        <f>B11/Densidades!B18</f>
        <v>-33.333333333333336</v>
      </c>
    </row>
    <row r="34" spans="1:2" x14ac:dyDescent="0.25">
      <c r="A34" s="13" t="s">
        <v>71</v>
      </c>
      <c r="B34" s="20" t="e">
        <f>B12/Densidades!#REF!</f>
        <v>#REF!</v>
      </c>
    </row>
    <row r="35" spans="1:2" ht="15.75" thickBot="1" x14ac:dyDescent="0.3">
      <c r="A35" s="21" t="s">
        <v>23</v>
      </c>
      <c r="B35" s="32" t="e">
        <f>SUM(B29:B34)</f>
        <v>#REF!</v>
      </c>
    </row>
    <row r="36" spans="1:2" x14ac:dyDescent="0.25">
      <c r="A36" s="4" t="s">
        <v>64</v>
      </c>
      <c r="B36" s="5" t="e">
        <f>B35/(IF($B$2=0,1,H15)*E26)</f>
        <v>#REF!</v>
      </c>
    </row>
  </sheetData>
  <mergeCells count="11">
    <mergeCell ref="G30:H30"/>
    <mergeCell ref="D30:E30"/>
    <mergeCell ref="A1:B1"/>
    <mergeCell ref="A3:B3"/>
    <mergeCell ref="D1:F1"/>
    <mergeCell ref="A26:A27"/>
    <mergeCell ref="D4:I4"/>
    <mergeCell ref="A5:B5"/>
    <mergeCell ref="D8:E8"/>
    <mergeCell ref="F8:G8"/>
    <mergeCell ref="H8:I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12.42578125" bestFit="1" customWidth="1"/>
    <col min="2" max="2" width="19.5703125" bestFit="1" customWidth="1"/>
    <col min="3" max="3" width="18.140625" customWidth="1"/>
  </cols>
  <sheetData>
    <row r="1" spans="1:4" x14ac:dyDescent="0.25">
      <c r="A1" s="50" t="s">
        <v>29</v>
      </c>
      <c r="B1" s="50"/>
      <c r="C1" s="50"/>
    </row>
    <row r="2" spans="1:4" x14ac:dyDescent="0.25">
      <c r="A2" s="10" t="s">
        <v>16</v>
      </c>
      <c r="B2" s="10" t="s">
        <v>30</v>
      </c>
      <c r="C2" s="10" t="s">
        <v>31</v>
      </c>
      <c r="D2" s="10" t="s">
        <v>32</v>
      </c>
    </row>
    <row r="3" spans="1:4" x14ac:dyDescent="0.25">
      <c r="A3" s="11" t="s">
        <v>1</v>
      </c>
      <c r="B3" s="15">
        <f>AVERAGE(Mediciones!B72:B81)</f>
        <v>56.2</v>
      </c>
      <c r="C3" s="12">
        <f>_xlfn.STDEV.S(Mediciones!B72:B81)</f>
        <v>1.3984117975602022</v>
      </c>
      <c r="D3" s="12">
        <f>SQRT((1/SQRT(3))^2+(C3/SQRT(10))^2)</f>
        <v>0.72724747430904768</v>
      </c>
    </row>
    <row r="4" spans="1:4" x14ac:dyDescent="0.25">
      <c r="A4" s="13" t="s">
        <v>2</v>
      </c>
      <c r="B4" s="16">
        <f>AVERAGE(Mediciones!E72:E81)</f>
        <v>58.3</v>
      </c>
      <c r="C4" s="14">
        <f>_xlfn.STDEV.S(Mediciones!E72:E81)</f>
        <v>2.6687491868330793</v>
      </c>
      <c r="D4" s="14">
        <f>SQRT((1/SQRT(3))^2+(C4/SQRT(10))^2)</f>
        <v>1.0225241100118645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opLeftCell="A17" workbookViewId="0">
      <selection activeCell="E33" sqref="E33"/>
    </sheetView>
  </sheetViews>
  <sheetFormatPr baseColWidth="10" defaultColWidth="11.42578125" defaultRowHeight="15" x14ac:dyDescent="0.25"/>
  <cols>
    <col min="1" max="1" width="12" customWidth="1"/>
    <col min="2" max="2" width="16.28515625" customWidth="1"/>
    <col min="4" max="4" width="13" customWidth="1"/>
    <col min="5" max="5" width="16.28515625" customWidth="1"/>
  </cols>
  <sheetData>
    <row r="1" spans="1:18" x14ac:dyDescent="0.25">
      <c r="A1" s="38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8" x14ac:dyDescent="0.25">
      <c r="A2" s="4" t="s">
        <v>0</v>
      </c>
      <c r="B2" s="4">
        <v>80</v>
      </c>
      <c r="C2" s="4" t="s">
        <v>34</v>
      </c>
      <c r="D2" s="4" t="s">
        <v>1</v>
      </c>
      <c r="E2" s="4">
        <v>80</v>
      </c>
      <c r="F2" s="4" t="s">
        <v>34</v>
      </c>
      <c r="G2" s="4" t="s">
        <v>2</v>
      </c>
      <c r="H2" s="4">
        <v>200</v>
      </c>
      <c r="I2" s="4" t="s">
        <v>34</v>
      </c>
      <c r="J2" s="4" t="s">
        <v>3</v>
      </c>
      <c r="K2" s="4">
        <v>80</v>
      </c>
      <c r="L2" s="4" t="s">
        <v>34</v>
      </c>
      <c r="M2" s="4" t="s">
        <v>4</v>
      </c>
      <c r="N2" s="4">
        <v>200</v>
      </c>
      <c r="O2" s="4" t="s">
        <v>34</v>
      </c>
      <c r="P2" s="4" t="s">
        <v>5</v>
      </c>
      <c r="Q2">
        <v>200</v>
      </c>
      <c r="R2" t="s">
        <v>34</v>
      </c>
    </row>
    <row r="3" spans="1:18" x14ac:dyDescent="0.25">
      <c r="A3" t="s">
        <v>35</v>
      </c>
      <c r="B3" t="s">
        <v>7</v>
      </c>
      <c r="D3" t="s">
        <v>35</v>
      </c>
      <c r="E3" t="s">
        <v>7</v>
      </c>
      <c r="G3" t="s">
        <v>35</v>
      </c>
      <c r="H3" t="s">
        <v>7</v>
      </c>
      <c r="J3" t="s">
        <v>35</v>
      </c>
      <c r="K3" t="s">
        <v>7</v>
      </c>
      <c r="M3" t="s">
        <v>35</v>
      </c>
      <c r="N3" t="s">
        <v>7</v>
      </c>
      <c r="P3" s="9" t="s">
        <v>35</v>
      </c>
      <c r="Q3" s="9" t="s">
        <v>7</v>
      </c>
    </row>
    <row r="4" spans="1:18" x14ac:dyDescent="0.25">
      <c r="A4">
        <v>1</v>
      </c>
      <c r="B4" s="5">
        <v>151.18</v>
      </c>
      <c r="D4">
        <v>1</v>
      </c>
      <c r="E4" s="5">
        <v>104.7</v>
      </c>
      <c r="G4">
        <v>1</v>
      </c>
      <c r="H4" s="5">
        <v>198.47</v>
      </c>
      <c r="J4">
        <v>1</v>
      </c>
      <c r="K4" s="5">
        <v>131.69</v>
      </c>
      <c r="M4">
        <v>1</v>
      </c>
      <c r="N4">
        <v>171</v>
      </c>
      <c r="P4" s="1">
        <v>1</v>
      </c>
      <c r="Q4" s="1">
        <v>158</v>
      </c>
    </row>
    <row r="5" spans="1:18" x14ac:dyDescent="0.25">
      <c r="A5">
        <v>2</v>
      </c>
      <c r="B5" s="5">
        <v>151.18</v>
      </c>
      <c r="D5">
        <v>2</v>
      </c>
      <c r="E5" s="7">
        <v>104.7</v>
      </c>
      <c r="G5">
        <v>2</v>
      </c>
      <c r="H5" s="7">
        <v>198.47</v>
      </c>
      <c r="J5">
        <v>2</v>
      </c>
      <c r="K5" s="7">
        <v>131.69999999999999</v>
      </c>
      <c r="M5">
        <v>2</v>
      </c>
      <c r="N5">
        <v>171</v>
      </c>
      <c r="P5" s="1">
        <v>2</v>
      </c>
      <c r="Q5" s="1">
        <v>158</v>
      </c>
    </row>
    <row r="6" spans="1:18" x14ac:dyDescent="0.25">
      <c r="A6">
        <v>3</v>
      </c>
      <c r="B6" s="5">
        <v>151.19</v>
      </c>
      <c r="D6">
        <v>3</v>
      </c>
      <c r="E6" s="7">
        <v>104.71</v>
      </c>
      <c r="G6">
        <v>3</v>
      </c>
      <c r="H6" s="7">
        <v>198.46</v>
      </c>
      <c r="J6">
        <v>3</v>
      </c>
      <c r="K6" s="7">
        <v>131.69</v>
      </c>
      <c r="M6">
        <v>3</v>
      </c>
      <c r="N6">
        <v>171</v>
      </c>
      <c r="P6" s="1">
        <v>3</v>
      </c>
      <c r="Q6" s="1">
        <v>158</v>
      </c>
    </row>
    <row r="7" spans="1:18" x14ac:dyDescent="0.25">
      <c r="A7">
        <v>4</v>
      </c>
      <c r="B7" s="5">
        <v>151.18</v>
      </c>
      <c r="D7">
        <v>4</v>
      </c>
      <c r="E7" s="7">
        <v>104.7</v>
      </c>
      <c r="G7">
        <v>4</v>
      </c>
      <c r="H7" s="7">
        <v>198.46</v>
      </c>
      <c r="J7">
        <v>4</v>
      </c>
      <c r="K7" s="7">
        <v>131.69999999999999</v>
      </c>
      <c r="M7">
        <v>4</v>
      </c>
      <c r="N7">
        <v>171</v>
      </c>
      <c r="P7" s="1">
        <v>4</v>
      </c>
      <c r="Q7" s="1">
        <v>158</v>
      </c>
    </row>
    <row r="8" spans="1:18" x14ac:dyDescent="0.25">
      <c r="A8">
        <v>5</v>
      </c>
      <c r="B8" s="5">
        <v>151.19</v>
      </c>
      <c r="D8">
        <v>5</v>
      </c>
      <c r="E8" s="7">
        <v>104.7</v>
      </c>
      <c r="G8">
        <v>5</v>
      </c>
      <c r="H8" s="7">
        <v>198.46</v>
      </c>
      <c r="J8">
        <v>5</v>
      </c>
      <c r="K8" s="7">
        <v>131.69</v>
      </c>
      <c r="M8">
        <v>5</v>
      </c>
      <c r="N8">
        <v>171</v>
      </c>
      <c r="P8" s="1">
        <v>5</v>
      </c>
      <c r="Q8" s="1">
        <v>158</v>
      </c>
    </row>
    <row r="9" spans="1:18" x14ac:dyDescent="0.25">
      <c r="A9">
        <v>6</v>
      </c>
      <c r="B9" s="5">
        <v>151.19</v>
      </c>
      <c r="D9">
        <v>6</v>
      </c>
      <c r="E9" s="7">
        <v>104.7</v>
      </c>
      <c r="G9">
        <v>6</v>
      </c>
      <c r="H9" s="7">
        <v>198.46</v>
      </c>
      <c r="J9">
        <v>6</v>
      </c>
      <c r="K9" s="7">
        <v>131.69</v>
      </c>
      <c r="M9">
        <v>6</v>
      </c>
      <c r="N9">
        <v>171</v>
      </c>
      <c r="P9" s="1">
        <v>6</v>
      </c>
      <c r="Q9" s="1">
        <v>158</v>
      </c>
    </row>
    <row r="10" spans="1:18" x14ac:dyDescent="0.25">
      <c r="A10">
        <v>7</v>
      </c>
      <c r="B10" s="5">
        <v>151.18</v>
      </c>
      <c r="D10">
        <v>7</v>
      </c>
      <c r="E10" s="7">
        <v>104.7</v>
      </c>
      <c r="G10">
        <v>7</v>
      </c>
      <c r="H10" s="7">
        <v>198.46</v>
      </c>
      <c r="J10">
        <v>7</v>
      </c>
      <c r="K10" s="7">
        <v>131.68</v>
      </c>
      <c r="M10">
        <v>7</v>
      </c>
      <c r="N10">
        <v>171</v>
      </c>
      <c r="P10" s="1">
        <v>7</v>
      </c>
      <c r="Q10" s="1">
        <v>158</v>
      </c>
    </row>
    <row r="11" spans="1:18" x14ac:dyDescent="0.25">
      <c r="A11">
        <v>8</v>
      </c>
      <c r="B11" s="7">
        <v>151.19</v>
      </c>
      <c r="D11">
        <v>8</v>
      </c>
      <c r="E11" s="7">
        <v>104.7</v>
      </c>
      <c r="G11">
        <v>8</v>
      </c>
      <c r="H11" s="7">
        <v>198.46</v>
      </c>
      <c r="J11">
        <v>8</v>
      </c>
      <c r="K11" s="7">
        <v>131.69</v>
      </c>
      <c r="M11">
        <v>8</v>
      </c>
      <c r="N11">
        <v>171</v>
      </c>
      <c r="P11" s="1">
        <v>8</v>
      </c>
      <c r="Q11" s="1">
        <v>158</v>
      </c>
    </row>
    <row r="12" spans="1:18" x14ac:dyDescent="0.25">
      <c r="A12">
        <v>9</v>
      </c>
      <c r="B12" s="7">
        <v>151.18</v>
      </c>
      <c r="D12">
        <v>9</v>
      </c>
      <c r="E12" s="7">
        <v>104.7</v>
      </c>
      <c r="G12">
        <v>9</v>
      </c>
      <c r="H12" s="7">
        <v>198.47</v>
      </c>
      <c r="J12">
        <v>9</v>
      </c>
      <c r="K12" s="7">
        <v>131.69999999999999</v>
      </c>
      <c r="M12">
        <v>9</v>
      </c>
      <c r="N12">
        <v>171</v>
      </c>
      <c r="P12" s="1">
        <v>9</v>
      </c>
      <c r="Q12" s="1">
        <v>158</v>
      </c>
    </row>
    <row r="13" spans="1:18" x14ac:dyDescent="0.25">
      <c r="A13">
        <v>10</v>
      </c>
      <c r="B13" s="7">
        <v>151.18</v>
      </c>
      <c r="D13">
        <v>10</v>
      </c>
      <c r="E13" s="7">
        <v>104.7</v>
      </c>
      <c r="G13">
        <v>10</v>
      </c>
      <c r="H13" s="7">
        <v>198.46</v>
      </c>
      <c r="J13">
        <v>10</v>
      </c>
      <c r="K13" s="7">
        <v>131.69999999999999</v>
      </c>
      <c r="M13">
        <v>10</v>
      </c>
      <c r="N13">
        <v>171</v>
      </c>
      <c r="P13" s="1">
        <v>10</v>
      </c>
      <c r="Q13" s="1">
        <v>158</v>
      </c>
    </row>
    <row r="14" spans="1:18" x14ac:dyDescent="0.25">
      <c r="A14">
        <v>11</v>
      </c>
      <c r="B14" s="7">
        <v>151.19999999999999</v>
      </c>
      <c r="D14">
        <v>11</v>
      </c>
      <c r="E14" s="7">
        <v>104.7</v>
      </c>
      <c r="G14">
        <v>11</v>
      </c>
      <c r="H14" s="7">
        <v>198.47</v>
      </c>
      <c r="J14">
        <v>11</v>
      </c>
      <c r="K14" s="7">
        <v>131.69999999999999</v>
      </c>
      <c r="M14">
        <v>11</v>
      </c>
      <c r="N14">
        <v>171</v>
      </c>
      <c r="P14" s="1">
        <v>11</v>
      </c>
      <c r="Q14" s="1">
        <v>158</v>
      </c>
    </row>
    <row r="15" spans="1:18" x14ac:dyDescent="0.25">
      <c r="A15">
        <v>12</v>
      </c>
      <c r="B15" s="7">
        <v>151.19</v>
      </c>
      <c r="D15">
        <v>12</v>
      </c>
      <c r="E15" s="7">
        <v>104.72</v>
      </c>
      <c r="G15">
        <v>12</v>
      </c>
      <c r="H15" s="7">
        <v>198.47</v>
      </c>
      <c r="J15">
        <v>12</v>
      </c>
      <c r="K15" s="7">
        <v>131.69999999999999</v>
      </c>
      <c r="M15">
        <v>12</v>
      </c>
      <c r="N15">
        <v>171</v>
      </c>
      <c r="P15" s="1">
        <v>12</v>
      </c>
      <c r="Q15" s="1">
        <v>158</v>
      </c>
    </row>
    <row r="16" spans="1:18" x14ac:dyDescent="0.25">
      <c r="A16">
        <v>13</v>
      </c>
      <c r="B16" s="7">
        <v>151.19</v>
      </c>
      <c r="D16">
        <v>13</v>
      </c>
      <c r="E16" s="7">
        <v>104.7</v>
      </c>
      <c r="G16">
        <v>13</v>
      </c>
      <c r="H16" s="7">
        <v>198.47</v>
      </c>
      <c r="J16">
        <v>13</v>
      </c>
      <c r="K16" s="7">
        <v>131.69999999999999</v>
      </c>
      <c r="M16">
        <v>13</v>
      </c>
      <c r="N16">
        <v>171</v>
      </c>
      <c r="P16" s="1">
        <v>13</v>
      </c>
      <c r="Q16" s="1">
        <v>158</v>
      </c>
    </row>
    <row r="17" spans="1:17" x14ac:dyDescent="0.25">
      <c r="A17">
        <v>14</v>
      </c>
      <c r="B17" s="7">
        <v>151.18</v>
      </c>
      <c r="D17">
        <v>14</v>
      </c>
      <c r="E17" s="7">
        <v>104.71</v>
      </c>
      <c r="G17">
        <v>14</v>
      </c>
      <c r="H17" s="7">
        <v>198.47</v>
      </c>
      <c r="J17">
        <v>14</v>
      </c>
      <c r="K17" s="7">
        <v>131.69999999999999</v>
      </c>
      <c r="M17">
        <v>14</v>
      </c>
      <c r="N17">
        <v>171</v>
      </c>
      <c r="P17" s="1">
        <v>14</v>
      </c>
      <c r="Q17" s="1">
        <v>158</v>
      </c>
    </row>
    <row r="18" spans="1:17" x14ac:dyDescent="0.25">
      <c r="A18">
        <v>15</v>
      </c>
      <c r="B18" s="7">
        <v>151.16999999999999</v>
      </c>
      <c r="D18">
        <v>15</v>
      </c>
      <c r="E18" s="7">
        <v>104.71</v>
      </c>
      <c r="G18">
        <v>15</v>
      </c>
      <c r="H18" s="7">
        <v>198.47</v>
      </c>
      <c r="J18">
        <v>15</v>
      </c>
      <c r="K18" s="7">
        <v>131.69</v>
      </c>
      <c r="M18">
        <v>15</v>
      </c>
      <c r="N18">
        <v>171</v>
      </c>
      <c r="P18" s="1">
        <v>15</v>
      </c>
      <c r="Q18" s="1">
        <v>158</v>
      </c>
    </row>
    <row r="19" spans="1:17" x14ac:dyDescent="0.25">
      <c r="A19">
        <v>16</v>
      </c>
      <c r="B19" s="7">
        <v>151.19999999999999</v>
      </c>
      <c r="D19">
        <v>16</v>
      </c>
      <c r="E19" s="7">
        <v>104.7</v>
      </c>
      <c r="G19">
        <v>16</v>
      </c>
      <c r="H19" s="7">
        <v>198.46</v>
      </c>
      <c r="J19">
        <v>16</v>
      </c>
      <c r="K19" s="7">
        <v>131.69</v>
      </c>
      <c r="M19">
        <v>16</v>
      </c>
      <c r="N19">
        <v>171</v>
      </c>
      <c r="P19" s="1">
        <v>16</v>
      </c>
      <c r="Q19" s="1">
        <v>158</v>
      </c>
    </row>
    <row r="20" spans="1:17" x14ac:dyDescent="0.25">
      <c r="A20">
        <v>17</v>
      </c>
      <c r="B20" s="7">
        <v>151.19</v>
      </c>
      <c r="D20">
        <v>17</v>
      </c>
      <c r="E20" s="7">
        <v>104.7</v>
      </c>
      <c r="G20">
        <v>17</v>
      </c>
      <c r="H20" s="7">
        <v>198.47</v>
      </c>
      <c r="J20">
        <v>17</v>
      </c>
      <c r="K20" s="7">
        <v>131.69999999999999</v>
      </c>
      <c r="M20">
        <v>17</v>
      </c>
      <c r="N20">
        <v>171</v>
      </c>
      <c r="P20" s="1">
        <v>17</v>
      </c>
      <c r="Q20" s="1">
        <v>158</v>
      </c>
    </row>
    <row r="21" spans="1:17" x14ac:dyDescent="0.25">
      <c r="A21">
        <v>18</v>
      </c>
      <c r="B21" s="7">
        <v>151.19</v>
      </c>
      <c r="D21">
        <v>18</v>
      </c>
      <c r="E21" s="7">
        <v>104.7</v>
      </c>
      <c r="G21">
        <v>18</v>
      </c>
      <c r="H21" s="7">
        <v>198.47</v>
      </c>
      <c r="J21">
        <v>18</v>
      </c>
      <c r="K21" s="7">
        <v>131.69</v>
      </c>
      <c r="M21">
        <v>18</v>
      </c>
      <c r="N21">
        <v>171</v>
      </c>
      <c r="P21" s="1">
        <v>18</v>
      </c>
      <c r="Q21" s="1">
        <v>158</v>
      </c>
    </row>
    <row r="22" spans="1:17" x14ac:dyDescent="0.25">
      <c r="A22">
        <v>19</v>
      </c>
      <c r="B22" s="7">
        <v>151.19999999999999</v>
      </c>
      <c r="D22">
        <v>19</v>
      </c>
      <c r="E22" s="7">
        <v>104.7</v>
      </c>
      <c r="G22">
        <v>19</v>
      </c>
      <c r="H22" s="7">
        <v>198.47</v>
      </c>
      <c r="J22">
        <v>19</v>
      </c>
      <c r="K22" s="7">
        <v>131.69</v>
      </c>
      <c r="M22">
        <v>19</v>
      </c>
      <c r="N22">
        <v>171</v>
      </c>
      <c r="P22" s="1">
        <v>19</v>
      </c>
      <c r="Q22" s="1">
        <v>158</v>
      </c>
    </row>
    <row r="23" spans="1:17" x14ac:dyDescent="0.25">
      <c r="A23">
        <v>20</v>
      </c>
      <c r="B23" s="7">
        <v>151.18</v>
      </c>
      <c r="D23">
        <v>20</v>
      </c>
      <c r="E23" s="7">
        <v>104.7</v>
      </c>
      <c r="G23">
        <v>20</v>
      </c>
      <c r="H23" s="7">
        <v>198.47</v>
      </c>
      <c r="J23">
        <v>20</v>
      </c>
      <c r="K23" s="7">
        <v>131.69</v>
      </c>
      <c r="M23">
        <v>20</v>
      </c>
      <c r="N23">
        <v>171</v>
      </c>
      <c r="P23" s="1">
        <v>20</v>
      </c>
      <c r="Q23" s="1">
        <v>158</v>
      </c>
    </row>
    <row r="24" spans="1:17" x14ac:dyDescent="0.25">
      <c r="A24">
        <v>21</v>
      </c>
      <c r="B24" s="7">
        <v>151.18</v>
      </c>
      <c r="D24">
        <v>21</v>
      </c>
      <c r="E24" s="7">
        <v>104.69</v>
      </c>
      <c r="G24">
        <v>21</v>
      </c>
      <c r="H24" s="7">
        <v>198.47</v>
      </c>
      <c r="J24">
        <v>21</v>
      </c>
      <c r="K24" s="7">
        <v>131.69999999999999</v>
      </c>
      <c r="M24">
        <v>21</v>
      </c>
      <c r="N24">
        <v>171</v>
      </c>
      <c r="P24" s="1">
        <v>21</v>
      </c>
      <c r="Q24" s="1">
        <v>158</v>
      </c>
    </row>
    <row r="25" spans="1:17" x14ac:dyDescent="0.25">
      <c r="A25">
        <v>22</v>
      </c>
      <c r="B25" s="7">
        <v>151.19999999999999</v>
      </c>
      <c r="D25">
        <v>22</v>
      </c>
      <c r="E25" s="7">
        <v>104.69</v>
      </c>
      <c r="G25">
        <v>22</v>
      </c>
      <c r="H25" s="7">
        <v>198.47</v>
      </c>
      <c r="J25">
        <v>22</v>
      </c>
      <c r="K25" s="7">
        <v>131.69999999999999</v>
      </c>
      <c r="M25">
        <v>22</v>
      </c>
      <c r="N25">
        <v>171</v>
      </c>
      <c r="P25" s="1">
        <v>22</v>
      </c>
      <c r="Q25" s="1">
        <v>158</v>
      </c>
    </row>
    <row r="26" spans="1:17" x14ac:dyDescent="0.25">
      <c r="A26">
        <v>23</v>
      </c>
      <c r="B26" s="7">
        <v>151.19999999999999</v>
      </c>
      <c r="D26">
        <v>23</v>
      </c>
      <c r="E26" s="7">
        <v>104.71</v>
      </c>
      <c r="G26">
        <v>23</v>
      </c>
      <c r="H26" s="7">
        <v>198.47</v>
      </c>
      <c r="J26">
        <v>23</v>
      </c>
      <c r="K26" s="7">
        <v>131.69</v>
      </c>
      <c r="M26">
        <v>23</v>
      </c>
      <c r="N26">
        <v>171</v>
      </c>
      <c r="P26" s="1">
        <v>23</v>
      </c>
      <c r="Q26" s="1">
        <v>158</v>
      </c>
    </row>
    <row r="27" spans="1:17" x14ac:dyDescent="0.25">
      <c r="A27">
        <v>24</v>
      </c>
      <c r="B27" s="7">
        <v>151.19</v>
      </c>
      <c r="D27">
        <v>24</v>
      </c>
      <c r="E27" s="7">
        <v>104.7</v>
      </c>
      <c r="G27">
        <v>24</v>
      </c>
      <c r="H27" s="7">
        <v>198.47</v>
      </c>
      <c r="J27">
        <v>24</v>
      </c>
      <c r="K27" s="7">
        <v>131.69999999999999</v>
      </c>
      <c r="M27">
        <v>24</v>
      </c>
      <c r="N27">
        <v>171</v>
      </c>
      <c r="P27" s="1">
        <v>24</v>
      </c>
      <c r="Q27" s="1">
        <v>158</v>
      </c>
    </row>
    <row r="28" spans="1:17" x14ac:dyDescent="0.25">
      <c r="A28">
        <v>25</v>
      </c>
      <c r="B28" s="7">
        <v>151.19999999999999</v>
      </c>
      <c r="D28">
        <v>25</v>
      </c>
      <c r="E28" s="7">
        <v>104.7</v>
      </c>
      <c r="G28">
        <v>25</v>
      </c>
      <c r="H28" s="7">
        <v>198.47</v>
      </c>
      <c r="J28">
        <v>25</v>
      </c>
      <c r="K28" s="7">
        <v>131.69999999999999</v>
      </c>
      <c r="M28">
        <v>25</v>
      </c>
      <c r="N28">
        <v>171</v>
      </c>
      <c r="P28" s="1">
        <v>25</v>
      </c>
      <c r="Q28" s="1">
        <v>158</v>
      </c>
    </row>
    <row r="29" spans="1:17" x14ac:dyDescent="0.25">
      <c r="A29">
        <v>26</v>
      </c>
      <c r="B29" s="7">
        <v>151.19</v>
      </c>
      <c r="D29">
        <v>26</v>
      </c>
      <c r="E29" s="7">
        <v>104.7</v>
      </c>
      <c r="G29">
        <v>26</v>
      </c>
      <c r="H29" s="7">
        <v>198.47</v>
      </c>
      <c r="J29">
        <v>26</v>
      </c>
      <c r="K29" s="7">
        <v>131.69999999999999</v>
      </c>
      <c r="M29">
        <v>26</v>
      </c>
      <c r="N29">
        <v>171</v>
      </c>
      <c r="P29" s="1">
        <v>26</v>
      </c>
      <c r="Q29" s="1">
        <v>158</v>
      </c>
    </row>
    <row r="30" spans="1:17" x14ac:dyDescent="0.25">
      <c r="A30">
        <v>27</v>
      </c>
      <c r="B30" s="7">
        <v>151.18</v>
      </c>
      <c r="D30">
        <v>27</v>
      </c>
      <c r="E30" s="7">
        <v>104.7</v>
      </c>
      <c r="G30">
        <v>27</v>
      </c>
      <c r="H30" s="7">
        <v>198.47</v>
      </c>
      <c r="J30">
        <v>27</v>
      </c>
      <c r="K30" s="7">
        <v>131.69999999999999</v>
      </c>
      <c r="M30">
        <v>27</v>
      </c>
      <c r="N30">
        <v>171</v>
      </c>
      <c r="P30" s="1">
        <v>27</v>
      </c>
      <c r="Q30" s="1">
        <v>158</v>
      </c>
    </row>
    <row r="31" spans="1:17" x14ac:dyDescent="0.25">
      <c r="A31">
        <v>28</v>
      </c>
      <c r="B31" s="7">
        <v>151.19999999999999</v>
      </c>
      <c r="D31">
        <v>28</v>
      </c>
      <c r="E31" s="7">
        <v>104.7</v>
      </c>
      <c r="G31">
        <v>28</v>
      </c>
      <c r="H31" s="7">
        <v>198.46</v>
      </c>
      <c r="J31">
        <v>28</v>
      </c>
      <c r="K31" s="7">
        <v>131.69999999999999</v>
      </c>
      <c r="M31">
        <v>28</v>
      </c>
      <c r="N31">
        <v>171</v>
      </c>
      <c r="P31" s="1">
        <v>28</v>
      </c>
      <c r="Q31" s="1">
        <v>158</v>
      </c>
    </row>
    <row r="32" spans="1:17" x14ac:dyDescent="0.25">
      <c r="A32">
        <v>29</v>
      </c>
      <c r="B32" s="7">
        <v>151.19</v>
      </c>
      <c r="D32">
        <v>29</v>
      </c>
      <c r="E32" s="7">
        <v>104.7</v>
      </c>
      <c r="G32">
        <v>29</v>
      </c>
      <c r="H32" s="7">
        <v>198.47</v>
      </c>
      <c r="J32">
        <v>29</v>
      </c>
      <c r="K32" s="7">
        <v>131.69999999999999</v>
      </c>
      <c r="M32">
        <v>29</v>
      </c>
      <c r="N32">
        <v>171</v>
      </c>
      <c r="P32" s="1">
        <v>29</v>
      </c>
      <c r="Q32" s="1">
        <v>158</v>
      </c>
    </row>
    <row r="33" spans="1:17" x14ac:dyDescent="0.25">
      <c r="A33">
        <v>30</v>
      </c>
      <c r="B33" s="7">
        <v>151.19999999999999</v>
      </c>
      <c r="D33">
        <v>30</v>
      </c>
      <c r="E33" s="7">
        <v>104.7</v>
      </c>
      <c r="G33">
        <v>30</v>
      </c>
      <c r="H33" s="7">
        <v>198.47</v>
      </c>
      <c r="J33">
        <v>30</v>
      </c>
      <c r="K33" s="7">
        <v>131.69999999999999</v>
      </c>
      <c r="M33">
        <v>30</v>
      </c>
      <c r="N33">
        <v>171</v>
      </c>
      <c r="P33" s="1">
        <v>30</v>
      </c>
      <c r="Q33" s="1">
        <v>158</v>
      </c>
    </row>
    <row r="35" spans="1:17" x14ac:dyDescent="0.25">
      <c r="A35" s="38" t="s">
        <v>36</v>
      </c>
      <c r="B35" s="38"/>
      <c r="D35" s="38" t="s">
        <v>37</v>
      </c>
      <c r="E35" s="38"/>
      <c r="G35" s="38" t="s">
        <v>38</v>
      </c>
      <c r="H35" s="38"/>
      <c r="J35" s="38" t="s">
        <v>52</v>
      </c>
      <c r="K35" s="38"/>
    </row>
    <row r="36" spans="1:17" x14ac:dyDescent="0.25">
      <c r="A36" t="s">
        <v>35</v>
      </c>
      <c r="B36" t="s">
        <v>7</v>
      </c>
      <c r="D36" t="s">
        <v>35</v>
      </c>
      <c r="E36" t="s">
        <v>7</v>
      </c>
      <c r="G36" t="s">
        <v>35</v>
      </c>
      <c r="H36" t="s">
        <v>7</v>
      </c>
      <c r="J36" t="s">
        <v>35</v>
      </c>
      <c r="K36" t="s">
        <v>7</v>
      </c>
    </row>
    <row r="37" spans="1:17" x14ac:dyDescent="0.25">
      <c r="A37">
        <v>1</v>
      </c>
      <c r="B37" s="8">
        <v>51.6</v>
      </c>
      <c r="D37" s="1">
        <v>1</v>
      </c>
      <c r="E37" s="7">
        <v>91.18</v>
      </c>
      <c r="G37">
        <v>1</v>
      </c>
      <c r="H37">
        <v>30</v>
      </c>
      <c r="J37">
        <v>1</v>
      </c>
      <c r="K37">
        <v>4</v>
      </c>
    </row>
    <row r="38" spans="1:17" x14ac:dyDescent="0.25">
      <c r="A38">
        <v>2</v>
      </c>
      <c r="B38" s="8">
        <v>51.61</v>
      </c>
      <c r="D38" s="1">
        <v>2</v>
      </c>
      <c r="E38" s="7">
        <v>91.19</v>
      </c>
      <c r="G38">
        <v>2</v>
      </c>
      <c r="H38">
        <v>30</v>
      </c>
      <c r="J38">
        <v>2</v>
      </c>
      <c r="K38">
        <v>4</v>
      </c>
    </row>
    <row r="39" spans="1:17" x14ac:dyDescent="0.25">
      <c r="A39">
        <v>3</v>
      </c>
      <c r="B39" s="8">
        <v>51.61</v>
      </c>
      <c r="D39" s="1">
        <v>3</v>
      </c>
      <c r="E39" s="7">
        <v>91.19</v>
      </c>
      <c r="G39">
        <v>3</v>
      </c>
      <c r="H39">
        <v>30</v>
      </c>
      <c r="J39">
        <v>3</v>
      </c>
      <c r="K39">
        <v>4</v>
      </c>
    </row>
    <row r="40" spans="1:17" x14ac:dyDescent="0.25">
      <c r="A40">
        <v>4</v>
      </c>
      <c r="B40" s="8">
        <v>51.6</v>
      </c>
      <c r="D40" s="1">
        <v>4</v>
      </c>
      <c r="E40" s="7">
        <v>91.19</v>
      </c>
      <c r="G40">
        <v>4</v>
      </c>
      <c r="H40">
        <v>30</v>
      </c>
      <c r="J40">
        <v>4</v>
      </c>
      <c r="K40">
        <v>4</v>
      </c>
    </row>
    <row r="41" spans="1:17" x14ac:dyDescent="0.25">
      <c r="A41">
        <v>5</v>
      </c>
      <c r="B41" s="8">
        <v>51.61</v>
      </c>
      <c r="D41" s="1">
        <v>5</v>
      </c>
      <c r="E41" s="7">
        <v>91.19</v>
      </c>
      <c r="G41">
        <v>5</v>
      </c>
      <c r="H41">
        <v>30</v>
      </c>
      <c r="J41">
        <v>5</v>
      </c>
      <c r="K41">
        <v>4</v>
      </c>
    </row>
    <row r="42" spans="1:17" x14ac:dyDescent="0.25">
      <c r="A42">
        <v>6</v>
      </c>
      <c r="B42" s="8">
        <v>51.61</v>
      </c>
      <c r="D42" s="1">
        <v>6</v>
      </c>
      <c r="E42" s="7">
        <v>91.19</v>
      </c>
      <c r="G42">
        <v>6</v>
      </c>
      <c r="H42">
        <v>30</v>
      </c>
      <c r="J42">
        <v>6</v>
      </c>
      <c r="K42">
        <v>4</v>
      </c>
    </row>
    <row r="43" spans="1:17" x14ac:dyDescent="0.25">
      <c r="A43">
        <v>7</v>
      </c>
      <c r="B43" s="8">
        <v>51.61</v>
      </c>
      <c r="D43" s="1">
        <v>7</v>
      </c>
      <c r="E43" s="7">
        <v>91.2</v>
      </c>
      <c r="G43">
        <v>7</v>
      </c>
      <c r="H43">
        <v>30</v>
      </c>
      <c r="J43">
        <v>7</v>
      </c>
      <c r="K43">
        <v>4</v>
      </c>
    </row>
    <row r="44" spans="1:17" x14ac:dyDescent="0.25">
      <c r="A44">
        <v>8</v>
      </c>
      <c r="B44" s="8">
        <v>51.61</v>
      </c>
      <c r="D44" s="1">
        <v>8</v>
      </c>
      <c r="E44" s="7">
        <v>91.19</v>
      </c>
      <c r="G44">
        <v>8</v>
      </c>
      <c r="H44">
        <v>30</v>
      </c>
      <c r="J44">
        <v>8</v>
      </c>
      <c r="K44">
        <v>4</v>
      </c>
    </row>
    <row r="45" spans="1:17" x14ac:dyDescent="0.25">
      <c r="A45">
        <v>9</v>
      </c>
      <c r="B45" s="6">
        <v>51.62</v>
      </c>
      <c r="D45" s="1">
        <v>9</v>
      </c>
      <c r="E45" s="7">
        <v>91.18</v>
      </c>
      <c r="G45">
        <v>9</v>
      </c>
      <c r="H45">
        <v>30</v>
      </c>
      <c r="J45">
        <v>9</v>
      </c>
      <c r="K45">
        <v>4</v>
      </c>
    </row>
    <row r="46" spans="1:17" x14ac:dyDescent="0.25">
      <c r="A46">
        <v>10</v>
      </c>
      <c r="B46" s="8">
        <v>51.6</v>
      </c>
      <c r="D46" s="1">
        <v>10</v>
      </c>
      <c r="E46" s="7">
        <v>91.18</v>
      </c>
      <c r="G46">
        <v>10</v>
      </c>
      <c r="H46">
        <v>30</v>
      </c>
      <c r="J46">
        <v>10</v>
      </c>
      <c r="K46">
        <v>4</v>
      </c>
    </row>
    <row r="47" spans="1:17" x14ac:dyDescent="0.25">
      <c r="A47">
        <v>11</v>
      </c>
      <c r="B47" s="8">
        <v>51.61</v>
      </c>
      <c r="D47" s="1">
        <v>11</v>
      </c>
      <c r="E47" s="7">
        <v>91.18</v>
      </c>
      <c r="G47">
        <v>11</v>
      </c>
      <c r="H47">
        <v>30</v>
      </c>
      <c r="J47">
        <v>11</v>
      </c>
      <c r="K47">
        <v>4</v>
      </c>
    </row>
    <row r="48" spans="1:17" x14ac:dyDescent="0.25">
      <c r="A48">
        <v>12</v>
      </c>
      <c r="B48" s="8">
        <v>51.61</v>
      </c>
      <c r="D48" s="1">
        <v>12</v>
      </c>
      <c r="E48" s="7">
        <v>91.19</v>
      </c>
      <c r="G48">
        <v>12</v>
      </c>
      <c r="H48">
        <v>30</v>
      </c>
      <c r="J48">
        <v>12</v>
      </c>
      <c r="K48">
        <v>4</v>
      </c>
    </row>
    <row r="49" spans="1:11" x14ac:dyDescent="0.25">
      <c r="A49">
        <v>13</v>
      </c>
      <c r="B49" s="8">
        <v>51.61</v>
      </c>
      <c r="D49" s="1">
        <v>13</v>
      </c>
      <c r="E49" s="7">
        <v>91.19</v>
      </c>
      <c r="G49">
        <v>13</v>
      </c>
      <c r="H49">
        <v>30</v>
      </c>
      <c r="J49">
        <v>13</v>
      </c>
      <c r="K49">
        <v>4</v>
      </c>
    </row>
    <row r="50" spans="1:11" x14ac:dyDescent="0.25">
      <c r="A50">
        <v>14</v>
      </c>
      <c r="B50" s="8">
        <v>51.61</v>
      </c>
      <c r="D50" s="1">
        <v>14</v>
      </c>
      <c r="E50" s="7">
        <v>91.18</v>
      </c>
      <c r="G50">
        <v>14</v>
      </c>
      <c r="H50">
        <v>30</v>
      </c>
      <c r="J50">
        <v>14</v>
      </c>
      <c r="K50">
        <v>4</v>
      </c>
    </row>
    <row r="51" spans="1:11" x14ac:dyDescent="0.25">
      <c r="A51">
        <v>15</v>
      </c>
      <c r="B51" s="8">
        <v>51.61</v>
      </c>
      <c r="D51" s="1">
        <v>15</v>
      </c>
      <c r="E51" s="7">
        <v>91.18</v>
      </c>
      <c r="G51">
        <v>15</v>
      </c>
      <c r="H51">
        <v>30</v>
      </c>
      <c r="J51">
        <v>15</v>
      </c>
      <c r="K51">
        <v>4</v>
      </c>
    </row>
    <row r="52" spans="1:11" x14ac:dyDescent="0.25">
      <c r="A52">
        <v>16</v>
      </c>
      <c r="B52" s="8">
        <v>51.61</v>
      </c>
      <c r="D52" s="1">
        <v>16</v>
      </c>
      <c r="E52" s="7">
        <v>91.18</v>
      </c>
      <c r="G52">
        <v>16</v>
      </c>
      <c r="H52">
        <v>30</v>
      </c>
      <c r="J52">
        <v>16</v>
      </c>
      <c r="K52">
        <v>4</v>
      </c>
    </row>
    <row r="53" spans="1:11" x14ac:dyDescent="0.25">
      <c r="A53">
        <v>17</v>
      </c>
      <c r="B53" s="8">
        <v>51.61</v>
      </c>
      <c r="D53" s="1">
        <v>17</v>
      </c>
      <c r="E53" s="7">
        <v>91.19</v>
      </c>
      <c r="G53">
        <v>17</v>
      </c>
      <c r="H53">
        <v>30</v>
      </c>
    </row>
    <row r="54" spans="1:11" x14ac:dyDescent="0.25">
      <c r="A54">
        <v>18</v>
      </c>
      <c r="B54" s="8">
        <v>51.61</v>
      </c>
      <c r="D54" s="1">
        <v>18</v>
      </c>
      <c r="E54" s="7">
        <v>91.18</v>
      </c>
      <c r="G54">
        <v>18</v>
      </c>
      <c r="H54">
        <v>30</v>
      </c>
    </row>
    <row r="55" spans="1:11" x14ac:dyDescent="0.25">
      <c r="A55">
        <v>19</v>
      </c>
      <c r="B55" s="8">
        <v>51.61</v>
      </c>
      <c r="D55" s="1">
        <v>19</v>
      </c>
      <c r="E55" s="7">
        <v>91.19</v>
      </c>
      <c r="G55">
        <v>19</v>
      </c>
      <c r="H55">
        <v>30</v>
      </c>
    </row>
    <row r="56" spans="1:11" x14ac:dyDescent="0.25">
      <c r="A56">
        <v>20</v>
      </c>
      <c r="B56" s="8">
        <v>51.61</v>
      </c>
      <c r="D56" s="1">
        <v>20</v>
      </c>
      <c r="E56" s="7">
        <v>91.18</v>
      </c>
      <c r="G56">
        <v>20</v>
      </c>
      <c r="H56">
        <v>30</v>
      </c>
    </row>
    <row r="57" spans="1:11" x14ac:dyDescent="0.25">
      <c r="A57">
        <v>21</v>
      </c>
      <c r="B57" s="8">
        <v>51.61</v>
      </c>
      <c r="D57" s="1">
        <v>21</v>
      </c>
      <c r="E57" s="7">
        <v>91.18</v>
      </c>
      <c r="G57">
        <v>21</v>
      </c>
      <c r="H57">
        <v>30</v>
      </c>
    </row>
    <row r="58" spans="1:11" x14ac:dyDescent="0.25">
      <c r="A58">
        <v>22</v>
      </c>
      <c r="B58" s="8">
        <v>51.61</v>
      </c>
      <c r="D58" s="1">
        <v>22</v>
      </c>
      <c r="E58" s="7">
        <v>91.18</v>
      </c>
      <c r="G58">
        <v>22</v>
      </c>
      <c r="H58">
        <v>30</v>
      </c>
    </row>
    <row r="59" spans="1:11" x14ac:dyDescent="0.25">
      <c r="A59">
        <v>23</v>
      </c>
      <c r="B59" s="8">
        <v>51.61</v>
      </c>
      <c r="D59" s="1">
        <v>23</v>
      </c>
      <c r="E59" s="7">
        <v>91.19</v>
      </c>
      <c r="G59">
        <v>23</v>
      </c>
      <c r="H59">
        <v>30</v>
      </c>
    </row>
    <row r="60" spans="1:11" x14ac:dyDescent="0.25">
      <c r="A60">
        <v>24</v>
      </c>
      <c r="B60" s="8">
        <v>51.61</v>
      </c>
      <c r="D60" s="1">
        <v>24</v>
      </c>
      <c r="E60" s="7">
        <v>91.19</v>
      </c>
      <c r="G60">
        <v>24</v>
      </c>
      <c r="H60">
        <v>30</v>
      </c>
    </row>
    <row r="61" spans="1:11" x14ac:dyDescent="0.25">
      <c r="A61">
        <v>25</v>
      </c>
      <c r="B61" s="8">
        <v>51.61</v>
      </c>
      <c r="D61" s="1">
        <v>25</v>
      </c>
      <c r="E61" s="7">
        <v>91.19</v>
      </c>
      <c r="G61">
        <v>25</v>
      </c>
      <c r="H61">
        <v>30</v>
      </c>
    </row>
    <row r="62" spans="1:11" x14ac:dyDescent="0.25">
      <c r="A62">
        <v>26</v>
      </c>
      <c r="B62" s="6">
        <v>51.6</v>
      </c>
      <c r="D62" s="1">
        <v>26</v>
      </c>
      <c r="E62" s="7">
        <v>91.18</v>
      </c>
      <c r="G62">
        <v>26</v>
      </c>
      <c r="H62">
        <v>30</v>
      </c>
    </row>
    <row r="63" spans="1:11" x14ac:dyDescent="0.25">
      <c r="A63">
        <v>27</v>
      </c>
      <c r="B63" s="8">
        <v>51.61</v>
      </c>
      <c r="D63" s="1">
        <v>27</v>
      </c>
      <c r="E63" s="7">
        <v>91.19</v>
      </c>
      <c r="G63">
        <v>27</v>
      </c>
      <c r="H63">
        <v>30</v>
      </c>
    </row>
    <row r="64" spans="1:11" x14ac:dyDescent="0.25">
      <c r="A64">
        <v>28</v>
      </c>
      <c r="B64" s="8">
        <v>51.61</v>
      </c>
      <c r="D64" s="1">
        <v>28</v>
      </c>
      <c r="E64" s="7">
        <v>91.2</v>
      </c>
      <c r="G64">
        <v>28</v>
      </c>
      <c r="H64">
        <v>30</v>
      </c>
    </row>
    <row r="65" spans="1:8" x14ac:dyDescent="0.25">
      <c r="A65">
        <v>29</v>
      </c>
      <c r="B65" s="6">
        <v>51.61</v>
      </c>
      <c r="D65" s="1">
        <v>29</v>
      </c>
      <c r="E65" s="7">
        <v>91.2</v>
      </c>
      <c r="G65">
        <v>29</v>
      </c>
      <c r="H65">
        <v>30</v>
      </c>
    </row>
    <row r="66" spans="1:8" x14ac:dyDescent="0.25">
      <c r="A66">
        <v>30</v>
      </c>
      <c r="B66" s="6">
        <v>51.62</v>
      </c>
      <c r="D66" s="1">
        <v>30</v>
      </c>
      <c r="E66" s="7">
        <v>91.18</v>
      </c>
      <c r="G66">
        <v>30</v>
      </c>
      <c r="H66">
        <v>30</v>
      </c>
    </row>
    <row r="69" spans="1:8" x14ac:dyDescent="0.25">
      <c r="A69" s="38" t="s">
        <v>39</v>
      </c>
      <c r="B69" s="38"/>
      <c r="C69" s="38"/>
      <c r="D69" s="38"/>
      <c r="E69" s="38"/>
    </row>
    <row r="70" spans="1:8" x14ac:dyDescent="0.25">
      <c r="A70" s="38" t="s">
        <v>1</v>
      </c>
      <c r="B70" s="38"/>
      <c r="D70" s="38" t="s">
        <v>2</v>
      </c>
      <c r="E70" s="38"/>
    </row>
    <row r="71" spans="1:8" x14ac:dyDescent="0.25">
      <c r="A71" t="s">
        <v>35</v>
      </c>
      <c r="B71" t="s">
        <v>40</v>
      </c>
      <c r="D71" t="s">
        <v>35</v>
      </c>
      <c r="E71" t="s">
        <v>40</v>
      </c>
    </row>
    <row r="72" spans="1:8" x14ac:dyDescent="0.25">
      <c r="A72">
        <v>1</v>
      </c>
      <c r="B72">
        <v>58</v>
      </c>
      <c r="D72">
        <v>1</v>
      </c>
      <c r="E72">
        <v>57</v>
      </c>
    </row>
    <row r="73" spans="1:8" x14ac:dyDescent="0.25">
      <c r="A73">
        <v>2</v>
      </c>
      <c r="B73">
        <v>55</v>
      </c>
      <c r="D73">
        <v>2</v>
      </c>
      <c r="E73">
        <v>55</v>
      </c>
    </row>
    <row r="74" spans="1:8" x14ac:dyDescent="0.25">
      <c r="A74">
        <v>3</v>
      </c>
      <c r="B74">
        <v>58</v>
      </c>
      <c r="D74">
        <v>3</v>
      </c>
      <c r="E74">
        <v>58</v>
      </c>
    </row>
    <row r="75" spans="1:8" x14ac:dyDescent="0.25">
      <c r="A75">
        <v>4</v>
      </c>
      <c r="B75">
        <v>56</v>
      </c>
      <c r="D75">
        <v>4</v>
      </c>
      <c r="E75">
        <v>58</v>
      </c>
    </row>
    <row r="76" spans="1:8" x14ac:dyDescent="0.25">
      <c r="A76">
        <v>5</v>
      </c>
      <c r="B76">
        <v>55</v>
      </c>
      <c r="D76">
        <v>5</v>
      </c>
      <c r="E76">
        <v>65</v>
      </c>
    </row>
    <row r="77" spans="1:8" x14ac:dyDescent="0.25">
      <c r="A77">
        <v>6</v>
      </c>
      <c r="B77">
        <v>57</v>
      </c>
      <c r="D77">
        <v>6</v>
      </c>
      <c r="E77">
        <v>59</v>
      </c>
    </row>
    <row r="78" spans="1:8" x14ac:dyDescent="0.25">
      <c r="A78">
        <v>7</v>
      </c>
      <c r="B78">
        <v>58</v>
      </c>
      <c r="D78">
        <v>7</v>
      </c>
      <c r="E78">
        <v>59</v>
      </c>
    </row>
    <row r="79" spans="1:8" x14ac:dyDescent="0.25">
      <c r="A79">
        <v>8</v>
      </c>
      <c r="B79">
        <v>55</v>
      </c>
      <c r="D79">
        <v>8</v>
      </c>
      <c r="E79">
        <v>58</v>
      </c>
    </row>
    <row r="80" spans="1:8" x14ac:dyDescent="0.25">
      <c r="A80">
        <v>9</v>
      </c>
      <c r="B80">
        <v>55</v>
      </c>
      <c r="D80">
        <v>9</v>
      </c>
      <c r="E80">
        <v>56</v>
      </c>
    </row>
    <row r="81" spans="1:5" x14ac:dyDescent="0.25">
      <c r="A81">
        <v>10</v>
      </c>
      <c r="B81">
        <v>55</v>
      </c>
      <c r="D81">
        <v>10</v>
      </c>
      <c r="E81">
        <v>58</v>
      </c>
    </row>
  </sheetData>
  <mergeCells count="8">
    <mergeCell ref="A70:B70"/>
    <mergeCell ref="D70:E70"/>
    <mergeCell ref="A1:L1"/>
    <mergeCell ref="A35:B35"/>
    <mergeCell ref="D35:E35"/>
    <mergeCell ref="G35:H35"/>
    <mergeCell ref="A69:E69"/>
    <mergeCell ref="J35:K35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13.5703125" bestFit="1" customWidth="1"/>
    <col min="2" max="2" width="15.85546875" bestFit="1" customWidth="1"/>
  </cols>
  <sheetData>
    <row r="1" spans="1:2" x14ac:dyDescent="0.25">
      <c r="A1" s="38" t="s">
        <v>41</v>
      </c>
      <c r="B1" s="38"/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>
        <v>0.01</v>
      </c>
    </row>
    <row r="5" spans="1:2" x14ac:dyDescent="0.25">
      <c r="A5" t="s">
        <v>42</v>
      </c>
      <c r="B5" t="s">
        <v>45</v>
      </c>
    </row>
    <row r="6" spans="1:2" x14ac:dyDescent="0.25">
      <c r="A6" t="s">
        <v>44</v>
      </c>
      <c r="B6">
        <v>1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>
        <v>80</v>
      </c>
    </row>
    <row r="10" spans="1:2" x14ac:dyDescent="0.25">
      <c r="A10" t="s">
        <v>49</v>
      </c>
      <c r="B10">
        <v>4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>
        <v>200</v>
      </c>
    </row>
    <row r="14" spans="1:2" x14ac:dyDescent="0.25">
      <c r="A14" t="s">
        <v>49</v>
      </c>
      <c r="B14">
        <v>25</v>
      </c>
    </row>
    <row r="16" spans="1:2" x14ac:dyDescent="0.25">
      <c r="A16" t="s">
        <v>50</v>
      </c>
      <c r="B16" t="s">
        <v>47</v>
      </c>
    </row>
    <row r="17" spans="1:2" x14ac:dyDescent="0.25">
      <c r="A17" t="s">
        <v>48</v>
      </c>
      <c r="B17">
        <v>200</v>
      </c>
    </row>
    <row r="18" spans="1:2" x14ac:dyDescent="0.25">
      <c r="A18" t="s">
        <v>49</v>
      </c>
      <c r="B18">
        <v>50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1" sqref="I11"/>
    </sheetView>
  </sheetViews>
  <sheetFormatPr baseColWidth="10" defaultRowHeight="15" x14ac:dyDescent="0.25"/>
  <cols>
    <col min="1" max="1" width="12" customWidth="1"/>
    <col min="2" max="2" width="14.42578125" customWidth="1"/>
    <col min="3" max="3" width="13.7109375" customWidth="1"/>
  </cols>
  <sheetData>
    <row r="1" spans="1:6" x14ac:dyDescent="0.25">
      <c r="A1" s="38" t="s">
        <v>82</v>
      </c>
      <c r="B1" s="38"/>
      <c r="C1" s="38"/>
      <c r="D1" s="38"/>
      <c r="F1" t="s">
        <v>86</v>
      </c>
    </row>
    <row r="2" spans="1:6" x14ac:dyDescent="0.25">
      <c r="A2" t="s">
        <v>26</v>
      </c>
      <c r="B2" t="s">
        <v>83</v>
      </c>
      <c r="C2" t="s">
        <v>84</v>
      </c>
      <c r="D2" t="s">
        <v>85</v>
      </c>
      <c r="F2">
        <v>25</v>
      </c>
    </row>
    <row r="3" spans="1:6" x14ac:dyDescent="0.25">
      <c r="A3" t="s">
        <v>1</v>
      </c>
      <c r="B3">
        <v>6</v>
      </c>
      <c r="C3">
        <v>0</v>
      </c>
      <c r="D3">
        <f>B3*$F$2</f>
        <v>150</v>
      </c>
    </row>
    <row r="4" spans="1:6" x14ac:dyDescent="0.25">
      <c r="A4" t="s">
        <v>2</v>
      </c>
      <c r="B4">
        <v>1.5</v>
      </c>
      <c r="C4">
        <v>0.5</v>
      </c>
      <c r="D4">
        <f t="shared" ref="D4:D6" si="0">B4*$F$2</f>
        <v>37.5</v>
      </c>
    </row>
    <row r="5" spans="1:6" x14ac:dyDescent="0.25">
      <c r="A5" t="s">
        <v>0</v>
      </c>
      <c r="B5">
        <v>0.2</v>
      </c>
      <c r="C5">
        <v>0.03</v>
      </c>
      <c r="D5">
        <f t="shared" si="0"/>
        <v>5</v>
      </c>
    </row>
    <row r="6" spans="1:6" x14ac:dyDescent="0.25">
      <c r="A6" t="s">
        <v>4</v>
      </c>
      <c r="B6">
        <v>0.02</v>
      </c>
      <c r="C6">
        <v>0</v>
      </c>
      <c r="D6">
        <f t="shared" si="0"/>
        <v>0.5</v>
      </c>
    </row>
    <row r="8" spans="1:6" x14ac:dyDescent="0.25">
      <c r="A8" s="38" t="s">
        <v>87</v>
      </c>
      <c r="B8" s="38"/>
      <c r="C8" s="38"/>
      <c r="D8" s="38"/>
      <c r="E8" s="38"/>
    </row>
    <row r="9" spans="1:6" x14ac:dyDescent="0.25">
      <c r="A9" t="s">
        <v>14</v>
      </c>
      <c r="B9" t="s">
        <v>1</v>
      </c>
      <c r="C9" t="s">
        <v>2</v>
      </c>
      <c r="D9" t="s">
        <v>0</v>
      </c>
      <c r="E9" t="s">
        <v>4</v>
      </c>
    </row>
    <row r="10" spans="1:6" x14ac:dyDescent="0.25">
      <c r="A10" t="s">
        <v>1</v>
      </c>
      <c r="B10" s="37">
        <v>1</v>
      </c>
      <c r="C10" s="5">
        <f>($D$4/D3)^(1/3)</f>
        <v>0.6299605249474366</v>
      </c>
      <c r="D10" s="5">
        <f>($D$5/D3)^(1/3)</f>
        <v>0.32182979486854324</v>
      </c>
      <c r="E10" s="5">
        <f>($D$6/D3)^(1/3)</f>
        <v>0.14938015821857217</v>
      </c>
    </row>
    <row r="11" spans="1:6" x14ac:dyDescent="0.25">
      <c r="A11" t="s">
        <v>2</v>
      </c>
      <c r="B11" s="5">
        <f>($B$3/B4)^(1/3)</f>
        <v>1.5874010519681994</v>
      </c>
      <c r="C11" s="6">
        <f>($D$4/D4)^(1/3)</f>
        <v>1</v>
      </c>
      <c r="D11" s="5">
        <f>($D$5/D4)^(1/3)</f>
        <v>0.51087295492903539</v>
      </c>
      <c r="E11" s="5">
        <f>($D$6/D4)^(1/3)</f>
        <v>0.23712622029933755</v>
      </c>
    </row>
    <row r="12" spans="1:6" x14ac:dyDescent="0.25">
      <c r="A12" t="s">
        <v>0</v>
      </c>
      <c r="B12" s="5">
        <f>($B$3/B5)^(1/3)</f>
        <v>3.1072325059538586</v>
      </c>
      <c r="C12" s="5">
        <f>($D$4/D5)^(1/3)</f>
        <v>1.9574338205844317</v>
      </c>
      <c r="D12">
        <f>($D$5/D5)^(1/3)</f>
        <v>1</v>
      </c>
      <c r="E12" s="5">
        <f>($D$6/D5)^(1/3)</f>
        <v>0.46415888336127797</v>
      </c>
    </row>
    <row r="13" spans="1:6" x14ac:dyDescent="0.25">
      <c r="A13" t="s">
        <v>4</v>
      </c>
      <c r="B13" s="5">
        <f>($B$3/B6)^(1/3)</f>
        <v>6.6943295008216941</v>
      </c>
      <c r="C13" s="5">
        <f>($D$4/D6)^(1/3)</f>
        <v>4.2171633265087456</v>
      </c>
      <c r="D13" s="5">
        <f>($D$5/D6)^(1/3)</f>
        <v>2.1544346900318838</v>
      </c>
      <c r="E13">
        <v>1</v>
      </c>
    </row>
  </sheetData>
  <mergeCells count="2">
    <mergeCell ref="A8:E8"/>
    <mergeCell ref="A1:D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Densidades</vt:lpstr>
      <vt:lpstr>Hoja1</vt:lpstr>
      <vt:lpstr>Volumen de tubos</vt:lpstr>
      <vt:lpstr>Ángulos de reposo</vt:lpstr>
      <vt:lpstr>Mediciones</vt:lpstr>
      <vt:lpstr>Instrumentos</vt:lpstr>
      <vt:lpstr>Proporciones contenedores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Steve Alberto Mena Navarro </cp:lastModifiedBy>
  <cp:revision/>
  <cp:lastPrinted>2019-04-09T01:52:40Z</cp:lastPrinted>
  <dcterms:created xsi:type="dcterms:W3CDTF">2018-08-01T14:31:45Z</dcterms:created>
  <dcterms:modified xsi:type="dcterms:W3CDTF">2019-04-09T01:52:41Z</dcterms:modified>
  <cp:category/>
  <cp:contentStatus/>
</cp:coreProperties>
</file>