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Cálculo contenedor Concentrado" sheetId="1" r:id="rId1"/>
    <sheet name="Cálculo contenedor CC" sheetId="5" r:id="rId2"/>
    <sheet name="Cálculo de fuerza" sheetId="2" r:id="rId3"/>
    <sheet name="Calculo tolva romana" sheetId="3" r:id="rId4"/>
    <sheet name="Cálculo contenedor" sheetId="4" r:id="rId5"/>
  </sheets>
  <definedNames>
    <definedName name="solver_adj" localSheetId="4" hidden="1">'Cálculo contenedor'!$A$11,'Cálculo contenedor'!$B$11,'Cálculo contenedor'!$C$11</definedName>
    <definedName name="solver_adj" localSheetId="1" hidden="1">'Cálculo contenedor CC'!$I$15:$K$15</definedName>
    <definedName name="solver_adj" localSheetId="0" hidden="1">'Cálculo contenedor Concentrado'!$I$15:$K$15</definedName>
    <definedName name="solver_adj" localSheetId="3" hidden="1">'Calculo tolva romana'!$S$26,'Calculo tolva romana'!$U$26,'Calculo tolva romana'!$V$26</definedName>
    <definedName name="solver_cvg" localSheetId="4" hidden="1">0.0001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drv" localSheetId="4" hidden="1">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eng" localSheetId="4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st" localSheetId="4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itr" localSheetId="4" hidden="1">2147483647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lhs1" localSheetId="4" hidden="1">'Cálculo contenedor'!$A$11</definedName>
    <definedName name="solver_lhs1" localSheetId="1" hidden="1">'Cálculo contenedor CC'!$I$15:$L$15</definedName>
    <definedName name="solver_lhs1" localSheetId="0" hidden="1">'Cálculo contenedor Concentrado'!$I$15:$L$15</definedName>
    <definedName name="solver_lhs1" localSheetId="3" hidden="1">'Calculo tolva romana'!$S$26:$W$26</definedName>
    <definedName name="solver_lhs2" localSheetId="4" hidden="1">'Cálculo contenedor'!$B$11</definedName>
    <definedName name="solver_lhs2" localSheetId="1" hidden="1">'Cálculo contenedor CC'!$J$20</definedName>
    <definedName name="solver_lhs2" localSheetId="0" hidden="1">'Cálculo contenedor Concentrado'!$J$20</definedName>
    <definedName name="solver_lhs2" localSheetId="3" hidden="1">'Calculo tolva romana'!$S$32</definedName>
    <definedName name="solver_lhs3" localSheetId="4" hidden="1">'Cálculo contenedor'!$B$15</definedName>
    <definedName name="solver_lhs3" localSheetId="1" hidden="1">'Cálculo contenedor CC'!$J$23</definedName>
    <definedName name="solver_lhs3" localSheetId="0" hidden="1">'Cálculo contenedor Concentrado'!$J$23</definedName>
    <definedName name="solver_lhs3" localSheetId="3" hidden="1">'Calculo tolva romana'!$U$26</definedName>
    <definedName name="solver_lhs4" localSheetId="4" hidden="1">'Cálculo contenedor'!$B$18</definedName>
    <definedName name="solver_lhs4" localSheetId="1" hidden="1">'Cálculo contenedor CC'!$J$23</definedName>
    <definedName name="solver_lhs4" localSheetId="0" hidden="1">'Cálculo contenedor Concentrado'!$J$23</definedName>
    <definedName name="solver_lhs4" localSheetId="3" hidden="1">'Calculo tolva romana'!$V$26</definedName>
    <definedName name="solver_lhs5" localSheetId="4" hidden="1">'Cálculo contenedor'!$C$11</definedName>
    <definedName name="solver_lhs5" localSheetId="3" hidden="1">'Calculo tolva romana'!$D$11</definedName>
    <definedName name="solver_lhs6" localSheetId="3" hidden="1">'Calculo tolva romana'!$G$11</definedName>
    <definedName name="solver_mip" localSheetId="4" hidden="1">2147483647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ni" localSheetId="4" hidden="1">30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rt" localSheetId="4" hidden="1">0.075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sl" localSheetId="4" hidden="1">2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neg" localSheetId="4" hidden="1">2</definedName>
    <definedName name="solver_neg" localSheetId="1" hidden="1">2</definedName>
    <definedName name="solver_neg" localSheetId="0" hidden="1">2</definedName>
    <definedName name="solver_neg" localSheetId="3" hidden="1">1</definedName>
    <definedName name="solver_nod" localSheetId="4" hidden="1">2147483647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um" localSheetId="4" hidden="1">5</definedName>
    <definedName name="solver_num" localSheetId="1" hidden="1">3</definedName>
    <definedName name="solver_num" localSheetId="0" hidden="1">3</definedName>
    <definedName name="solver_num" localSheetId="3" hidden="1">4</definedName>
    <definedName name="solver_nwt" localSheetId="4" hidden="1">1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opt" localSheetId="4" hidden="1">'Cálculo contenedor'!$B$21</definedName>
    <definedName name="solver_opt" localSheetId="1" hidden="1">'Cálculo contenedor CC'!$J$26</definedName>
    <definedName name="solver_opt" localSheetId="0" hidden="1">'Cálculo contenedor Concentrado'!$J$26</definedName>
    <definedName name="solver_opt" localSheetId="3" hidden="1">'Calculo tolva romana'!$S$29</definedName>
    <definedName name="solver_pre" localSheetId="4" hidden="1">0.000001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rbv" localSheetId="4" hidden="1">2</definedName>
    <definedName name="solver_rbv" localSheetId="1" hidden="1">2</definedName>
    <definedName name="solver_rbv" localSheetId="0" hidden="1">2</definedName>
    <definedName name="solver_rbv" localSheetId="3" hidden="1">1</definedName>
    <definedName name="solver_rel1" localSheetId="4" hidden="1">3</definedName>
    <definedName name="solver_rel1" localSheetId="1" hidden="1">3</definedName>
    <definedName name="solver_rel1" localSheetId="0" hidden="1">3</definedName>
    <definedName name="solver_rel1" localSheetId="3" hidden="1">3</definedName>
    <definedName name="solver_rel2" localSheetId="4" hidden="1">3</definedName>
    <definedName name="solver_rel2" localSheetId="1" hidden="1">2</definedName>
    <definedName name="solver_rel2" localSheetId="0" hidden="1">2</definedName>
    <definedName name="solver_rel2" localSheetId="3" hidden="1">2</definedName>
    <definedName name="solver_rel3" localSheetId="4" hidden="1">2</definedName>
    <definedName name="solver_rel3" localSheetId="1" hidden="1">2</definedName>
    <definedName name="solver_rel3" localSheetId="0" hidden="1">2</definedName>
    <definedName name="solver_rel3" localSheetId="3" hidden="1">3</definedName>
    <definedName name="solver_rel4" localSheetId="4" hidden="1">2</definedName>
    <definedName name="solver_rel4" localSheetId="1" hidden="1">2</definedName>
    <definedName name="solver_rel4" localSheetId="0" hidden="1">2</definedName>
    <definedName name="solver_rel4" localSheetId="3" hidden="1">3</definedName>
    <definedName name="solver_rel5" localSheetId="4" hidden="1">3</definedName>
    <definedName name="solver_rel5" localSheetId="3" hidden="1">3</definedName>
    <definedName name="solver_rel6" localSheetId="3" hidden="1">3</definedName>
    <definedName name="solver_rhs1" localSheetId="4" hidden="1">0</definedName>
    <definedName name="solver_rhs1" localSheetId="1" hidden="1">0</definedName>
    <definedName name="solver_rhs1" localSheetId="0" hidden="1">0</definedName>
    <definedName name="solver_rhs1" localSheetId="3" hidden="1">0</definedName>
    <definedName name="solver_rhs2" localSheetId="4" hidden="1">0</definedName>
    <definedName name="solver_rhs2" localSheetId="1" hidden="1">0</definedName>
    <definedName name="solver_rhs2" localSheetId="0" hidden="1">0</definedName>
    <definedName name="solver_rhs2" localSheetId="3" hidden="1">0</definedName>
    <definedName name="solver_rhs3" localSheetId="4" hidden="1">0</definedName>
    <definedName name="solver_rhs3" localSheetId="1" hidden="1">0</definedName>
    <definedName name="solver_rhs3" localSheetId="0" hidden="1">0</definedName>
    <definedName name="solver_rhs3" localSheetId="3" hidden="1">5</definedName>
    <definedName name="solver_rhs4" localSheetId="4" hidden="1">0</definedName>
    <definedName name="solver_rhs4" localSheetId="1" hidden="1">0</definedName>
    <definedName name="solver_rhs4" localSheetId="0" hidden="1">0</definedName>
    <definedName name="solver_rhs4" localSheetId="3" hidden="1">5</definedName>
    <definedName name="solver_rhs5" localSheetId="4" hidden="1">30</definedName>
    <definedName name="solver_rhs5" localSheetId="3" hidden="1">0</definedName>
    <definedName name="solver_rhs6" localSheetId="3" hidden="1">0</definedName>
    <definedName name="solver_rlx" localSheetId="4" hidden="1">2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sd" localSheetId="4" hidden="1">0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scl" localSheetId="4" hidden="1">1</definedName>
    <definedName name="solver_scl" localSheetId="1" hidden="1">1</definedName>
    <definedName name="solver_scl" localSheetId="0" hidden="1">1</definedName>
    <definedName name="solver_scl" localSheetId="3" hidden="1">1</definedName>
    <definedName name="solver_sho" localSheetId="4" hidden="1">2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sz" localSheetId="4" hidden="1">100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tim" localSheetId="4" hidden="1">2147483647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ol" localSheetId="4" hidden="1">0.01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yp" localSheetId="4" hidden="1">2</definedName>
    <definedName name="solver_typ" localSheetId="1" hidden="1">2</definedName>
    <definedName name="solver_typ" localSheetId="0" hidden="1">2</definedName>
    <definedName name="solver_typ" localSheetId="3" hidden="1">2</definedName>
    <definedName name="solver_val" localSheetId="4" hidden="1">0</definedName>
    <definedName name="solver_val" localSheetId="1" hidden="1">0</definedName>
    <definedName name="solver_val" localSheetId="0" hidden="1">0</definedName>
    <definedName name="solver_val" localSheetId="3" hidden="1">15000</definedName>
    <definedName name="solver_ver" localSheetId="4" hidden="1">3</definedName>
    <definedName name="solver_ver" localSheetId="1" hidden="1">3</definedName>
    <definedName name="solver_ver" localSheetId="0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" i="3" l="1"/>
  <c r="Q30" i="3"/>
  <c r="O30" i="3"/>
  <c r="L15" i="5" l="1"/>
  <c r="J11" i="5"/>
  <c r="J9" i="5"/>
  <c r="B19" i="1"/>
  <c r="F45" i="5" l="1"/>
  <c r="A45" i="5"/>
  <c r="C45" i="5" s="1"/>
  <c r="D45" i="5" s="1"/>
  <c r="F43" i="5"/>
  <c r="F39" i="5"/>
  <c r="G45" i="5" s="1"/>
  <c r="A39" i="5"/>
  <c r="B45" i="5" s="1"/>
  <c r="J26" i="5"/>
  <c r="K18" i="5"/>
  <c r="J18" i="5"/>
  <c r="I18" i="5"/>
  <c r="B16" i="5"/>
  <c r="J23" i="5" s="1"/>
  <c r="J9" i="1"/>
  <c r="L18" i="5" l="1"/>
  <c r="M18" i="5" s="1"/>
  <c r="H45" i="5"/>
  <c r="I45" i="5" s="1"/>
  <c r="W26" i="3"/>
  <c r="S29" i="3" s="1"/>
  <c r="Z26" i="3"/>
  <c r="Y26" i="3"/>
  <c r="T22" i="3"/>
  <c r="J26" i="1"/>
  <c r="G14" i="3"/>
  <c r="Q27" i="3"/>
  <c r="O23" i="3"/>
  <c r="O28" i="3" s="1"/>
  <c r="Q28" i="3" l="1"/>
  <c r="Q29" i="3" s="1"/>
  <c r="O29" i="3"/>
  <c r="J23" i="1" l="1"/>
  <c r="K18" i="1"/>
  <c r="J18" i="1"/>
  <c r="I18" i="1"/>
  <c r="B14" i="4"/>
  <c r="C14" i="4"/>
  <c r="A14" i="4"/>
  <c r="J11" i="1"/>
  <c r="L18" i="1" l="1"/>
  <c r="M18" i="1" s="1"/>
  <c r="J20" i="1" s="1"/>
  <c r="B16" i="1" l="1"/>
  <c r="A39" i="1"/>
  <c r="A45" i="1"/>
  <c r="B21" i="4" l="1"/>
  <c r="A33" i="3" l="1"/>
  <c r="B37" i="3"/>
  <c r="E26" i="3"/>
  <c r="H18" i="3"/>
  <c r="K7" i="3"/>
  <c r="H15" i="3" s="1"/>
  <c r="H21" i="4"/>
  <c r="H18" i="4"/>
  <c r="I14" i="4"/>
  <c r="H14" i="4"/>
  <c r="J14" i="4" s="1"/>
  <c r="H15" i="4" s="1"/>
  <c r="G14" i="4"/>
  <c r="G7" i="4"/>
  <c r="A7" i="4"/>
  <c r="N21" i="4"/>
  <c r="N18" i="4"/>
  <c r="O14" i="4"/>
  <c r="N14" i="4"/>
  <c r="P14" i="4" s="1"/>
  <c r="N15" i="4" s="1"/>
  <c r="M14" i="4"/>
  <c r="B18" i="4"/>
  <c r="H40" i="4"/>
  <c r="H37" i="4"/>
  <c r="I33" i="4"/>
  <c r="H33" i="4"/>
  <c r="J33" i="4" s="1"/>
  <c r="G33" i="4"/>
  <c r="K26" i="4"/>
  <c r="H34" i="4" s="1"/>
  <c r="B40" i="4"/>
  <c r="B37" i="4"/>
  <c r="C33" i="4"/>
  <c r="B33" i="4"/>
  <c r="D33" i="4" s="1"/>
  <c r="A33" i="4"/>
  <c r="E26" i="4"/>
  <c r="B34" i="4" s="1"/>
  <c r="B21" i="3"/>
  <c r="B18" i="3"/>
  <c r="C14" i="3"/>
  <c r="B14" i="3"/>
  <c r="A14" i="3"/>
  <c r="E7" i="3"/>
  <c r="B34" i="3" l="1"/>
  <c r="D14" i="4"/>
  <c r="B15" i="4" s="1"/>
  <c r="D14" i="3"/>
  <c r="B15" i="3" s="1"/>
  <c r="F43" i="1" l="1"/>
  <c r="A15" i="2" l="1"/>
  <c r="A9" i="2"/>
  <c r="F45" i="1" l="1"/>
  <c r="F39" i="1"/>
  <c r="B45" i="1"/>
  <c r="C45" i="1" s="1"/>
  <c r="G45" i="1" l="1"/>
  <c r="H45" i="1" s="1"/>
  <c r="I45" i="1" s="1"/>
  <c r="A11" i="2"/>
  <c r="D45" i="1"/>
  <c r="D3" i="2" l="1"/>
  <c r="E3" i="2" s="1"/>
  <c r="F3" i="2"/>
  <c r="C11" i="2"/>
  <c r="D6" i="2" l="1"/>
  <c r="D8" i="2" s="1"/>
  <c r="D9" i="2" s="1"/>
  <c r="B19" i="5" l="1"/>
  <c r="J20" i="5"/>
</calcChain>
</file>

<file path=xl/sharedStrings.xml><?xml version="1.0" encoding="utf-8"?>
<sst xmlns="http://schemas.openxmlformats.org/spreadsheetml/2006/main" count="416" uniqueCount="161">
  <si>
    <t>Altura deseada</t>
  </si>
  <si>
    <t>Volumen deseado</t>
  </si>
  <si>
    <t>cm3</t>
  </si>
  <si>
    <t>cm</t>
  </si>
  <si>
    <t>°</t>
  </si>
  <si>
    <t>Lado deseado</t>
  </si>
  <si>
    <t>Modo 1 Dada una altura, calcular un lado</t>
  </si>
  <si>
    <t>Lado inicial</t>
  </si>
  <si>
    <t>Area menor</t>
  </si>
  <si>
    <t>Area mayor</t>
  </si>
  <si>
    <t>Volumen total</t>
  </si>
  <si>
    <t>Modo 2: Dado un lado, calcular una altura</t>
  </si>
  <si>
    <t>Altura inicial</t>
  </si>
  <si>
    <t>Error</t>
  </si>
  <si>
    <t>Material</t>
  </si>
  <si>
    <t>Adicional</t>
  </si>
  <si>
    <t>Densidad</t>
  </si>
  <si>
    <t>kg/m3</t>
  </si>
  <si>
    <t>Coef. Fricción</t>
  </si>
  <si>
    <t>Gravedad</t>
  </si>
  <si>
    <t>m/s2</t>
  </si>
  <si>
    <t>Altura</t>
  </si>
  <si>
    <t>m</t>
  </si>
  <si>
    <t>Lado mayor</t>
  </si>
  <si>
    <t>K</t>
  </si>
  <si>
    <t>adim</t>
  </si>
  <si>
    <t>Cálculo de presión</t>
  </si>
  <si>
    <t>Dimátero hidráulico</t>
  </si>
  <si>
    <t>Exponencial</t>
  </si>
  <si>
    <t>Factor</t>
  </si>
  <si>
    <t>Factor 2</t>
  </si>
  <si>
    <t>Total</t>
  </si>
  <si>
    <t>Fuerza</t>
  </si>
  <si>
    <t>Lado menor</t>
  </si>
  <si>
    <t>N</t>
  </si>
  <si>
    <t>Pa</t>
  </si>
  <si>
    <t>kgf</t>
  </si>
  <si>
    <t>Razon aurea</t>
  </si>
  <si>
    <t>Determinación de volumen de la tolva romana</t>
  </si>
  <si>
    <t>En esta hoja se intentó determinar el tamaño de la tolva romana, sujeto a 7 ecuaciones contemplando el factor de seguridad.</t>
  </si>
  <si>
    <t>Los cálculos previos están en la hoja del 1 de Octubre, consecutivo 5.</t>
  </si>
  <si>
    <t>Ecuación 1</t>
  </si>
  <si>
    <t>Ecuación 2</t>
  </si>
  <si>
    <t>Ecuación 3</t>
  </si>
  <si>
    <t>Factor de seguridad</t>
  </si>
  <si>
    <t>Parámetros a encontrar</t>
  </si>
  <si>
    <t>a</t>
  </si>
  <si>
    <t>b</t>
  </si>
  <si>
    <t>c</t>
  </si>
  <si>
    <t>d</t>
  </si>
  <si>
    <t>Volumen cubo</t>
  </si>
  <si>
    <t>Area Mayor</t>
  </si>
  <si>
    <t>Area Menor</t>
  </si>
  <si>
    <t>Volumen pirámide</t>
  </si>
  <si>
    <t>Objetivo</t>
  </si>
  <si>
    <t>Determinación de volumen de los contenedores</t>
  </si>
  <si>
    <t>En esta hoja se intentó determinar el tamaño de los contenedores para cada alimento sujeto a 3 ecuaciones contemplando el factor de seguridad.</t>
  </si>
  <si>
    <t>Los cálculos previos están en la hoja del 1 de Octubre, consecutivo 6.</t>
  </si>
  <si>
    <t>Concentrado</t>
  </si>
  <si>
    <t>Volumen cilindro</t>
  </si>
  <si>
    <t>CitroCon</t>
  </si>
  <si>
    <t>Mineral</t>
  </si>
  <si>
    <t>Levadura</t>
  </si>
  <si>
    <t>Tolva general</t>
  </si>
  <si>
    <t>Tolva mineral</t>
  </si>
  <si>
    <t>Tolva Levadura</t>
  </si>
  <si>
    <t>Angulo deseado (respecto a la vertical)</t>
  </si>
  <si>
    <t>rad</t>
  </si>
  <si>
    <t>Hoja de excel requerida para calcular los tamaños de las tolvas contenedoras de alimento</t>
  </si>
  <si>
    <t>Steve Mena Navarro</t>
  </si>
  <si>
    <t>Se va a calcular el tamaño de la tolva, con las restricciones de:</t>
  </si>
  <si>
    <t>El volumen debe ser el requerido por un factor de seguridad</t>
  </si>
  <si>
    <t>La cantida de material debe minizarse.</t>
  </si>
  <si>
    <t>Se va a variar la altura del cuadrado, y el lado del cuadrado</t>
  </si>
  <si>
    <t>Parámetros</t>
  </si>
  <si>
    <t>Angulo (°)</t>
  </si>
  <si>
    <t>Ángulo (rad)</t>
  </si>
  <si>
    <t>Apertura del tubo (cm)</t>
  </si>
  <si>
    <t>Densidad del material (g/cm3)</t>
  </si>
  <si>
    <t>Masa requerida (g)</t>
  </si>
  <si>
    <t>El calculo se realizó con la densidad del material más pequeña encontrada.</t>
  </si>
  <si>
    <t>Proceso de cálculo</t>
  </si>
  <si>
    <t>Calcular volumen requerido</t>
  </si>
  <si>
    <t>FS</t>
  </si>
  <si>
    <t>Volumen (cm3)</t>
  </si>
  <si>
    <t>Calcular volumen con FS</t>
  </si>
  <si>
    <t>Realizar todo el proceso de cálculo tolva contenedora</t>
  </si>
  <si>
    <t>Volumen prisma</t>
  </si>
  <si>
    <t>(a) Lado Mayor</t>
  </si>
  <si>
    <t>(b) Altura del cono</t>
  </si>
  <si>
    <t>© Altura del prisma</t>
  </si>
  <si>
    <t>(d) Apertura de salida</t>
  </si>
  <si>
    <t>Ecuación de volumen</t>
  </si>
  <si>
    <t>Minimizar la cantidad de material</t>
  </si>
  <si>
    <t>Mantener el ángulo deseado°</t>
  </si>
  <si>
    <t>Cálculo de tolva romana versión 2</t>
  </si>
  <si>
    <t>Esta parte de la hoja de calculo pretende es para hacer el diseño de la tolva con las modificaciones pertinentes.</t>
  </si>
  <si>
    <t>Tolva que recoge todos los puntos</t>
  </si>
  <si>
    <t>2. Debe alojar 4 celdas de carga</t>
  </si>
  <si>
    <t>3. Debe minizar la cantidad de material necesario.</t>
  </si>
  <si>
    <t>5. El actuador debe estar a 90°</t>
  </si>
  <si>
    <t>6. Debe ser simétrico.</t>
  </si>
  <si>
    <t>Espeficicaciones de diseño</t>
  </si>
  <si>
    <t>7. La apertura debe ser de 10 cm. Para entrar en un tubo de 5 in sanitario.</t>
  </si>
  <si>
    <t>Parámetros a determinar</t>
  </si>
  <si>
    <t>d (mm)</t>
  </si>
  <si>
    <t>b (cm)</t>
  </si>
  <si>
    <t>c (cm)</t>
  </si>
  <si>
    <t>a (cm)</t>
  </si>
  <si>
    <t>Largo de la boca de ingreso</t>
  </si>
  <si>
    <t>Largo de la boca de salida</t>
  </si>
  <si>
    <t>Altura de la parte recta</t>
  </si>
  <si>
    <t>Altura de la parte menor</t>
  </si>
  <si>
    <t>Parámetros de diseño</t>
  </si>
  <si>
    <t>Masa (g)</t>
  </si>
  <si>
    <t>Masa concentrado (g)</t>
  </si>
  <si>
    <t>Masa del concentrado a contener</t>
  </si>
  <si>
    <t>Masa adicional (g)</t>
  </si>
  <si>
    <t>Masa del adicional</t>
  </si>
  <si>
    <t>Menor Densidad del adicional según Evelio</t>
  </si>
  <si>
    <t>Menor Densidad del concentrado menos denso según los datos de DP</t>
  </si>
  <si>
    <t>Densidad adic. (g/cm3)</t>
  </si>
  <si>
    <t>Densidad conc. (g/cm3)</t>
  </si>
  <si>
    <t>Masa total permitida (g)</t>
  </si>
  <si>
    <t>Masa máxima que es capaz de soportar la tolva</t>
  </si>
  <si>
    <t>Paso 1</t>
  </si>
  <si>
    <t>Determinar el volumen máximo y la masa de cada uno de los alimentos guardando una proporción entre el adicional y el concentrado</t>
  </si>
  <si>
    <t>Relación (con./adic.)</t>
  </si>
  <si>
    <t>Entrada</t>
  </si>
  <si>
    <t>Tabla con resultados</t>
  </si>
  <si>
    <t>Conc.</t>
  </si>
  <si>
    <t>Adic.</t>
  </si>
  <si>
    <t>Densidad (g/cm3)</t>
  </si>
  <si>
    <t>Se aplicó SOLVER PARA DETERMINAR LA MASA MÁXIMA DE CADA ALIMENTO.</t>
  </si>
  <si>
    <t>Se fijó la masa total como ecuación y se fue variando la cantidad de concentrado</t>
  </si>
  <si>
    <t>el volumen final se tomó como citerio de diseño</t>
  </si>
  <si>
    <t>Paso 2</t>
  </si>
  <si>
    <t xml:space="preserve"> </t>
  </si>
  <si>
    <t>Determinar los parámetros de diseño.</t>
  </si>
  <si>
    <t>Determinar las ecuaciones de diseño</t>
  </si>
  <si>
    <t>d (cm)</t>
  </si>
  <si>
    <t>Angulo vertical (°)</t>
  </si>
  <si>
    <t>Paso 2.1</t>
  </si>
  <si>
    <t>Convertir el ángulo a radianes</t>
  </si>
  <si>
    <t>Angulo vertidal (rad)</t>
  </si>
  <si>
    <t>h (cm)</t>
  </si>
  <si>
    <t>Altura de la parte cónica de la tolva</t>
  </si>
  <si>
    <t>Area mayor (cm2)</t>
  </si>
  <si>
    <t>Area Menor (cm2)</t>
  </si>
  <si>
    <t>Volumen requerido (cm3)</t>
  </si>
  <si>
    <t>Minimización de material (ecuación objetivo) (cm2)</t>
  </si>
  <si>
    <t>Alimento por vaca (g/vaca)</t>
  </si>
  <si>
    <t>Vacas totales</t>
  </si>
  <si>
    <t>Vacas totales (vaca)</t>
  </si>
  <si>
    <t>4. El ángulo de reposo del material debe ser de 60° con las paredes</t>
  </si>
  <si>
    <t>1. La tolva tiene que sostener hasta 15 kg del alimento más ligero.</t>
  </si>
  <si>
    <t>Notas</t>
  </si>
  <si>
    <t>Fecha</t>
  </si>
  <si>
    <t>Observación</t>
  </si>
  <si>
    <t>8. El factor de seguridad es de 1,5</t>
  </si>
  <si>
    <t>Volumen de 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</si>
</sst>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2" workbookViewId="0">
      <selection activeCell="E18" sqref="E18"/>
    </sheetView>
  </sheetViews>
  <sheetFormatPr baseColWidth="10" defaultColWidth="9.140625" defaultRowHeight="15" x14ac:dyDescent="0.25"/>
  <cols>
    <col min="1" max="1" width="10.7109375" bestFit="1" customWidth="1"/>
    <col min="8" max="8" width="13.7109375" customWidth="1"/>
  </cols>
  <sheetData>
    <row r="1" spans="1:12" x14ac:dyDescent="0.25">
      <c r="A1" t="s">
        <v>68</v>
      </c>
    </row>
    <row r="2" spans="1:12" x14ac:dyDescent="0.25">
      <c r="A2" t="s">
        <v>80</v>
      </c>
    </row>
    <row r="3" spans="1:12" x14ac:dyDescent="0.25">
      <c r="A3" t="s">
        <v>69</v>
      </c>
    </row>
    <row r="4" spans="1:12" x14ac:dyDescent="0.25">
      <c r="A4" s="5">
        <v>43388</v>
      </c>
    </row>
    <row r="7" spans="1:12" x14ac:dyDescent="0.25">
      <c r="A7" s="1" t="s">
        <v>58</v>
      </c>
      <c r="H7" s="1" t="s">
        <v>81</v>
      </c>
    </row>
    <row r="8" spans="1:12" x14ac:dyDescent="0.25">
      <c r="A8" t="s">
        <v>70</v>
      </c>
      <c r="H8">
        <v>1</v>
      </c>
      <c r="I8" t="s">
        <v>82</v>
      </c>
    </row>
    <row r="9" spans="1:12" x14ac:dyDescent="0.25">
      <c r="A9">
        <v>1</v>
      </c>
      <c r="B9" t="s">
        <v>71</v>
      </c>
      <c r="I9" s="1" t="s">
        <v>84</v>
      </c>
      <c r="J9">
        <f>B19/B18</f>
        <v>681818.18181818177</v>
      </c>
    </row>
    <row r="10" spans="1:12" x14ac:dyDescent="0.25">
      <c r="A10">
        <v>2</v>
      </c>
      <c r="B10" t="s">
        <v>72</v>
      </c>
      <c r="H10">
        <v>2</v>
      </c>
      <c r="I10" t="s">
        <v>85</v>
      </c>
    </row>
    <row r="11" spans="1:12" x14ac:dyDescent="0.25">
      <c r="A11">
        <v>3</v>
      </c>
      <c r="B11" t="s">
        <v>73</v>
      </c>
      <c r="I11" s="1" t="s">
        <v>84</v>
      </c>
      <c r="J11">
        <f>J9*B20</f>
        <v>886363.63636363635</v>
      </c>
    </row>
    <row r="12" spans="1:12" x14ac:dyDescent="0.25">
      <c r="H12">
        <v>3</v>
      </c>
      <c r="I12" t="s">
        <v>86</v>
      </c>
    </row>
    <row r="13" spans="1:12" x14ac:dyDescent="0.25">
      <c r="I13" t="s">
        <v>45</v>
      </c>
    </row>
    <row r="14" spans="1:12" x14ac:dyDescent="0.25">
      <c r="A14" s="1" t="s">
        <v>74</v>
      </c>
      <c r="I14" t="s">
        <v>88</v>
      </c>
      <c r="J14" t="s">
        <v>89</v>
      </c>
      <c r="K14" t="s">
        <v>90</v>
      </c>
      <c r="L14" t="s">
        <v>91</v>
      </c>
    </row>
    <row r="15" spans="1:12" x14ac:dyDescent="0.25">
      <c r="A15" t="s">
        <v>75</v>
      </c>
      <c r="B15">
        <v>30</v>
      </c>
      <c r="I15">
        <v>127.69436939057958</v>
      </c>
      <c r="J15">
        <v>99.588045184413559</v>
      </c>
      <c r="K15">
        <v>17.978790520014051</v>
      </c>
      <c r="L15">
        <v>12.7</v>
      </c>
    </row>
    <row r="16" spans="1:12" x14ac:dyDescent="0.25">
      <c r="A16" t="s">
        <v>76</v>
      </c>
      <c r="B16">
        <f>(PI()/180)*B15</f>
        <v>0.52359877559829882</v>
      </c>
      <c r="I16" t="s">
        <v>41</v>
      </c>
    </row>
    <row r="17" spans="1:13" x14ac:dyDescent="0.25">
      <c r="A17" t="s">
        <v>77</v>
      </c>
      <c r="B17">
        <v>12.7</v>
      </c>
      <c r="C17" t="s">
        <v>3</v>
      </c>
      <c r="I17" t="s">
        <v>87</v>
      </c>
      <c r="J17" t="s">
        <v>51</v>
      </c>
      <c r="K17" t="s">
        <v>52</v>
      </c>
      <c r="L17" t="s">
        <v>53</v>
      </c>
      <c r="M17" t="s">
        <v>10</v>
      </c>
    </row>
    <row r="18" spans="1:13" x14ac:dyDescent="0.25">
      <c r="A18" t="s">
        <v>78</v>
      </c>
      <c r="B18">
        <v>0.44</v>
      </c>
      <c r="I18">
        <f>(I15*I15)*K15</f>
        <v>293159.49689194252</v>
      </c>
      <c r="J18">
        <f>(I15*I15)</f>
        <v>16305.851974057787</v>
      </c>
      <c r="K18">
        <f>PI()*(L15/2)^2</f>
        <v>126.67686977437442</v>
      </c>
      <c r="L18">
        <f>(J15/3)*(J18+K18+SQRT(J18*K18))</f>
        <v>593204.13947170554</v>
      </c>
      <c r="M18">
        <f>I18+L18</f>
        <v>886363.63636364811</v>
      </c>
    </row>
    <row r="19" spans="1:13" x14ac:dyDescent="0.25">
      <c r="A19" t="s">
        <v>79</v>
      </c>
      <c r="B19">
        <f>B22*B21</f>
        <v>300000</v>
      </c>
      <c r="I19" t="s">
        <v>92</v>
      </c>
    </row>
    <row r="20" spans="1:13" x14ac:dyDescent="0.25">
      <c r="A20" t="s">
        <v>83</v>
      </c>
      <c r="B20">
        <v>1.3</v>
      </c>
      <c r="I20" t="s">
        <v>54</v>
      </c>
      <c r="J20">
        <f>J11-M18</f>
        <v>-1.1757947504520416E-8</v>
      </c>
    </row>
    <row r="21" spans="1:13" x14ac:dyDescent="0.25">
      <c r="A21" t="s">
        <v>151</v>
      </c>
      <c r="B21">
        <v>6000</v>
      </c>
    </row>
    <row r="22" spans="1:13" x14ac:dyDescent="0.25">
      <c r="A22" t="s">
        <v>153</v>
      </c>
      <c r="B22">
        <v>50</v>
      </c>
      <c r="I22" t="s">
        <v>94</v>
      </c>
    </row>
    <row r="23" spans="1:13" x14ac:dyDescent="0.25">
      <c r="I23" t="s">
        <v>54</v>
      </c>
      <c r="J23">
        <f>2*J15*TAN(B16)+L15-I15</f>
        <v>0</v>
      </c>
    </row>
    <row r="25" spans="1:13" x14ac:dyDescent="0.25">
      <c r="I25" t="s">
        <v>93</v>
      </c>
    </row>
    <row r="26" spans="1:13" x14ac:dyDescent="0.25">
      <c r="I26" t="s">
        <v>54</v>
      </c>
      <c r="J26">
        <f>4*I15*K15+4/2*(I15+L15)*J15/COS(B16)</f>
        <v>41472.285219549667</v>
      </c>
    </row>
    <row r="32" spans="1:13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66</v>
      </c>
      <c r="F37" t="s">
        <v>66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67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5" workbookViewId="0">
      <selection activeCell="B17" sqref="B17"/>
    </sheetView>
  </sheetViews>
  <sheetFormatPr baseColWidth="10" defaultColWidth="9.140625" defaultRowHeight="15" x14ac:dyDescent="0.25"/>
  <cols>
    <col min="1" max="1" width="10.7109375" bestFit="1" customWidth="1"/>
    <col min="8" max="8" width="13.7109375" customWidth="1"/>
  </cols>
  <sheetData>
    <row r="1" spans="1:12" x14ac:dyDescent="0.25">
      <c r="A1" t="s">
        <v>68</v>
      </c>
    </row>
    <row r="2" spans="1:12" x14ac:dyDescent="0.25">
      <c r="A2" t="s">
        <v>80</v>
      </c>
    </row>
    <row r="3" spans="1:12" x14ac:dyDescent="0.25">
      <c r="A3" t="s">
        <v>69</v>
      </c>
    </row>
    <row r="4" spans="1:12" x14ac:dyDescent="0.25">
      <c r="A4" s="5">
        <v>43388</v>
      </c>
    </row>
    <row r="7" spans="1:12" x14ac:dyDescent="0.25">
      <c r="A7" s="1" t="s">
        <v>60</v>
      </c>
      <c r="H7" s="1" t="s">
        <v>81</v>
      </c>
    </row>
    <row r="8" spans="1:12" x14ac:dyDescent="0.25">
      <c r="A8" t="s">
        <v>70</v>
      </c>
      <c r="H8">
        <v>1</v>
      </c>
      <c r="I8" t="s">
        <v>82</v>
      </c>
    </row>
    <row r="9" spans="1:12" x14ac:dyDescent="0.25">
      <c r="A9">
        <v>1</v>
      </c>
      <c r="B9" t="s">
        <v>71</v>
      </c>
      <c r="I9" s="1" t="s">
        <v>84</v>
      </c>
      <c r="J9">
        <f>B19/B18</f>
        <v>338983.05084745766</v>
      </c>
    </row>
    <row r="10" spans="1:12" x14ac:dyDescent="0.25">
      <c r="A10">
        <v>2</v>
      </c>
      <c r="B10" t="s">
        <v>72</v>
      </c>
      <c r="H10">
        <v>2</v>
      </c>
      <c r="I10" t="s">
        <v>85</v>
      </c>
    </row>
    <row r="11" spans="1:12" x14ac:dyDescent="0.25">
      <c r="A11">
        <v>3</v>
      </c>
      <c r="B11" t="s">
        <v>73</v>
      </c>
      <c r="I11" s="1" t="s">
        <v>84</v>
      </c>
      <c r="J11">
        <f>J9*B20</f>
        <v>440677.96610169497</v>
      </c>
    </row>
    <row r="12" spans="1:12" x14ac:dyDescent="0.25">
      <c r="H12">
        <v>3</v>
      </c>
      <c r="I12" t="s">
        <v>86</v>
      </c>
    </row>
    <row r="13" spans="1:12" x14ac:dyDescent="0.25">
      <c r="I13" t="s">
        <v>45</v>
      </c>
    </row>
    <row r="14" spans="1:12" x14ac:dyDescent="0.25">
      <c r="A14" s="1" t="s">
        <v>74</v>
      </c>
      <c r="I14" t="s">
        <v>88</v>
      </c>
      <c r="J14" t="s">
        <v>89</v>
      </c>
      <c r="K14" t="s">
        <v>90</v>
      </c>
      <c r="L14" t="s">
        <v>91</v>
      </c>
    </row>
    <row r="15" spans="1:12" x14ac:dyDescent="0.25">
      <c r="A15" t="s">
        <v>75</v>
      </c>
      <c r="B15">
        <v>30</v>
      </c>
      <c r="I15">
        <v>101.18738727881232</v>
      </c>
      <c r="J15">
        <v>81.031734349189861</v>
      </c>
      <c r="K15">
        <v>14.106084565208093</v>
      </c>
      <c r="L15">
        <f>B17</f>
        <v>7.62</v>
      </c>
    </row>
    <row r="16" spans="1:12" x14ac:dyDescent="0.25">
      <c r="A16" t="s">
        <v>76</v>
      </c>
      <c r="B16">
        <f>(PI()/180)*B15</f>
        <v>0.52359877559829882</v>
      </c>
      <c r="I16" t="s">
        <v>41</v>
      </c>
    </row>
    <row r="17" spans="1:13" x14ac:dyDescent="0.25">
      <c r="A17" t="s">
        <v>77</v>
      </c>
      <c r="B17">
        <v>7.62</v>
      </c>
      <c r="I17" t="s">
        <v>87</v>
      </c>
      <c r="J17" t="s">
        <v>51</v>
      </c>
      <c r="K17" t="s">
        <v>52</v>
      </c>
      <c r="L17" t="s">
        <v>53</v>
      </c>
      <c r="M17" t="s">
        <v>10</v>
      </c>
    </row>
    <row r="18" spans="1:13" x14ac:dyDescent="0.25">
      <c r="A18" t="s">
        <v>78</v>
      </c>
      <c r="B18">
        <v>0.29499999999999998</v>
      </c>
      <c r="I18">
        <f>(I15*I15)*K15</f>
        <v>144430.61073250891</v>
      </c>
      <c r="J18">
        <f>(I15*I15)</f>
        <v>10238.88734431235</v>
      </c>
      <c r="K18">
        <f>PI()*(L15/2)^2</f>
        <v>45.603673118774793</v>
      </c>
      <c r="L18">
        <f>(J15/3)*(J18+K18+SQRT(J18*K18))</f>
        <v>296247.00813880848</v>
      </c>
      <c r="M18">
        <f>I18+L18</f>
        <v>440677.61887131736</v>
      </c>
    </row>
    <row r="19" spans="1:13" x14ac:dyDescent="0.25">
      <c r="A19" t="s">
        <v>79</v>
      </c>
      <c r="B19">
        <f>B21*B22</f>
        <v>100000</v>
      </c>
      <c r="I19" t="s">
        <v>92</v>
      </c>
    </row>
    <row r="20" spans="1:13" x14ac:dyDescent="0.25">
      <c r="A20" t="s">
        <v>83</v>
      </c>
      <c r="B20">
        <v>1.3</v>
      </c>
      <c r="I20" t="s">
        <v>54</v>
      </c>
      <c r="J20">
        <f>J11-M18</f>
        <v>0.34723037760704756</v>
      </c>
    </row>
    <row r="21" spans="1:13" x14ac:dyDescent="0.25">
      <c r="A21" t="s">
        <v>151</v>
      </c>
      <c r="B21">
        <v>2000</v>
      </c>
    </row>
    <row r="22" spans="1:13" x14ac:dyDescent="0.25">
      <c r="A22" t="s">
        <v>152</v>
      </c>
      <c r="B22">
        <v>50</v>
      </c>
      <c r="I22" t="s">
        <v>94</v>
      </c>
    </row>
    <row r="23" spans="1:13" x14ac:dyDescent="0.25">
      <c r="I23" t="s">
        <v>54</v>
      </c>
      <c r="J23">
        <f>2*J15*TAN(B16)+L15-I15</f>
        <v>1.6910917111090384E-12</v>
      </c>
    </row>
    <row r="25" spans="1:13" x14ac:dyDescent="0.25">
      <c r="I25" t="s">
        <v>93</v>
      </c>
    </row>
    <row r="26" spans="1:13" x14ac:dyDescent="0.25">
      <c r="I26" t="s">
        <v>54</v>
      </c>
      <c r="J26">
        <f>4*I15*K15+4/2*(I15+L15)*J15/COS(B16)</f>
        <v>26071.077256174623</v>
      </c>
    </row>
    <row r="32" spans="1:13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66</v>
      </c>
      <c r="F37" t="s">
        <v>66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67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baseColWidth="10" defaultRowHeight="15" x14ac:dyDescent="0.25"/>
  <sheetData>
    <row r="1" spans="1:6" x14ac:dyDescent="0.25">
      <c r="A1" s="1" t="s">
        <v>14</v>
      </c>
      <c r="B1" t="s">
        <v>15</v>
      </c>
      <c r="D1" s="1" t="s">
        <v>26</v>
      </c>
    </row>
    <row r="2" spans="1:6" x14ac:dyDescent="0.25">
      <c r="A2" s="1" t="s">
        <v>16</v>
      </c>
      <c r="D2" s="1" t="s">
        <v>28</v>
      </c>
      <c r="E2" s="1" t="s">
        <v>29</v>
      </c>
      <c r="F2" s="1" t="s">
        <v>30</v>
      </c>
    </row>
    <row r="3" spans="1:6" x14ac:dyDescent="0.25">
      <c r="A3">
        <v>533</v>
      </c>
      <c r="B3" t="s">
        <v>17</v>
      </c>
      <c r="D3">
        <f>-(4*A9*A5*A13)/(A11)</f>
        <v>-0.25744443567178849</v>
      </c>
      <c r="E3">
        <f>1-EXP(D3)</f>
        <v>0.22697542228845902</v>
      </c>
      <c r="F3">
        <f>(A3*A7*A11)/(4*A5*A13)</f>
        <v>3312.4551144926168</v>
      </c>
    </row>
    <row r="4" spans="1:6" x14ac:dyDescent="0.25">
      <c r="A4" s="1" t="s">
        <v>18</v>
      </c>
    </row>
    <row r="5" spans="1:6" x14ac:dyDescent="0.25">
      <c r="A5">
        <v>0.25</v>
      </c>
      <c r="B5" t="s">
        <v>25</v>
      </c>
      <c r="D5" s="1" t="s">
        <v>31</v>
      </c>
    </row>
    <row r="6" spans="1:6" x14ac:dyDescent="0.25">
      <c r="A6" s="1" t="s">
        <v>19</v>
      </c>
      <c r="D6">
        <f>E3*F3</f>
        <v>751.8458984235275</v>
      </c>
      <c r="E6" t="s">
        <v>35</v>
      </c>
    </row>
    <row r="7" spans="1:6" x14ac:dyDescent="0.25">
      <c r="A7">
        <v>9.7200000000000006</v>
      </c>
      <c r="B7" t="s">
        <v>20</v>
      </c>
      <c r="D7" s="1" t="s">
        <v>32</v>
      </c>
    </row>
    <row r="8" spans="1:6" x14ac:dyDescent="0.25">
      <c r="A8" s="1" t="s">
        <v>21</v>
      </c>
      <c r="D8">
        <f>D6*A15^2</f>
        <v>7.8588166774970825</v>
      </c>
      <c r="E8" t="s">
        <v>34</v>
      </c>
    </row>
    <row r="9" spans="1:6" x14ac:dyDescent="0.25">
      <c r="A9">
        <f>'Cálculo contenedor Concentrado'!F34/100</f>
        <v>0.16460386847464101</v>
      </c>
      <c r="B9" t="s">
        <v>22</v>
      </c>
      <c r="D9">
        <f>D8/9.81</f>
        <v>0.80110261748186362</v>
      </c>
      <c r="E9" t="s">
        <v>36</v>
      </c>
    </row>
    <row r="10" spans="1:6" x14ac:dyDescent="0.25">
      <c r="A10" s="1" t="s">
        <v>23</v>
      </c>
      <c r="C10" s="1" t="s">
        <v>27</v>
      </c>
    </row>
    <row r="11" spans="1:6" x14ac:dyDescent="0.25">
      <c r="A11">
        <f>('Cálculo contenedor Concentrado'!F41+2*'Cálculo contenedor Concentrado'!F34*TAN('Cálculo contenedor Concentrado'!F39))/100</f>
        <v>0.25575051648735836</v>
      </c>
      <c r="B11" t="s">
        <v>22</v>
      </c>
      <c r="C11">
        <f>A11</f>
        <v>0.25575051648735836</v>
      </c>
    </row>
    <row r="12" spans="1:6" x14ac:dyDescent="0.25">
      <c r="A12" t="s">
        <v>24</v>
      </c>
    </row>
    <row r="13" spans="1:6" x14ac:dyDescent="0.25">
      <c r="A13">
        <v>0.4</v>
      </c>
      <c r="B13" t="s">
        <v>25</v>
      </c>
    </row>
    <row r="14" spans="1:6" x14ac:dyDescent="0.25">
      <c r="A14" s="1" t="s">
        <v>33</v>
      </c>
    </row>
    <row r="15" spans="1:6" x14ac:dyDescent="0.25">
      <c r="A15">
        <f>'Cálculo contenedor Concentrado'!F41/100</f>
        <v>0.10223842762403183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J12" workbookViewId="0">
      <selection activeCell="S33" sqref="S33"/>
    </sheetView>
  </sheetViews>
  <sheetFormatPr baseColWidth="10" defaultRowHeight="15" x14ac:dyDescent="0.25"/>
  <cols>
    <col min="19" max="19" width="12" bestFit="1" customWidth="1"/>
  </cols>
  <sheetData>
    <row r="1" spans="1:22" x14ac:dyDescent="0.25">
      <c r="A1" t="s">
        <v>38</v>
      </c>
      <c r="N1" s="1" t="s">
        <v>95</v>
      </c>
    </row>
    <row r="2" spans="1:22" x14ac:dyDescent="0.25">
      <c r="A2" t="s">
        <v>39</v>
      </c>
      <c r="N2" t="s">
        <v>96</v>
      </c>
    </row>
    <row r="3" spans="1:22" x14ac:dyDescent="0.25">
      <c r="A3" t="s">
        <v>40</v>
      </c>
      <c r="N3" s="5">
        <v>43391</v>
      </c>
    </row>
    <row r="5" spans="1:22" x14ac:dyDescent="0.25">
      <c r="A5" t="s">
        <v>63</v>
      </c>
      <c r="G5" t="s">
        <v>64</v>
      </c>
      <c r="N5" t="s">
        <v>97</v>
      </c>
    </row>
    <row r="6" spans="1:22" x14ac:dyDescent="0.25">
      <c r="A6" s="1" t="s">
        <v>1</v>
      </c>
      <c r="C6" s="1" t="s">
        <v>44</v>
      </c>
      <c r="E6" t="s">
        <v>10</v>
      </c>
      <c r="G6" t="s">
        <v>1</v>
      </c>
      <c r="I6" t="s">
        <v>44</v>
      </c>
      <c r="K6" t="s">
        <v>10</v>
      </c>
      <c r="N6" s="1" t="s">
        <v>102</v>
      </c>
      <c r="P6" t="s">
        <v>137</v>
      </c>
      <c r="Q6" s="1" t="s">
        <v>104</v>
      </c>
      <c r="T6" s="1" t="s">
        <v>113</v>
      </c>
    </row>
    <row r="7" spans="1:22" x14ac:dyDescent="0.25">
      <c r="A7">
        <v>13939</v>
      </c>
      <c r="B7" t="s">
        <v>2</v>
      </c>
      <c r="C7">
        <v>1.3</v>
      </c>
      <c r="E7">
        <f>A7*C7</f>
        <v>18120.7</v>
      </c>
      <c r="G7">
        <v>160.6</v>
      </c>
      <c r="H7" t="s">
        <v>2</v>
      </c>
      <c r="I7">
        <v>1.3</v>
      </c>
      <c r="K7">
        <f>G7*I7</f>
        <v>208.78</v>
      </c>
      <c r="N7" t="s">
        <v>155</v>
      </c>
      <c r="P7" t="s">
        <v>137</v>
      </c>
      <c r="Q7" t="s">
        <v>108</v>
      </c>
      <c r="R7" t="s">
        <v>109</v>
      </c>
      <c r="S7" t="s">
        <v>137</v>
      </c>
      <c r="T7" t="s">
        <v>115</v>
      </c>
      <c r="U7" t="s">
        <v>116</v>
      </c>
      <c r="V7" t="s">
        <v>137</v>
      </c>
    </row>
    <row r="8" spans="1:22" x14ac:dyDescent="0.25">
      <c r="N8" t="s">
        <v>98</v>
      </c>
      <c r="P8" t="s">
        <v>137</v>
      </c>
      <c r="Q8" t="s">
        <v>106</v>
      </c>
      <c r="R8" t="s">
        <v>110</v>
      </c>
      <c r="S8" t="s">
        <v>137</v>
      </c>
      <c r="T8" t="s">
        <v>117</v>
      </c>
      <c r="U8" t="s">
        <v>118</v>
      </c>
      <c r="V8" t="s">
        <v>137</v>
      </c>
    </row>
    <row r="9" spans="1:22" x14ac:dyDescent="0.25">
      <c r="A9" t="s">
        <v>45</v>
      </c>
      <c r="G9" t="s">
        <v>45</v>
      </c>
      <c r="N9" t="s">
        <v>99</v>
      </c>
      <c r="P9" t="s">
        <v>137</v>
      </c>
      <c r="Q9" t="s">
        <v>107</v>
      </c>
      <c r="R9" t="s">
        <v>111</v>
      </c>
      <c r="S9" t="s">
        <v>137</v>
      </c>
      <c r="T9" t="s">
        <v>122</v>
      </c>
      <c r="U9" t="s">
        <v>120</v>
      </c>
      <c r="V9" t="s">
        <v>137</v>
      </c>
    </row>
    <row r="10" spans="1:22" x14ac:dyDescent="0.25">
      <c r="A10" t="s">
        <v>46</v>
      </c>
      <c r="B10" t="s">
        <v>47</v>
      </c>
      <c r="C10" t="s">
        <v>48</v>
      </c>
      <c r="D10" t="s">
        <v>49</v>
      </c>
      <c r="G10" t="s">
        <v>46</v>
      </c>
      <c r="H10" t="s">
        <v>47</v>
      </c>
      <c r="N10" t="s">
        <v>154</v>
      </c>
      <c r="P10" t="s">
        <v>137</v>
      </c>
      <c r="Q10" t="s">
        <v>105</v>
      </c>
      <c r="R10" t="s">
        <v>112</v>
      </c>
      <c r="S10" t="s">
        <v>137</v>
      </c>
      <c r="T10" t="s">
        <v>121</v>
      </c>
      <c r="U10" t="s">
        <v>119</v>
      </c>
      <c r="V10" t="s">
        <v>137</v>
      </c>
    </row>
    <row r="11" spans="1:22" x14ac:dyDescent="0.25">
      <c r="A11">
        <v>41.470457973748012</v>
      </c>
      <c r="B11">
        <v>20.739221383930818</v>
      </c>
      <c r="C11">
        <v>12.426939674491317</v>
      </c>
      <c r="D11">
        <v>10.369610691965407</v>
      </c>
      <c r="G11">
        <v>5.050985283431098</v>
      </c>
      <c r="H11">
        <v>8.1825961591545759</v>
      </c>
      <c r="N11" t="s">
        <v>100</v>
      </c>
      <c r="P11" t="s">
        <v>137</v>
      </c>
      <c r="S11" t="s">
        <v>137</v>
      </c>
      <c r="T11" t="s">
        <v>123</v>
      </c>
      <c r="U11" t="s">
        <v>124</v>
      </c>
      <c r="V11" t="s">
        <v>137</v>
      </c>
    </row>
    <row r="12" spans="1:22" x14ac:dyDescent="0.25">
      <c r="A12" s="1" t="s">
        <v>41</v>
      </c>
      <c r="G12" s="1" t="s">
        <v>41</v>
      </c>
      <c r="N12" t="s">
        <v>101</v>
      </c>
      <c r="Q12" t="s">
        <v>145</v>
      </c>
      <c r="R12" t="s">
        <v>146</v>
      </c>
      <c r="S12" t="s">
        <v>137</v>
      </c>
      <c r="T12" t="s">
        <v>141</v>
      </c>
      <c r="V12" t="s">
        <v>137</v>
      </c>
    </row>
    <row r="13" spans="1:22" x14ac:dyDescent="0.25">
      <c r="A13" t="s">
        <v>50</v>
      </c>
      <c r="B13" t="s">
        <v>51</v>
      </c>
      <c r="C13" t="s">
        <v>52</v>
      </c>
      <c r="D13" t="s">
        <v>53</v>
      </c>
      <c r="G13" t="s">
        <v>50</v>
      </c>
      <c r="N13" t="s">
        <v>103</v>
      </c>
      <c r="P13" t="s">
        <v>137</v>
      </c>
      <c r="Q13" t="s">
        <v>137</v>
      </c>
      <c r="T13" t="s">
        <v>137</v>
      </c>
    </row>
    <row r="14" spans="1:22" x14ac:dyDescent="0.25">
      <c r="A14">
        <f>C11*C11*D11</f>
        <v>1601.366843329474</v>
      </c>
      <c r="B14">
        <f>(A11*A11)</f>
        <v>1719.7988845524001</v>
      </c>
      <c r="C14">
        <f>C11*C11</f>
        <v>154.42882967344636</v>
      </c>
      <c r="D14">
        <f>(B11/3)*(B14+C14+SQRT(B14*C14))</f>
        <v>16519.333156619374</v>
      </c>
      <c r="G14">
        <f>G11*G11*H11</f>
        <v>208.75809447420013</v>
      </c>
      <c r="N14" t="s">
        <v>159</v>
      </c>
    </row>
    <row r="15" spans="1:22" x14ac:dyDescent="0.25">
      <c r="A15" t="s">
        <v>54</v>
      </c>
      <c r="B15">
        <f>E7-D14-A14</f>
        <v>5.1152937885490246E-8</v>
      </c>
      <c r="G15" t="s">
        <v>54</v>
      </c>
      <c r="H15">
        <f>K7-J14-G14</f>
        <v>2.1905525799866155E-2</v>
      </c>
      <c r="N15" s="1" t="s">
        <v>81</v>
      </c>
    </row>
    <row r="16" spans="1:22" x14ac:dyDescent="0.25">
      <c r="N16" s="1" t="s">
        <v>125</v>
      </c>
      <c r="S16" s="1" t="s">
        <v>136</v>
      </c>
    </row>
    <row r="17" spans="1:26" x14ac:dyDescent="0.25">
      <c r="A17" s="1" t="s">
        <v>42</v>
      </c>
      <c r="G17" s="1" t="s">
        <v>42</v>
      </c>
      <c r="N17" t="s">
        <v>126</v>
      </c>
      <c r="P17" t="s">
        <v>137</v>
      </c>
      <c r="R17" t="s">
        <v>137</v>
      </c>
      <c r="S17" t="s">
        <v>138</v>
      </c>
      <c r="U17" t="s">
        <v>137</v>
      </c>
    </row>
    <row r="18" spans="1:26" x14ac:dyDescent="0.25">
      <c r="A18" t="s">
        <v>54</v>
      </c>
      <c r="B18">
        <f>2*B11*TAN(35*PI()/180)+C11-A11</f>
        <v>0</v>
      </c>
      <c r="G18" t="s">
        <v>54</v>
      </c>
      <c r="H18">
        <f>1.62*G11-H11</f>
        <v>3.8031799931559362E-12</v>
      </c>
      <c r="N18" t="s">
        <v>133</v>
      </c>
      <c r="P18" t="s">
        <v>137</v>
      </c>
      <c r="R18" t="s">
        <v>137</v>
      </c>
      <c r="S18" t="s">
        <v>139</v>
      </c>
      <c r="U18" t="s">
        <v>137</v>
      </c>
    </row>
    <row r="19" spans="1:26" x14ac:dyDescent="0.25">
      <c r="N19" t="s">
        <v>134</v>
      </c>
      <c r="P19" t="s">
        <v>137</v>
      </c>
      <c r="R19" t="s">
        <v>137</v>
      </c>
      <c r="S19" t="s">
        <v>142</v>
      </c>
      <c r="U19" t="s">
        <v>137</v>
      </c>
    </row>
    <row r="20" spans="1:26" x14ac:dyDescent="0.25">
      <c r="A20" s="1" t="s">
        <v>43</v>
      </c>
      <c r="N20" t="s">
        <v>135</v>
      </c>
      <c r="P20" t="s">
        <v>137</v>
      </c>
      <c r="S20" t="s">
        <v>143</v>
      </c>
      <c r="U20" t="s">
        <v>137</v>
      </c>
    </row>
    <row r="21" spans="1:26" x14ac:dyDescent="0.25">
      <c r="A21" t="s">
        <v>54</v>
      </c>
      <c r="B21">
        <f>2*D11-B11</f>
        <v>0</v>
      </c>
      <c r="S21" s="1" t="s">
        <v>141</v>
      </c>
      <c r="T21">
        <v>30</v>
      </c>
    </row>
    <row r="22" spans="1:26" x14ac:dyDescent="0.25">
      <c r="N22" s="1" t="s">
        <v>128</v>
      </c>
      <c r="S22" t="s">
        <v>144</v>
      </c>
      <c r="T22">
        <f>30*PI()/180</f>
        <v>0.52359877559829882</v>
      </c>
    </row>
    <row r="23" spans="1:26" x14ac:dyDescent="0.25">
      <c r="N23" t="s">
        <v>127</v>
      </c>
      <c r="O23">
        <f>6000/2000</f>
        <v>3</v>
      </c>
    </row>
    <row r="24" spans="1:26" x14ac:dyDescent="0.25">
      <c r="A24" t="s">
        <v>65</v>
      </c>
      <c r="S24" t="s">
        <v>74</v>
      </c>
    </row>
    <row r="25" spans="1:26" x14ac:dyDescent="0.25">
      <c r="A25" t="s">
        <v>1</v>
      </c>
      <c r="C25" t="s">
        <v>44</v>
      </c>
      <c r="E25" t="s">
        <v>10</v>
      </c>
      <c r="N25" t="s">
        <v>129</v>
      </c>
      <c r="S25" t="s">
        <v>108</v>
      </c>
      <c r="T25" t="s">
        <v>106</v>
      </c>
      <c r="U25" t="s">
        <v>107</v>
      </c>
      <c r="V25" t="s">
        <v>140</v>
      </c>
      <c r="W25" t="s">
        <v>145</v>
      </c>
      <c r="Y25" t="s">
        <v>147</v>
      </c>
      <c r="Z25" t="s">
        <v>148</v>
      </c>
    </row>
    <row r="26" spans="1:26" x14ac:dyDescent="0.25">
      <c r="A26">
        <v>28.16</v>
      </c>
      <c r="B26" t="s">
        <v>2</v>
      </c>
      <c r="C26">
        <v>1.3</v>
      </c>
      <c r="E26">
        <f>A26*C26</f>
        <v>36.608000000000004</v>
      </c>
      <c r="O26" t="s">
        <v>114</v>
      </c>
      <c r="P26" t="s">
        <v>132</v>
      </c>
      <c r="Q26" t="s">
        <v>84</v>
      </c>
      <c r="S26">
        <v>51.341093386625936</v>
      </c>
      <c r="T26">
        <v>10</v>
      </c>
      <c r="U26">
        <v>6.8754592937845622</v>
      </c>
      <c r="V26">
        <v>5</v>
      </c>
      <c r="W26">
        <f>(S26-T26)/(2*TAN(T22))</f>
        <v>35.802437093042911</v>
      </c>
      <c r="Y26">
        <f>S26*S26</f>
        <v>2635.9078701342455</v>
      </c>
      <c r="Z26">
        <f>T26*T26</f>
        <v>100</v>
      </c>
    </row>
    <row r="27" spans="1:26" x14ac:dyDescent="0.25">
      <c r="N27" t="s">
        <v>130</v>
      </c>
      <c r="O27">
        <v>11250.005999999999</v>
      </c>
      <c r="P27">
        <v>0.44022</v>
      </c>
      <c r="Q27">
        <f>O27/P27</f>
        <v>25555.417745672617</v>
      </c>
    </row>
    <row r="28" spans="1:26" x14ac:dyDescent="0.25">
      <c r="A28" t="s">
        <v>45</v>
      </c>
      <c r="N28" t="s">
        <v>131</v>
      </c>
      <c r="O28">
        <f>O27/O23</f>
        <v>3750.002</v>
      </c>
      <c r="P28">
        <v>0.29499999999999998</v>
      </c>
      <c r="Q28">
        <f>O28/P28</f>
        <v>12711.871186440678</v>
      </c>
      <c r="S28" s="1" t="s">
        <v>150</v>
      </c>
    </row>
    <row r="29" spans="1:26" x14ac:dyDescent="0.25">
      <c r="A29" t="s">
        <v>46</v>
      </c>
      <c r="B29" t="s">
        <v>47</v>
      </c>
      <c r="N29" t="s">
        <v>31</v>
      </c>
      <c r="O29">
        <f>SUM(O27:O28)</f>
        <v>15000.008</v>
      </c>
      <c r="Q29">
        <f>SUM(Q27:Q28)</f>
        <v>38267.288932113297</v>
      </c>
      <c r="S29">
        <f>4*(T26*V26)+(4/2)*(S26+T26)*(W26/COS(T22))+4*S26*U26</f>
        <v>6683.7901309810441</v>
      </c>
    </row>
    <row r="30" spans="1:26" x14ac:dyDescent="0.25">
      <c r="A30">
        <v>2.8271785049016125</v>
      </c>
      <c r="B30">
        <v>4.5800291779406122</v>
      </c>
      <c r="N30" t="s">
        <v>160</v>
      </c>
      <c r="O30">
        <f>1.5*O29</f>
        <v>22500.011999999999</v>
      </c>
      <c r="Q30">
        <f>1.5*Q29</f>
        <v>57400.933398169946</v>
      </c>
    </row>
    <row r="31" spans="1:26" x14ac:dyDescent="0.25">
      <c r="A31" t="s">
        <v>41</v>
      </c>
      <c r="S31" t="s">
        <v>149</v>
      </c>
    </row>
    <row r="32" spans="1:26" x14ac:dyDescent="0.25">
      <c r="A32" t="s">
        <v>50</v>
      </c>
      <c r="S32">
        <f>Q30-(Y26*U26+(Z26*V26)+(W26/3*(Y26+Z26+SQRT(Y26*Z26))))</f>
        <v>1.2109739080187865E-2</v>
      </c>
    </row>
    <row r="33" spans="1:15" x14ac:dyDescent="0.25">
      <c r="A33">
        <f>A30*A30*B30</f>
        <v>36.607890624964938</v>
      </c>
    </row>
    <row r="34" spans="1:15" x14ac:dyDescent="0.25">
      <c r="A34" t="s">
        <v>54</v>
      </c>
      <c r="B34">
        <f>E26-D33-A33</f>
        <v>1.0937503506625035E-4</v>
      </c>
    </row>
    <row r="35" spans="1:15" x14ac:dyDescent="0.25">
      <c r="N35" t="s">
        <v>156</v>
      </c>
    </row>
    <row r="36" spans="1:15" x14ac:dyDescent="0.25">
      <c r="A36" t="s">
        <v>42</v>
      </c>
      <c r="N36" t="s">
        <v>157</v>
      </c>
      <c r="O36" t="s">
        <v>158</v>
      </c>
    </row>
    <row r="37" spans="1:15" x14ac:dyDescent="0.25">
      <c r="A37" t="s">
        <v>54</v>
      </c>
      <c r="B37">
        <f>1.62*A30-B30</f>
        <v>0</v>
      </c>
      <c r="N37" s="5">
        <v>43404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E7" sqref="E7"/>
    </sheetView>
  </sheetViews>
  <sheetFormatPr baseColWidth="10" defaultRowHeight="15" x14ac:dyDescent="0.25"/>
  <sheetData>
    <row r="1" spans="1:17" x14ac:dyDescent="0.25">
      <c r="A1" t="s">
        <v>55</v>
      </c>
    </row>
    <row r="2" spans="1:17" x14ac:dyDescent="0.25">
      <c r="A2" t="s">
        <v>56</v>
      </c>
    </row>
    <row r="3" spans="1:17" x14ac:dyDescent="0.25">
      <c r="A3" t="s">
        <v>57</v>
      </c>
    </row>
    <row r="5" spans="1:17" x14ac:dyDescent="0.25">
      <c r="A5" t="s">
        <v>58</v>
      </c>
      <c r="G5" t="s">
        <v>60</v>
      </c>
    </row>
    <row r="6" spans="1:17" x14ac:dyDescent="0.25">
      <c r="A6" s="1" t="s">
        <v>1</v>
      </c>
      <c r="C6" s="1" t="s">
        <v>44</v>
      </c>
      <c r="E6" t="s">
        <v>10</v>
      </c>
      <c r="G6" s="1" t="s">
        <v>1</v>
      </c>
      <c r="I6" s="1" t="s">
        <v>44</v>
      </c>
      <c r="K6" t="s">
        <v>10</v>
      </c>
      <c r="M6" t="s">
        <v>1</v>
      </c>
      <c r="O6" t="s">
        <v>44</v>
      </c>
      <c r="Q6" t="s">
        <v>10</v>
      </c>
    </row>
    <row r="7" spans="1:17" x14ac:dyDescent="0.25">
      <c r="A7">
        <f>E7/C7</f>
        <v>253376.92307692306</v>
      </c>
      <c r="B7" t="s">
        <v>2</v>
      </c>
      <c r="C7">
        <v>1.3</v>
      </c>
      <c r="E7">
        <v>329390</v>
      </c>
      <c r="G7">
        <f>K7/I7</f>
        <v>163284.61538461538</v>
      </c>
      <c r="H7" t="s">
        <v>2</v>
      </c>
      <c r="I7">
        <v>1.3</v>
      </c>
      <c r="K7">
        <v>212270</v>
      </c>
      <c r="M7">
        <v>704.7</v>
      </c>
      <c r="N7" t="s">
        <v>2</v>
      </c>
      <c r="O7">
        <v>1.3</v>
      </c>
      <c r="Q7">
        <v>329390</v>
      </c>
    </row>
    <row r="9" spans="1:17" x14ac:dyDescent="0.25">
      <c r="A9" t="s">
        <v>45</v>
      </c>
      <c r="G9" t="s">
        <v>45</v>
      </c>
      <c r="M9" t="s">
        <v>45</v>
      </c>
    </row>
    <row r="10" spans="1:17" x14ac:dyDescent="0.25">
      <c r="A10" t="s">
        <v>46</v>
      </c>
      <c r="B10" t="s">
        <v>47</v>
      </c>
      <c r="C10" t="s">
        <v>48</v>
      </c>
      <c r="D10" t="s">
        <v>49</v>
      </c>
      <c r="G10" t="s">
        <v>46</v>
      </c>
      <c r="H10" t="s">
        <v>47</v>
      </c>
      <c r="I10" t="s">
        <v>48</v>
      </c>
      <c r="J10" t="s">
        <v>49</v>
      </c>
      <c r="M10" t="s">
        <v>46</v>
      </c>
      <c r="N10" t="s">
        <v>47</v>
      </c>
      <c r="O10" t="s">
        <v>48</v>
      </c>
      <c r="P10" t="s">
        <v>49</v>
      </c>
    </row>
    <row r="11" spans="1:17" x14ac:dyDescent="0.25">
      <c r="A11">
        <v>92.040498261833122</v>
      </c>
      <c r="B11">
        <v>41.020249130916532</v>
      </c>
      <c r="C11">
        <v>30</v>
      </c>
      <c r="D11">
        <v>10</v>
      </c>
      <c r="G11">
        <v>66.952783668144292</v>
      </c>
      <c r="H11">
        <v>28.476391834072121</v>
      </c>
      <c r="I11">
        <v>46.131754771196874</v>
      </c>
      <c r="J11">
        <v>10</v>
      </c>
      <c r="M11">
        <v>77.056553466484701</v>
      </c>
      <c r="N11">
        <v>33.528276733242038</v>
      </c>
      <c r="O11">
        <v>54.315808307852151</v>
      </c>
      <c r="P11">
        <v>10</v>
      </c>
    </row>
    <row r="12" spans="1:17" x14ac:dyDescent="0.25">
      <c r="A12" t="s">
        <v>41</v>
      </c>
      <c r="G12" t="s">
        <v>41</v>
      </c>
      <c r="M12" t="s">
        <v>41</v>
      </c>
    </row>
    <row r="13" spans="1:17" x14ac:dyDescent="0.25">
      <c r="A13" t="s">
        <v>59</v>
      </c>
      <c r="B13" t="s">
        <v>51</v>
      </c>
      <c r="C13" t="s">
        <v>52</v>
      </c>
      <c r="D13" t="s">
        <v>53</v>
      </c>
      <c r="G13" t="s">
        <v>59</v>
      </c>
      <c r="H13" t="s">
        <v>51</v>
      </c>
      <c r="I13" t="s">
        <v>52</v>
      </c>
      <c r="J13" t="s">
        <v>53</v>
      </c>
      <c r="M13" t="s">
        <v>59</v>
      </c>
      <c r="N13" t="s">
        <v>51</v>
      </c>
      <c r="O13" t="s">
        <v>52</v>
      </c>
      <c r="P13" t="s">
        <v>53</v>
      </c>
    </row>
    <row r="14" spans="1:17" x14ac:dyDescent="0.25">
      <c r="A14">
        <f>PI()/4*A11^2*C11</f>
        <v>199603.91637180711</v>
      </c>
      <c r="B14">
        <f>(A11*A11)</f>
        <v>8471.4533202865059</v>
      </c>
      <c r="C14">
        <f>D11*D11</f>
        <v>100</v>
      </c>
      <c r="D14" s="4">
        <f>(B11/3)*(B14+C14+SQRT(B14*C14))</f>
        <v>129786.13076683834</v>
      </c>
      <c r="G14">
        <f>PI()/4*G11^2*I11</f>
        <v>162415.37249437472</v>
      </c>
      <c r="H14">
        <f>(G11*G11)</f>
        <v>4482.6752409133287</v>
      </c>
      <c r="I14">
        <f>J11*J11</f>
        <v>100</v>
      </c>
      <c r="J14">
        <f>(H11/3)*(H14+I14+SQRT(H14*I14))</f>
        <v>49854.597609902732</v>
      </c>
      <c r="M14">
        <f>PI()/4*M11^2*O11</f>
        <v>253300.05778133572</v>
      </c>
      <c r="N14">
        <f>(M11*M11)</f>
        <v>5937.7124321332158</v>
      </c>
      <c r="O14">
        <f>P11*P11</f>
        <v>100</v>
      </c>
      <c r="P14">
        <f>(N11/3)*(N14+O14+SQRT(N14*O14))</f>
        <v>76089.942582546646</v>
      </c>
    </row>
    <row r="15" spans="1:17" x14ac:dyDescent="0.25">
      <c r="A15" t="s">
        <v>54</v>
      </c>
      <c r="B15">
        <f>E7-D14-A14</f>
        <v>-4.7138645430095494E-2</v>
      </c>
      <c r="G15" t="s">
        <v>54</v>
      </c>
      <c r="H15">
        <f>K7-J14-G14</f>
        <v>2.9895722545916215E-2</v>
      </c>
      <c r="M15" t="s">
        <v>54</v>
      </c>
      <c r="N15">
        <f>Q7-P14-M14</f>
        <v>-3.6388236912898719E-4</v>
      </c>
    </row>
    <row r="17" spans="1:14" x14ac:dyDescent="0.25">
      <c r="A17" t="s">
        <v>42</v>
      </c>
      <c r="G17" t="s">
        <v>42</v>
      </c>
      <c r="M17" t="s">
        <v>42</v>
      </c>
    </row>
    <row r="18" spans="1:14" x14ac:dyDescent="0.25">
      <c r="A18" t="s">
        <v>54</v>
      </c>
      <c r="B18">
        <f>2*B11*TAN(45*PI()/180)+D11-A11</f>
        <v>0</v>
      </c>
      <c r="G18" t="s">
        <v>54</v>
      </c>
      <c r="H18">
        <f>2*H11*TAN(45*PI()/180)+J11-G11</f>
        <v>0</v>
      </c>
      <c r="M18" t="s">
        <v>54</v>
      </c>
      <c r="N18">
        <f>2*N11*TAN(45*PI()/180)+P11-M11</f>
        <v>-6.3948846218409017E-13</v>
      </c>
    </row>
    <row r="20" spans="1:14" x14ac:dyDescent="0.25">
      <c r="A20" t="s">
        <v>43</v>
      </c>
      <c r="G20" t="s">
        <v>43</v>
      </c>
      <c r="M20" t="s">
        <v>43</v>
      </c>
    </row>
    <row r="21" spans="1:14" x14ac:dyDescent="0.25">
      <c r="A21" t="s">
        <v>54</v>
      </c>
      <c r="B21">
        <f>B11+C11</f>
        <v>71.02024913091654</v>
      </c>
      <c r="G21" t="s">
        <v>54</v>
      </c>
      <c r="H21">
        <f>1.62*H11-I11</f>
        <v>0</v>
      </c>
      <c r="M21" t="s">
        <v>54</v>
      </c>
      <c r="N21">
        <f>1.62*N11-O11</f>
        <v>0</v>
      </c>
    </row>
    <row r="24" spans="1:14" x14ac:dyDescent="0.25">
      <c r="A24" t="s">
        <v>61</v>
      </c>
      <c r="G24" t="s">
        <v>62</v>
      </c>
    </row>
    <row r="25" spans="1:14" x14ac:dyDescent="0.25">
      <c r="A25" s="1" t="s">
        <v>1</v>
      </c>
      <c r="C25" s="1" t="s">
        <v>44</v>
      </c>
      <c r="E25" t="s">
        <v>10</v>
      </c>
      <c r="G25" s="2" t="s">
        <v>1</v>
      </c>
      <c r="H25" s="2"/>
      <c r="I25" s="2" t="s">
        <v>44</v>
      </c>
      <c r="J25" s="2"/>
      <c r="K25" s="3" t="s">
        <v>10</v>
      </c>
    </row>
    <row r="26" spans="1:14" x14ac:dyDescent="0.25">
      <c r="A26">
        <v>253380</v>
      </c>
      <c r="B26" t="s">
        <v>2</v>
      </c>
      <c r="C26">
        <v>1.3</v>
      </c>
      <c r="E26">
        <f>A26*C26</f>
        <v>329394</v>
      </c>
      <c r="G26">
        <v>704.7</v>
      </c>
      <c r="H26" s="3" t="s">
        <v>2</v>
      </c>
      <c r="I26" s="3">
        <v>1.3</v>
      </c>
      <c r="J26" s="3"/>
      <c r="K26" s="3">
        <f>G26*I26</f>
        <v>916.11000000000013</v>
      </c>
    </row>
    <row r="27" spans="1:14" x14ac:dyDescent="0.25">
      <c r="G27" s="3"/>
      <c r="H27" s="3"/>
      <c r="I27" s="3"/>
      <c r="J27" s="3"/>
      <c r="K27" s="3"/>
    </row>
    <row r="28" spans="1:14" x14ac:dyDescent="0.25">
      <c r="A28" t="s">
        <v>45</v>
      </c>
      <c r="G28" s="3" t="s">
        <v>45</v>
      </c>
      <c r="H28" s="3"/>
      <c r="I28" s="3"/>
      <c r="J28" s="3"/>
      <c r="K28" s="3"/>
    </row>
    <row r="29" spans="1:14" x14ac:dyDescent="0.25">
      <c r="A29" t="s">
        <v>46</v>
      </c>
      <c r="B29" t="s">
        <v>47</v>
      </c>
      <c r="C29" t="s">
        <v>48</v>
      </c>
      <c r="D29" t="s">
        <v>49</v>
      </c>
      <c r="G29" s="3" t="s">
        <v>46</v>
      </c>
      <c r="H29" s="3" t="s">
        <v>47</v>
      </c>
      <c r="I29" s="3" t="s">
        <v>48</v>
      </c>
      <c r="J29" s="3" t="s">
        <v>49</v>
      </c>
      <c r="K29" s="3"/>
    </row>
    <row r="30" spans="1:14" x14ac:dyDescent="0.25">
      <c r="A30">
        <v>41.470457973748012</v>
      </c>
      <c r="B30">
        <v>20.739221383930818</v>
      </c>
      <c r="C30">
        <v>12.426939674491317</v>
      </c>
      <c r="D30">
        <v>4</v>
      </c>
      <c r="G30">
        <v>10.515515089146165</v>
      </c>
      <c r="H30">
        <v>4.6525599437313581</v>
      </c>
      <c r="I30">
        <v>7.5371471088447999</v>
      </c>
      <c r="J30">
        <v>4</v>
      </c>
      <c r="K30" s="3"/>
    </row>
    <row r="31" spans="1:14" x14ac:dyDescent="0.25">
      <c r="A31" t="s">
        <v>41</v>
      </c>
      <c r="G31" s="3" t="s">
        <v>41</v>
      </c>
      <c r="H31" s="3"/>
      <c r="I31" s="3"/>
      <c r="J31" s="3"/>
      <c r="K31" s="3"/>
    </row>
    <row r="32" spans="1:14" x14ac:dyDescent="0.25">
      <c r="A32" t="s">
        <v>59</v>
      </c>
      <c r="B32" t="s">
        <v>51</v>
      </c>
      <c r="C32" t="s">
        <v>52</v>
      </c>
      <c r="D32" t="s">
        <v>53</v>
      </c>
      <c r="G32" s="3" t="s">
        <v>59</v>
      </c>
      <c r="H32" s="3" t="s">
        <v>51</v>
      </c>
      <c r="I32" s="3" t="s">
        <v>52</v>
      </c>
      <c r="J32" s="3" t="s">
        <v>53</v>
      </c>
      <c r="K32" s="3"/>
    </row>
    <row r="33" spans="1:11" x14ac:dyDescent="0.25">
      <c r="A33">
        <f>PI()/4*A30^2*C30</f>
        <v>16785.401520839139</v>
      </c>
      <c r="B33">
        <f>(A30*A30)</f>
        <v>1719.7988845524001</v>
      </c>
      <c r="C33">
        <f>D30*D30</f>
        <v>16</v>
      </c>
      <c r="D33">
        <f>(B30/3)*(B33+C33+SQRT(B33*C33))</f>
        <v>13146.459126651544</v>
      </c>
      <c r="G33" s="3">
        <f>PI()/4*G30^2*I30</f>
        <v>654.5728305554137</v>
      </c>
      <c r="H33" s="3">
        <f>(G30*G30)</f>
        <v>110.57605759006067</v>
      </c>
      <c r="I33" s="3">
        <f>J30*J30</f>
        <v>16</v>
      </c>
      <c r="J33" s="3">
        <f>(H30/3)*(H33+I33+SQRT(H33*I33))</f>
        <v>261.5329841816021</v>
      </c>
      <c r="K33" s="3"/>
    </row>
    <row r="34" spans="1:11" x14ac:dyDescent="0.25">
      <c r="A34" t="s">
        <v>54</v>
      </c>
      <c r="B34">
        <f>E26-D33-A33</f>
        <v>299462.13935250934</v>
      </c>
      <c r="G34" s="3" t="s">
        <v>54</v>
      </c>
      <c r="H34" s="3">
        <f>K26-J33-G33</f>
        <v>4.1852629842651368E-3</v>
      </c>
      <c r="I34" s="3"/>
      <c r="J34" s="3"/>
      <c r="K34" s="3"/>
    </row>
    <row r="35" spans="1:11" x14ac:dyDescent="0.25">
      <c r="G35" s="3"/>
      <c r="H35" s="3"/>
      <c r="I35" s="3"/>
      <c r="J35" s="3"/>
      <c r="K35" s="3"/>
    </row>
    <row r="36" spans="1:11" x14ac:dyDescent="0.25">
      <c r="A36" t="s">
        <v>42</v>
      </c>
      <c r="G36" s="3" t="s">
        <v>42</v>
      </c>
      <c r="H36" s="3"/>
      <c r="I36" s="3"/>
      <c r="J36" s="3"/>
      <c r="K36" s="3"/>
    </row>
    <row r="37" spans="1:11" x14ac:dyDescent="0.25">
      <c r="A37" t="s">
        <v>54</v>
      </c>
      <c r="B37">
        <f>2*B30*TAN(35*PI()/180)+D30-A30</f>
        <v>-8.4269396744912797</v>
      </c>
      <c r="G37" s="3" t="s">
        <v>54</v>
      </c>
      <c r="H37" s="3">
        <f>2*H30*TAN(35*PI()/180)+J30-G30</f>
        <v>3.1441516057384433E-13</v>
      </c>
      <c r="I37" s="3"/>
      <c r="J37" s="3"/>
      <c r="K37" s="3"/>
    </row>
    <row r="38" spans="1:11" x14ac:dyDescent="0.25">
      <c r="G38" s="3"/>
      <c r="H38" s="3"/>
      <c r="I38" s="3"/>
      <c r="J38" s="3"/>
      <c r="K38" s="3"/>
    </row>
    <row r="39" spans="1:11" x14ac:dyDescent="0.25">
      <c r="A39" t="s">
        <v>43</v>
      </c>
      <c r="G39" s="3" t="s">
        <v>43</v>
      </c>
      <c r="H39" s="3"/>
      <c r="I39" s="3"/>
      <c r="J39" s="3"/>
      <c r="K39" s="3"/>
    </row>
    <row r="40" spans="1:11" x14ac:dyDescent="0.25">
      <c r="A40" t="s">
        <v>54</v>
      </c>
      <c r="B40">
        <f>1.62*B30-C30</f>
        <v>21.170598967476614</v>
      </c>
      <c r="G40" s="3" t="s">
        <v>54</v>
      </c>
      <c r="H40" s="3">
        <f>1.62*H30-I30</f>
        <v>0</v>
      </c>
      <c r="I40" s="3"/>
      <c r="J40" s="3"/>
      <c r="K40" s="3"/>
    </row>
  </sheetData>
  <scenarios current="2">
    <scenario name="Adicional" count="3" user="Autor" comment="Creado por Autor el 10/1/2018">
      <inputCells r="A11" val="48.374112909098"/>
      <inputCells r="B11" val="31.6864004510389"/>
      <inputCells r="C11" val="51.331968730683"/>
    </scenario>
    <scenario name="Mineral" count="3" user="Autor" comment="Creado por Autor el 10/1/2018">
      <inputCells r="A11" val="29.5979086817967"/>
      <inputCells r="B11" val="18.2788011303374"/>
      <inputCells r="C11" val="29.6116578311466"/>
    </scenario>
    <scenario name="Levadura" count="3" user="Autor" comment="Creado por Autor el 10/1/2018">
      <inputCells r="A11" val="10.5155150891462"/>
      <inputCells r="B11" val="4.65255994373136"/>
      <inputCells r="C11" val="7.5371471088448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Cálculo contenedor Concentrado</vt:lpstr>
      <vt:lpstr>Cálculo contenedor CC</vt:lpstr>
      <vt:lpstr>Cálculo de fuerza</vt:lpstr>
      <vt:lpstr>Calculo tolva romana</vt:lpstr>
      <vt:lpstr>Cálculo contenedor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2018-11-02T05:05:13Z</dcterms:modified>
</cp:coreProperties>
</file>