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CC'!$W$15:$Y$15</definedName>
    <definedName name="solver_adj" localSheetId="0" hidden="1">'Cálculo contenedor Concentrado'!$W$15:$Y$15</definedName>
    <definedName name="solver_adj" localSheetId="3" hidden="1">'Calculo tolva romana'!$S$27,'Calculo tolva romana'!$U$27,'Calculo tolva romana'!$V$27</definedName>
    <definedName name="solver_adj" localSheetId="7" hidden="1">'Dimensionado tolva levadura'!$I$15:$J$15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romana'!$S$27:$W$27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romana'!$S$33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romana'!$U$27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romana'!$V$27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romana'!$D$12</definedName>
    <definedName name="solver_lhs6" localSheetId="3" hidden="1">'Calculo tolva romana'!$G$12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romana'!$S$30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8" l="1"/>
  <c r="Q35" i="3" l="1"/>
  <c r="Q38" i="3"/>
  <c r="P30" i="3"/>
  <c r="Q37" i="3"/>
  <c r="O31" i="3"/>
  <c r="Q34" i="3"/>
  <c r="Q31" i="3"/>
  <c r="W27" i="3" l="1"/>
  <c r="S30" i="3" s="1"/>
  <c r="O30" i="3" l="1"/>
  <c r="J11" i="7" l="1"/>
  <c r="J9" i="7"/>
  <c r="B19" i="7"/>
  <c r="J9" i="6" l="1"/>
  <c r="J23" i="6"/>
  <c r="K18" i="6"/>
  <c r="J18" i="6"/>
  <c r="L18" i="6" s="1"/>
  <c r="B16" i="6"/>
  <c r="L22" i="8" l="1"/>
  <c r="P22" i="8"/>
  <c r="N26" i="8"/>
  <c r="D24" i="8"/>
  <c r="N23" i="8" l="1"/>
  <c r="Q16" i="8"/>
  <c r="Q15" i="8"/>
  <c r="Q14" i="8"/>
  <c r="B17" i="8"/>
  <c r="B16" i="8"/>
  <c r="A25" i="8" l="1"/>
  <c r="A28" i="8"/>
  <c r="L15" i="8" l="1"/>
  <c r="A32" i="8"/>
  <c r="L20" i="8" l="1"/>
  <c r="L23" i="8" s="1"/>
  <c r="N20" i="8" s="1"/>
  <c r="L21" i="8"/>
  <c r="O29" i="3" l="1"/>
  <c r="X11" i="1" l="1"/>
  <c r="X9" i="1"/>
  <c r="Q13" i="8" l="1"/>
  <c r="Q19" i="8" s="1"/>
  <c r="P25" i="8" s="1"/>
  <c r="L16" i="8"/>
  <c r="W18" i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I18" i="6"/>
  <c r="M18" i="6" s="1"/>
  <c r="J11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J20" i="6"/>
  <c r="M18" i="7" l="1"/>
  <c r="J20" i="7" s="1"/>
  <c r="J26" i="6" l="1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Z27" i="3"/>
  <c r="Y27" i="3"/>
  <c r="S33" i="3" s="1"/>
  <c r="T23" i="3"/>
  <c r="J26" i="1"/>
  <c r="G15" i="3"/>
  <c r="Q28" i="3"/>
  <c r="O24" i="3"/>
  <c r="Q29" i="3" l="1"/>
  <c r="Q30" i="3" s="1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H19" i="3" l="1"/>
  <c r="K8" i="3"/>
  <c r="H16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2" i="3"/>
  <c r="B19" i="3"/>
  <c r="C15" i="3"/>
  <c r="B15" i="3"/>
  <c r="A15" i="3"/>
  <c r="E8" i="3"/>
  <c r="D14" i="4" l="1"/>
  <c r="B15" i="4" s="1"/>
  <c r="D15" i="3"/>
  <c r="B16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J9" i="5" l="1"/>
  <c r="J11" i="5" s="1"/>
  <c r="J20" i="5" s="1"/>
</calcChain>
</file>

<file path=xl/sharedStrings.xml><?xml version="1.0" encoding="utf-8"?>
<sst xmlns="http://schemas.openxmlformats.org/spreadsheetml/2006/main" count="658" uniqueCount="233">
  <si>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</si>
  <si>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</si>
  <si>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</si>
  <si>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</si>
  <si>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</si>
  <si>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</si>
  <si>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</si>
  <si>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</si>
  <si>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</si>
  <si>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</si>
  <si>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</si>
  <si>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</si>
  <si>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</si>
  <si>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</si>
  <si>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</si>
  <si>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</si>
  <si>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</si>
  <si>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</si>
  <si>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</si>
  <si>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</si>
  <si>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</si>
  <si>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</si>
  <si>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</si>
  <si>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</si>
  <si>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</si>
  <si>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</si>
  <si>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</si>
  <si>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</si>
  <si>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</si>
  <si>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</si>
  <si>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</si>
  <si>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</si>
  <si>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</si>
  <si>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</si>
  <si>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</si>
  <si>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</si>
  <si>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</si>
  <si>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</si>
  <si>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</si>
  <si>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</si>
  <si>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</si>
  <si>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</si>
  <si>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</si>
  <si>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</si>
  <si>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</si>
  <si>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</si>
  <si>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</si>
  <si>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</si>
  <si>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</si>
  <si>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</si>
  <si>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</si>
  <si>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</si>
  <si>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</si>
  <si>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</si>
  <si>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</si>
  <si>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</si>
  <si>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</si>
  <si>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</si>
  <si>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</si>
  <si>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</si>
  <si>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</si>
  <si>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</si>
  <si>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</si>
  <si>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</si>
  <si>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</si>
  <si>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</si>
  <si>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</si>
  <si>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</si>
  <si>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</si>
  <si>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</si>
  <si>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</si>
  <si>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</si>
  <si>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</si>
  <si>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</si>
  <si>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</si>
  <si>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</si>
  <si>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</si>
  <si>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</si>
  <si>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</si>
  <si>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</si>
  <si>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</si>
  <si>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</si>
  <si>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</si>
  <si>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</si>
  <si>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</si>
  <si>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</si>
  <si>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</si>
  <si>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</si>
  <si>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</si>
  <si>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</si>
  <si>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</si>
  <si>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</si>
  <si>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</si>
  <si>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</si>
  <si>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</si>
  <si>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</si>
  <si>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</si>
  <si>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</si>
  <si>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</si>
  <si>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</si>
  <si>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</si>
  <si>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</si>
  <si>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</si>
  <si>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</si>
  <si>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</si>
  <si>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</si>
  <si>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</si>
  <si>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</si>
  <si>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</si>
  <si>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</si>
  <si>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</si>
  <si>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</si>
  <si>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</si>
  <si>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</si>
  <si>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</si>
  <si>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</si>
  <si>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</si>
  <si>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</si>
  <si>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</si>
  <si>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</si>
  <si>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</si>
  <si>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</si>
  <si>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</si>
  <si>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</si>
  <si>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</si>
  <si>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</si>
  <si>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</si>
  <si>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</si>
  <si>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</si>
  <si>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</si>
  <si>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</si>
  <si>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</si>
  <si>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</si>
  <si>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</si>
  <si>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</si>
  <si>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</si>
  <si>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</si>
  <si>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</si>
  <si>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</si>
  <si>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</si>
  <si>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</si>
  <si>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</si>
  <si>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</si>
  <si>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</si>
  <si>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</si>
  <si>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</si>
  <si>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</si>
  <si>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</si>
  <si>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</si>
  <si>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</si>
  <si>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</si>
  <si>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</si>
  <si>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</si>
  <si>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</si>
  <si>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</si>
  <si>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</si>
  <si>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</si>
  <si>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</si>
  <si>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</si>
  <si>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</si>
  <si>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</si>
  <si>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</si>
  <si>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</si>
  <si>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</si>
  <si>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</si>
  <si>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</si>
  <si>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</si>
  <si>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</si>
  <si>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</si>
  <si>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</si>
  <si>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</si>
  <si>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</si>
  <si>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</si>
  <si>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</si>
  <si>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</si>
  <si>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</si>
  <si>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</si>
  <si>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</si>
  <si>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</si>
  <si>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</si>
  <si>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</si>
  <si>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</si>
  <si>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</si>
  <si>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</si>
  <si>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</si>
  <si>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</si>
  <si>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</si>
  <si>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</si>
  <si>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</si>
  <si>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</si>
  <si>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</si>
  <si>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</si>
  <si>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</si>
  <si>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</si>
  <si>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</si>
  <si>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</si>
  <si>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</si>
  <si>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</si>
  <si>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</si>
  <si>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</si>
  <si>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</si>
  <si>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</si>
  <si>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</si>
  <si>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</si>
  <si>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</si>
  <si>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</si>
  <si>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</si>
  <si>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</si>
  <si>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</si>
  <si>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</si>
  <si>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</si>
  <si>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</si>
  <si>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</si>
  <si>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</si>
  <si>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</si>
  <si>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</si>
  <si>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</si>
  <si>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</si>
  <si>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</si>
  <si>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</si>
  <si>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</si>
  <si>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</si>
  <si>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</si>
  <si>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</si>
  <si>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</si>
  <si>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</si>
  <si>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</si>
  <si>
    <t>g/cm3</t>
  </si>
  <si>
    <t>Verificación realizada el 5/4/2019 por S Mena</t>
  </si>
  <si>
    <t>Verificado por S Mena</t>
  </si>
  <si>
    <t>Volumen</t>
  </si>
  <si>
    <t>Delta</t>
  </si>
  <si>
    <t>Masa 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</si>
</sst>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N1" zoomScale="90" zoomScaleNormal="90" workbookViewId="0">
      <selection activeCell="Z25" sqref="Z25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3" width="0" hidden="1" customWidth="1"/>
    <col min="14" max="14" width="0.85546875" customWidth="1"/>
    <col min="15" max="15" width="10.7109375" bestFit="1" customWidth="1"/>
  </cols>
  <sheetData>
    <row r="1" spans="1:26" x14ac:dyDescent="0.25">
      <c r="A1" t="s">
        <v>67</v>
      </c>
      <c r="O1" t="s">
        <v>67</v>
      </c>
    </row>
    <row r="2" spans="1:26" x14ac:dyDescent="0.25">
      <c r="A2" t="s">
        <v>79</v>
      </c>
      <c r="O2" t="s">
        <v>79</v>
      </c>
    </row>
    <row r="3" spans="1:26" x14ac:dyDescent="0.25">
      <c r="A3" t="s">
        <v>68</v>
      </c>
      <c r="O3" t="s">
        <v>68</v>
      </c>
    </row>
    <row r="4" spans="1:26" x14ac:dyDescent="0.25">
      <c r="A4" s="5">
        <v>43388</v>
      </c>
      <c r="O4" s="5">
        <v>43433</v>
      </c>
      <c r="P4" t="s">
        <v>165</v>
      </c>
    </row>
    <row r="5" spans="1:26" x14ac:dyDescent="0.25">
      <c r="O5" s="5">
        <v>43503</v>
      </c>
      <c r="P5" t="s">
        <v>169</v>
      </c>
    </row>
    <row r="7" spans="1:26" x14ac:dyDescent="0.25">
      <c r="A7" s="1" t="s">
        <v>58</v>
      </c>
      <c r="H7" s="1" t="s">
        <v>80</v>
      </c>
      <c r="O7" s="1" t="s">
        <v>58</v>
      </c>
      <c r="V7" s="1" t="s">
        <v>80</v>
      </c>
    </row>
    <row r="8" spans="1:26" x14ac:dyDescent="0.25">
      <c r="A8" t="s">
        <v>69</v>
      </c>
      <c r="H8">
        <v>1</v>
      </c>
      <c r="I8" t="s">
        <v>81</v>
      </c>
      <c r="O8" t="s">
        <v>69</v>
      </c>
      <c r="V8">
        <v>1</v>
      </c>
      <c r="W8" t="s">
        <v>81</v>
      </c>
    </row>
    <row r="9" spans="1:26" x14ac:dyDescent="0.25">
      <c r="A9">
        <v>1</v>
      </c>
      <c r="B9" t="s">
        <v>70</v>
      </c>
      <c r="I9" s="1" t="s">
        <v>83</v>
      </c>
      <c r="J9">
        <f>B19/B18</f>
        <v>681818.18181818177</v>
      </c>
      <c r="O9">
        <v>1</v>
      </c>
      <c r="P9" t="s">
        <v>70</v>
      </c>
      <c r="W9" s="1" t="s">
        <v>83</v>
      </c>
      <c r="X9">
        <f>P19/P18</f>
        <v>1150000</v>
      </c>
    </row>
    <row r="10" spans="1:26" x14ac:dyDescent="0.25">
      <c r="A10">
        <v>2</v>
      </c>
      <c r="B10" t="s">
        <v>71</v>
      </c>
      <c r="H10">
        <v>2</v>
      </c>
      <c r="I10" t="s">
        <v>84</v>
      </c>
      <c r="O10">
        <v>2</v>
      </c>
      <c r="P10" t="s">
        <v>71</v>
      </c>
      <c r="V10">
        <v>2</v>
      </c>
      <c r="W10" t="s">
        <v>84</v>
      </c>
    </row>
    <row r="11" spans="1:26" x14ac:dyDescent="0.25">
      <c r="A11">
        <v>3</v>
      </c>
      <c r="B11" t="s">
        <v>72</v>
      </c>
      <c r="I11" s="1" t="s">
        <v>83</v>
      </c>
      <c r="J11">
        <f>J9*B20</f>
        <v>886363.63636363635</v>
      </c>
      <c r="O11">
        <v>3</v>
      </c>
      <c r="P11" t="s">
        <v>72</v>
      </c>
      <c r="W11" s="1" t="s">
        <v>83</v>
      </c>
      <c r="X11">
        <f>X9*P20</f>
        <v>1380000</v>
      </c>
    </row>
    <row r="12" spans="1:26" x14ac:dyDescent="0.25">
      <c r="H12">
        <v>3</v>
      </c>
      <c r="I12" t="s">
        <v>85</v>
      </c>
      <c r="V12">
        <v>3</v>
      </c>
      <c r="W12" t="s">
        <v>85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73</v>
      </c>
      <c r="I14" t="s">
        <v>87</v>
      </c>
      <c r="J14" t="s">
        <v>88</v>
      </c>
      <c r="K14" t="s">
        <v>89</v>
      </c>
      <c r="L14" t="s">
        <v>90</v>
      </c>
      <c r="O14" s="1" t="s">
        <v>73</v>
      </c>
      <c r="W14" t="s">
        <v>87</v>
      </c>
      <c r="X14" t="s">
        <v>88</v>
      </c>
      <c r="Y14" t="s">
        <v>89</v>
      </c>
      <c r="Z14" t="s">
        <v>90</v>
      </c>
    </row>
    <row r="15" spans="1:26" x14ac:dyDescent="0.25">
      <c r="A15" t="s">
        <v>74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74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75</v>
      </c>
      <c r="B16">
        <f>(PI()/180)*B15</f>
        <v>0.52359877559829882</v>
      </c>
      <c r="I16" t="s">
        <v>41</v>
      </c>
      <c r="O16" t="s">
        <v>75</v>
      </c>
      <c r="P16">
        <f>(PI()/180)*P15</f>
        <v>0.52359877559829882</v>
      </c>
      <c r="W16" t="s">
        <v>41</v>
      </c>
    </row>
    <row r="17" spans="1:27" x14ac:dyDescent="0.25">
      <c r="A17" t="s">
        <v>76</v>
      </c>
      <c r="B17">
        <v>12.7</v>
      </c>
      <c r="C17" t="s">
        <v>3</v>
      </c>
      <c r="I17" t="s">
        <v>86</v>
      </c>
      <c r="J17" t="s">
        <v>51</v>
      </c>
      <c r="K17" t="s">
        <v>52</v>
      </c>
      <c r="L17" t="s">
        <v>53</v>
      </c>
      <c r="M17" t="s">
        <v>10</v>
      </c>
      <c r="O17" t="s">
        <v>76</v>
      </c>
      <c r="P17">
        <v>10.16</v>
      </c>
      <c r="Q17" t="s">
        <v>3</v>
      </c>
      <c r="W17" t="s">
        <v>86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77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77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78</v>
      </c>
      <c r="B19">
        <f>B22*B21</f>
        <v>300000</v>
      </c>
      <c r="I19" t="s">
        <v>91</v>
      </c>
      <c r="O19" t="s">
        <v>78</v>
      </c>
      <c r="P19">
        <v>506000</v>
      </c>
      <c r="Q19" t="s">
        <v>168</v>
      </c>
      <c r="W19" t="s">
        <v>91</v>
      </c>
    </row>
    <row r="20" spans="1:27" x14ac:dyDescent="0.25">
      <c r="A20" t="s">
        <v>82</v>
      </c>
      <c r="B20">
        <v>1.3</v>
      </c>
      <c r="I20" t="s">
        <v>54</v>
      </c>
      <c r="J20">
        <f>J11-M18</f>
        <v>-1.1757947504520416E-8</v>
      </c>
      <c r="O20" t="s">
        <v>82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150</v>
      </c>
      <c r="B21">
        <v>6000</v>
      </c>
      <c r="O21" t="s">
        <v>150</v>
      </c>
      <c r="P21">
        <v>6000</v>
      </c>
    </row>
    <row r="22" spans="1:27" x14ac:dyDescent="0.25">
      <c r="A22" t="s">
        <v>152</v>
      </c>
      <c r="B22">
        <v>50</v>
      </c>
      <c r="I22" t="s">
        <v>93</v>
      </c>
      <c r="O22" t="s">
        <v>152</v>
      </c>
      <c r="P22">
        <v>50</v>
      </c>
      <c r="W22" t="s">
        <v>93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92</v>
      </c>
      <c r="W25" t="s">
        <v>92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65</v>
      </c>
      <c r="F37" t="s">
        <v>65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66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B1" workbookViewId="0">
      <selection activeCell="Y15" sqref="Y15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67</v>
      </c>
      <c r="O1" t="s">
        <v>67</v>
      </c>
    </row>
    <row r="2" spans="1:26" x14ac:dyDescent="0.25">
      <c r="A2" t="s">
        <v>79</v>
      </c>
      <c r="O2" t="s">
        <v>79</v>
      </c>
    </row>
    <row r="3" spans="1:26" x14ac:dyDescent="0.25">
      <c r="A3" t="s">
        <v>68</v>
      </c>
      <c r="O3" t="s">
        <v>68</v>
      </c>
    </row>
    <row r="4" spans="1:26" x14ac:dyDescent="0.25">
      <c r="A4" s="5">
        <v>43388</v>
      </c>
      <c r="O4" s="5">
        <v>43433</v>
      </c>
      <c r="P4" t="s">
        <v>166</v>
      </c>
    </row>
    <row r="7" spans="1:26" x14ac:dyDescent="0.25">
      <c r="A7" s="1" t="s">
        <v>60</v>
      </c>
      <c r="H7" s="1" t="s">
        <v>80</v>
      </c>
      <c r="O7" s="1" t="s">
        <v>60</v>
      </c>
      <c r="V7" s="1" t="s">
        <v>80</v>
      </c>
    </row>
    <row r="8" spans="1:26" x14ac:dyDescent="0.25">
      <c r="A8" t="s">
        <v>69</v>
      </c>
      <c r="H8">
        <v>1</v>
      </c>
      <c r="I8" t="s">
        <v>81</v>
      </c>
      <c r="O8" t="s">
        <v>69</v>
      </c>
      <c r="V8">
        <v>1</v>
      </c>
      <c r="W8" t="s">
        <v>81</v>
      </c>
    </row>
    <row r="9" spans="1:26" x14ac:dyDescent="0.25">
      <c r="A9">
        <v>1</v>
      </c>
      <c r="B9" t="s">
        <v>70</v>
      </c>
      <c r="I9" s="1" t="s">
        <v>83</v>
      </c>
      <c r="J9">
        <f>B19/B18</f>
        <v>400000.00000000006</v>
      </c>
      <c r="O9">
        <v>1</v>
      </c>
      <c r="P9" t="s">
        <v>70</v>
      </c>
      <c r="W9" s="1" t="s">
        <v>83</v>
      </c>
      <c r="X9">
        <f>P19/P18</f>
        <v>400000.00000000006</v>
      </c>
    </row>
    <row r="10" spans="1:26" x14ac:dyDescent="0.25">
      <c r="A10">
        <v>2</v>
      </c>
      <c r="B10" t="s">
        <v>71</v>
      </c>
      <c r="H10">
        <v>2</v>
      </c>
      <c r="I10" t="s">
        <v>84</v>
      </c>
      <c r="O10">
        <v>2</v>
      </c>
      <c r="P10" t="s">
        <v>71</v>
      </c>
      <c r="V10">
        <v>2</v>
      </c>
      <c r="W10" t="s">
        <v>84</v>
      </c>
    </row>
    <row r="11" spans="1:26" x14ac:dyDescent="0.25">
      <c r="A11">
        <v>3</v>
      </c>
      <c r="B11" t="s">
        <v>72</v>
      </c>
      <c r="I11" s="1" t="s">
        <v>83</v>
      </c>
      <c r="J11">
        <f>J9*B20</f>
        <v>520000.00000000012</v>
      </c>
      <c r="O11">
        <v>3</v>
      </c>
      <c r="P11" t="s">
        <v>72</v>
      </c>
      <c r="W11" s="1" t="s">
        <v>83</v>
      </c>
      <c r="X11">
        <f>X9*P20</f>
        <v>480000.00000000006</v>
      </c>
    </row>
    <row r="12" spans="1:26" x14ac:dyDescent="0.25">
      <c r="H12">
        <v>3</v>
      </c>
      <c r="I12" t="s">
        <v>85</v>
      </c>
      <c r="V12">
        <v>3</v>
      </c>
      <c r="W12" t="s">
        <v>85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73</v>
      </c>
      <c r="I14" t="s">
        <v>87</v>
      </c>
      <c r="J14" t="s">
        <v>88</v>
      </c>
      <c r="K14" t="s">
        <v>89</v>
      </c>
      <c r="L14" t="s">
        <v>90</v>
      </c>
      <c r="O14" s="1" t="s">
        <v>73</v>
      </c>
      <c r="W14" t="s">
        <v>87</v>
      </c>
      <c r="X14" t="s">
        <v>88</v>
      </c>
      <c r="Y14" t="s">
        <v>89</v>
      </c>
      <c r="Z14" t="s">
        <v>90</v>
      </c>
    </row>
    <row r="15" spans="1:26" x14ac:dyDescent="0.25">
      <c r="A15" t="s">
        <v>74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74</v>
      </c>
      <c r="P15">
        <v>30</v>
      </c>
      <c r="W15">
        <v>104.14290501508998</v>
      </c>
      <c r="X15">
        <v>83.591287790140328</v>
      </c>
      <c r="Y15">
        <v>14.469266361528636</v>
      </c>
      <c r="Z15">
        <f>P17</f>
        <v>7.62</v>
      </c>
    </row>
    <row r="16" spans="1:26" x14ac:dyDescent="0.25">
      <c r="A16" t="s">
        <v>75</v>
      </c>
      <c r="B16">
        <f>(PI()/180)*B15</f>
        <v>0.52359877559829882</v>
      </c>
      <c r="I16" t="s">
        <v>41</v>
      </c>
      <c r="O16" t="s">
        <v>75</v>
      </c>
      <c r="P16">
        <f>(PI()/180)*P15</f>
        <v>0.52359877559829882</v>
      </c>
      <c r="W16" t="s">
        <v>41</v>
      </c>
    </row>
    <row r="17" spans="1:27" x14ac:dyDescent="0.25">
      <c r="A17" t="s">
        <v>76</v>
      </c>
      <c r="B17">
        <v>7.62</v>
      </c>
      <c r="I17" t="s">
        <v>86</v>
      </c>
      <c r="J17" t="s">
        <v>51</v>
      </c>
      <c r="K17" t="s">
        <v>52</v>
      </c>
      <c r="L17" t="s">
        <v>53</v>
      </c>
      <c r="M17" t="s">
        <v>10</v>
      </c>
      <c r="O17" t="s">
        <v>76</v>
      </c>
      <c r="P17">
        <v>7.62</v>
      </c>
      <c r="W17" t="s">
        <v>86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77</v>
      </c>
      <c r="B18">
        <v>0.34499999999999997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77</v>
      </c>
      <c r="P18">
        <v>0.34499999999999997</v>
      </c>
      <c r="W18">
        <f>(W15*W15)*Y15</f>
        <v>156929.96844675348</v>
      </c>
      <c r="X18">
        <f>(W15*W15)</f>
        <v>10845.744664982054</v>
      </c>
      <c r="Y18">
        <f>PI()*(Z15/2)^2</f>
        <v>45.603673118774793</v>
      </c>
      <c r="Z18">
        <f>(X15/3)*(X18+Y18+SQRT(X18*Y18))</f>
        <v>323070.03155324777</v>
      </c>
      <c r="AA18">
        <f>W18+Z18</f>
        <v>480000.00000000128</v>
      </c>
    </row>
    <row r="19" spans="1:27" x14ac:dyDescent="0.25">
      <c r="A19" t="s">
        <v>78</v>
      </c>
      <c r="B19">
        <v>138000</v>
      </c>
      <c r="I19" t="s">
        <v>91</v>
      </c>
      <c r="O19" t="s">
        <v>78</v>
      </c>
      <c r="P19">
        <v>138000</v>
      </c>
      <c r="W19" t="s">
        <v>91</v>
      </c>
    </row>
    <row r="20" spans="1:27" x14ac:dyDescent="0.25">
      <c r="A20" t="s">
        <v>82</v>
      </c>
      <c r="B20">
        <v>1.3</v>
      </c>
      <c r="I20" t="s">
        <v>54</v>
      </c>
      <c r="J20">
        <f>J11-M18</f>
        <v>79322.381128682755</v>
      </c>
      <c r="O20" t="s">
        <v>82</v>
      </c>
      <c r="P20">
        <v>1.2</v>
      </c>
      <c r="W20" t="s">
        <v>54</v>
      </c>
      <c r="X20">
        <f>X11-AA18</f>
        <v>-1.2223608791828156E-9</v>
      </c>
    </row>
    <row r="21" spans="1:27" x14ac:dyDescent="0.25">
      <c r="A21" t="s">
        <v>150</v>
      </c>
      <c r="B21">
        <v>2000</v>
      </c>
      <c r="O21" t="s">
        <v>150</v>
      </c>
      <c r="P21">
        <v>2000</v>
      </c>
    </row>
    <row r="22" spans="1:27" x14ac:dyDescent="0.25">
      <c r="A22" t="s">
        <v>151</v>
      </c>
      <c r="B22">
        <v>50</v>
      </c>
      <c r="I22" t="s">
        <v>93</v>
      </c>
      <c r="O22" t="s">
        <v>151</v>
      </c>
      <c r="P22">
        <v>50</v>
      </c>
      <c r="W22" t="s">
        <v>93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92</v>
      </c>
      <c r="W25" t="s">
        <v>92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27602.846259270962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65</v>
      </c>
      <c r="F37" t="s">
        <v>65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66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N17" workbookViewId="0">
      <selection activeCell="T28" sqref="T28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94</v>
      </c>
    </row>
    <row r="2" spans="1:22" x14ac:dyDescent="0.25">
      <c r="A2" t="s">
        <v>39</v>
      </c>
      <c r="N2" t="s">
        <v>95</v>
      </c>
    </row>
    <row r="3" spans="1:22" x14ac:dyDescent="0.25">
      <c r="A3" t="s">
        <v>40</v>
      </c>
      <c r="N3" s="5">
        <v>43391</v>
      </c>
    </row>
    <row r="4" spans="1:22" x14ac:dyDescent="0.25">
      <c r="A4" t="s">
        <v>228</v>
      </c>
      <c r="N4" s="5" t="s">
        <v>229</v>
      </c>
      <c r="O4" s="5">
        <v>43560</v>
      </c>
    </row>
    <row r="6" spans="1:22" x14ac:dyDescent="0.25">
      <c r="A6" t="s">
        <v>63</v>
      </c>
      <c r="G6" t="s">
        <v>64</v>
      </c>
      <c r="N6" t="s">
        <v>96</v>
      </c>
    </row>
    <row r="7" spans="1:22" x14ac:dyDescent="0.25">
      <c r="A7" s="1" t="s">
        <v>1</v>
      </c>
      <c r="C7" s="1" t="s">
        <v>44</v>
      </c>
      <c r="E7" t="s">
        <v>10</v>
      </c>
      <c r="G7" t="s">
        <v>1</v>
      </c>
      <c r="I7" t="s">
        <v>44</v>
      </c>
      <c r="K7" t="s">
        <v>10</v>
      </c>
      <c r="N7" s="1" t="s">
        <v>101</v>
      </c>
      <c r="P7" t="s">
        <v>136</v>
      </c>
      <c r="Q7" s="1" t="s">
        <v>103</v>
      </c>
      <c r="T7" s="1" t="s">
        <v>112</v>
      </c>
    </row>
    <row r="8" spans="1:22" x14ac:dyDescent="0.25">
      <c r="A8">
        <v>13939</v>
      </c>
      <c r="B8" t="s">
        <v>2</v>
      </c>
      <c r="C8">
        <v>1.3</v>
      </c>
      <c r="E8">
        <f>A8*C8</f>
        <v>18120.7</v>
      </c>
      <c r="G8">
        <v>160.6</v>
      </c>
      <c r="H8" t="s">
        <v>2</v>
      </c>
      <c r="I8">
        <v>1.3</v>
      </c>
      <c r="K8">
        <f>G8*I8</f>
        <v>208.78</v>
      </c>
      <c r="N8" t="s">
        <v>154</v>
      </c>
      <c r="P8" t="s">
        <v>136</v>
      </c>
      <c r="Q8" t="s">
        <v>107</v>
      </c>
      <c r="R8" t="s">
        <v>108</v>
      </c>
      <c r="S8" t="s">
        <v>136</v>
      </c>
      <c r="T8" t="s">
        <v>114</v>
      </c>
      <c r="U8" t="s">
        <v>115</v>
      </c>
      <c r="V8" t="s">
        <v>136</v>
      </c>
    </row>
    <row r="9" spans="1:22" x14ac:dyDescent="0.25">
      <c r="N9" t="s">
        <v>97</v>
      </c>
      <c r="P9" t="s">
        <v>136</v>
      </c>
      <c r="Q9" t="s">
        <v>105</v>
      </c>
      <c r="R9" t="s">
        <v>109</v>
      </c>
      <c r="S9" t="s">
        <v>136</v>
      </c>
      <c r="T9" t="s">
        <v>116</v>
      </c>
      <c r="U9" t="s">
        <v>117</v>
      </c>
      <c r="V9" t="s">
        <v>136</v>
      </c>
    </row>
    <row r="10" spans="1:22" x14ac:dyDescent="0.25">
      <c r="A10" t="s">
        <v>45</v>
      </c>
      <c r="G10" t="s">
        <v>45</v>
      </c>
      <c r="N10" t="s">
        <v>98</v>
      </c>
      <c r="P10" t="s">
        <v>136</v>
      </c>
      <c r="Q10" t="s">
        <v>106</v>
      </c>
      <c r="R10" t="s">
        <v>110</v>
      </c>
      <c r="S10" t="s">
        <v>136</v>
      </c>
      <c r="T10" t="s">
        <v>121</v>
      </c>
      <c r="U10" t="s">
        <v>119</v>
      </c>
      <c r="V10" t="s">
        <v>136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G11" t="s">
        <v>46</v>
      </c>
      <c r="H11" t="s">
        <v>47</v>
      </c>
      <c r="N11" t="s">
        <v>153</v>
      </c>
      <c r="P11" t="s">
        <v>136</v>
      </c>
      <c r="Q11" t="s">
        <v>104</v>
      </c>
      <c r="R11" t="s">
        <v>111</v>
      </c>
      <c r="S11" t="s">
        <v>136</v>
      </c>
      <c r="T11" t="s">
        <v>120</v>
      </c>
      <c r="U11" t="s">
        <v>118</v>
      </c>
      <c r="V11" t="s">
        <v>136</v>
      </c>
    </row>
    <row r="12" spans="1:22" x14ac:dyDescent="0.25">
      <c r="A12">
        <v>41.470457973748012</v>
      </c>
      <c r="B12">
        <v>20.739221383930818</v>
      </c>
      <c r="C12">
        <v>12.426939674491317</v>
      </c>
      <c r="D12">
        <v>10.369610691965407</v>
      </c>
      <c r="G12">
        <v>5.050985283431098</v>
      </c>
      <c r="H12">
        <v>8.1825961591545759</v>
      </c>
      <c r="N12" t="s">
        <v>99</v>
      </c>
      <c r="P12" t="s">
        <v>136</v>
      </c>
      <c r="S12" t="s">
        <v>136</v>
      </c>
      <c r="T12" t="s">
        <v>122</v>
      </c>
      <c r="U12" t="s">
        <v>123</v>
      </c>
      <c r="V12" t="s">
        <v>136</v>
      </c>
    </row>
    <row r="13" spans="1:22" x14ac:dyDescent="0.25">
      <c r="A13" s="1" t="s">
        <v>41</v>
      </c>
      <c r="G13" s="1" t="s">
        <v>41</v>
      </c>
      <c r="N13" t="s">
        <v>100</v>
      </c>
      <c r="Q13" t="s">
        <v>144</v>
      </c>
      <c r="R13" t="s">
        <v>145</v>
      </c>
      <c r="S13" t="s">
        <v>136</v>
      </c>
      <c r="T13" t="s">
        <v>140</v>
      </c>
      <c r="V13" t="s">
        <v>136</v>
      </c>
    </row>
    <row r="14" spans="1:22" x14ac:dyDescent="0.25">
      <c r="A14" t="s">
        <v>50</v>
      </c>
      <c r="B14" t="s">
        <v>51</v>
      </c>
      <c r="C14" t="s">
        <v>52</v>
      </c>
      <c r="D14" t="s">
        <v>53</v>
      </c>
      <c r="G14" t="s">
        <v>50</v>
      </c>
      <c r="N14" t="s">
        <v>102</v>
      </c>
      <c r="P14" t="s">
        <v>136</v>
      </c>
      <c r="Q14" t="s">
        <v>136</v>
      </c>
      <c r="T14" t="s">
        <v>136</v>
      </c>
    </row>
    <row r="15" spans="1:22" x14ac:dyDescent="0.25">
      <c r="A15">
        <f>C12*C12*D12</f>
        <v>1601.366843329474</v>
      </c>
      <c r="B15">
        <f>(A12*A12)</f>
        <v>1719.7988845524001</v>
      </c>
      <c r="C15">
        <f>C12*C12</f>
        <v>154.42882967344636</v>
      </c>
      <c r="D15">
        <f>(B12/3)*(B15+C15+SQRT(B15*C15))</f>
        <v>16519.333156619374</v>
      </c>
      <c r="G15">
        <f>G12*G12*H12</f>
        <v>208.75809447420013</v>
      </c>
      <c r="N15" t="s">
        <v>155</v>
      </c>
    </row>
    <row r="16" spans="1:22" x14ac:dyDescent="0.25">
      <c r="A16" t="s">
        <v>54</v>
      </c>
      <c r="B16">
        <f>E8-D15-A15</f>
        <v>5.1152937885490246E-8</v>
      </c>
      <c r="G16" t="s">
        <v>54</v>
      </c>
      <c r="H16">
        <f>K8-J15-G15</f>
        <v>2.1905525799866155E-2</v>
      </c>
      <c r="N16" s="1" t="s">
        <v>80</v>
      </c>
    </row>
    <row r="17" spans="1:26" x14ac:dyDescent="0.25">
      <c r="N17" s="1" t="s">
        <v>124</v>
      </c>
      <c r="S17" s="1" t="s">
        <v>135</v>
      </c>
    </row>
    <row r="18" spans="1:26" x14ac:dyDescent="0.25">
      <c r="A18" s="1" t="s">
        <v>42</v>
      </c>
      <c r="G18" s="1" t="s">
        <v>42</v>
      </c>
      <c r="N18" t="s">
        <v>125</v>
      </c>
      <c r="P18" t="s">
        <v>136</v>
      </c>
      <c r="R18" t="s">
        <v>136</v>
      </c>
      <c r="S18" t="s">
        <v>137</v>
      </c>
      <c r="U18" t="s">
        <v>136</v>
      </c>
    </row>
    <row r="19" spans="1:26" x14ac:dyDescent="0.25">
      <c r="A19" t="s">
        <v>54</v>
      </c>
      <c r="B19">
        <f>2*B12*TAN(35*PI()/180)+C12-A12</f>
        <v>0</v>
      </c>
      <c r="G19" t="s">
        <v>54</v>
      </c>
      <c r="H19">
        <f>1.62*G12-H12</f>
        <v>3.8031799931559362E-12</v>
      </c>
      <c r="N19" t="s">
        <v>132</v>
      </c>
      <c r="P19" t="s">
        <v>136</v>
      </c>
      <c r="R19" t="s">
        <v>136</v>
      </c>
      <c r="S19" t="s">
        <v>138</v>
      </c>
      <c r="U19" t="s">
        <v>136</v>
      </c>
    </row>
    <row r="20" spans="1:26" x14ac:dyDescent="0.25">
      <c r="N20" t="s">
        <v>133</v>
      </c>
      <c r="P20" t="s">
        <v>136</v>
      </c>
      <c r="R20" t="s">
        <v>136</v>
      </c>
      <c r="S20" t="s">
        <v>141</v>
      </c>
      <c r="U20" t="s">
        <v>136</v>
      </c>
    </row>
    <row r="21" spans="1:26" x14ac:dyDescent="0.25">
      <c r="A21" s="1" t="s">
        <v>43</v>
      </c>
      <c r="N21" t="s">
        <v>134</v>
      </c>
      <c r="P21" t="s">
        <v>136</v>
      </c>
      <c r="S21" t="s">
        <v>142</v>
      </c>
      <c r="U21" t="s">
        <v>136</v>
      </c>
    </row>
    <row r="22" spans="1:26" x14ac:dyDescent="0.25">
      <c r="A22" t="s">
        <v>54</v>
      </c>
      <c r="B22">
        <f>2*D12-B12</f>
        <v>0</v>
      </c>
      <c r="S22" s="1" t="s">
        <v>140</v>
      </c>
      <c r="T22">
        <v>30</v>
      </c>
    </row>
    <row r="23" spans="1:26" x14ac:dyDescent="0.25">
      <c r="N23" s="1" t="s">
        <v>127</v>
      </c>
      <c r="S23" t="s">
        <v>143</v>
      </c>
      <c r="T23">
        <f>30*PI()/180</f>
        <v>0.52359877559829882</v>
      </c>
    </row>
    <row r="24" spans="1:26" x14ac:dyDescent="0.25">
      <c r="N24" t="s">
        <v>126</v>
      </c>
      <c r="O24">
        <f>6000/2000</f>
        <v>3</v>
      </c>
    </row>
    <row r="25" spans="1:26" x14ac:dyDescent="0.25">
      <c r="S25" t="s">
        <v>73</v>
      </c>
    </row>
    <row r="26" spans="1:26" x14ac:dyDescent="0.25">
      <c r="N26" t="s">
        <v>128</v>
      </c>
      <c r="S26" t="s">
        <v>107</v>
      </c>
      <c r="T26" t="s">
        <v>105</v>
      </c>
      <c r="U26" t="s">
        <v>106</v>
      </c>
      <c r="V26" t="s">
        <v>139</v>
      </c>
      <c r="W26" t="s">
        <v>144</v>
      </c>
      <c r="Y26" t="s">
        <v>146</v>
      </c>
      <c r="Z26" t="s">
        <v>147</v>
      </c>
    </row>
    <row r="27" spans="1:26" x14ac:dyDescent="0.25">
      <c r="O27" t="s">
        <v>113</v>
      </c>
      <c r="P27" t="s">
        <v>131</v>
      </c>
      <c r="Q27" t="s">
        <v>83</v>
      </c>
      <c r="S27">
        <v>60</v>
      </c>
      <c r="T27">
        <v>10</v>
      </c>
      <c r="U27">
        <v>8</v>
      </c>
      <c r="V27">
        <v>5</v>
      </c>
      <c r="W27">
        <f>(S27-T27)/(2*TAN(T23))</f>
        <v>43.301270189221938</v>
      </c>
      <c r="Y27">
        <f>S27*S27</f>
        <v>3600</v>
      </c>
      <c r="Z27">
        <f>T27*T27</f>
        <v>100</v>
      </c>
    </row>
    <row r="28" spans="1:26" x14ac:dyDescent="0.25">
      <c r="N28" t="s">
        <v>129</v>
      </c>
      <c r="O28">
        <v>11250.005999999999</v>
      </c>
      <c r="P28">
        <v>0.44022</v>
      </c>
      <c r="Q28">
        <f>O28/P28</f>
        <v>25555.417745672617</v>
      </c>
    </row>
    <row r="29" spans="1:26" x14ac:dyDescent="0.25">
      <c r="N29" t="s">
        <v>130</v>
      </c>
      <c r="O29">
        <f>O28/O24</f>
        <v>3750.002</v>
      </c>
      <c r="P29">
        <v>0.29499999999999998</v>
      </c>
      <c r="Q29">
        <f>O29/P29</f>
        <v>12711.871186440678</v>
      </c>
      <c r="S29" s="1" t="s">
        <v>149</v>
      </c>
    </row>
    <row r="30" spans="1:26" x14ac:dyDescent="0.25">
      <c r="N30" t="s">
        <v>31</v>
      </c>
      <c r="O30">
        <f>SUM(O28:O29)</f>
        <v>15000.008</v>
      </c>
      <c r="P30">
        <f>4*(P28*P29)/(P28+3*P29)</f>
        <v>0.3919798976773668</v>
      </c>
      <c r="Q30">
        <f>SUM(Q28:Q29)</f>
        <v>38267.288932113297</v>
      </c>
      <c r="S30">
        <f>4*(T27*V27)+(4/2)*(S27+T27)*(W27/COS(T23))+4*S27*U27</f>
        <v>9120</v>
      </c>
    </row>
    <row r="31" spans="1:26" x14ac:dyDescent="0.25">
      <c r="N31" t="s">
        <v>156</v>
      </c>
      <c r="O31">
        <f>1.5*O30</f>
        <v>22500.011999999999</v>
      </c>
      <c r="Q31">
        <f>1.5*Q30</f>
        <v>57400.933398169946</v>
      </c>
      <c r="S31" t="s">
        <v>231</v>
      </c>
    </row>
    <row r="32" spans="1:26" x14ac:dyDescent="0.25">
      <c r="N32" t="s">
        <v>167</v>
      </c>
      <c r="O32">
        <v>1.5</v>
      </c>
      <c r="S32" t="s">
        <v>148</v>
      </c>
    </row>
    <row r="33" spans="14:19" x14ac:dyDescent="0.25">
      <c r="S33">
        <f>Q31*O32-(Y27*U27+(Z27*V27)+(W27/3*(Y27+Z27+SQRT(Y27*Z27))))</f>
        <v>-5263.7538406298554</v>
      </c>
    </row>
    <row r="34" spans="14:19" x14ac:dyDescent="0.25">
      <c r="P34" t="s">
        <v>230</v>
      </c>
      <c r="Q34">
        <f>Q31-S33</f>
        <v>62664.687238799801</v>
      </c>
    </row>
    <row r="35" spans="14:19" x14ac:dyDescent="0.25">
      <c r="P35" t="s">
        <v>231</v>
      </c>
      <c r="Q35">
        <f>-S33/Q31*100</f>
        <v>9.1701537396910595</v>
      </c>
    </row>
    <row r="37" spans="14:19" x14ac:dyDescent="0.25">
      <c r="P37" t="s">
        <v>232</v>
      </c>
      <c r="Q37">
        <f>Q34*P30</f>
        <v>24563.29769184894</v>
      </c>
    </row>
    <row r="38" spans="14:19" x14ac:dyDescent="0.25">
      <c r="N38" s="5"/>
      <c r="P38" t="s">
        <v>231</v>
      </c>
      <c r="Q38">
        <f>(Q37-O31)/O31*100</f>
        <v>9.1701537396910791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B1" sqref="B1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170</v>
      </c>
    </row>
    <row r="2" spans="1:18" x14ac:dyDescent="0.25">
      <c r="A2" t="s">
        <v>171</v>
      </c>
    </row>
    <row r="3" spans="1:18" x14ac:dyDescent="0.25">
      <c r="A3" t="s">
        <v>172</v>
      </c>
    </row>
    <row r="4" spans="1:18" x14ac:dyDescent="0.25">
      <c r="A4" s="7">
        <v>43516</v>
      </c>
    </row>
    <row r="6" spans="1:18" x14ac:dyDescent="0.25">
      <c r="A6" t="s">
        <v>173</v>
      </c>
    </row>
    <row r="7" spans="1:18" x14ac:dyDescent="0.25">
      <c r="A7" t="s">
        <v>174</v>
      </c>
      <c r="B7" t="s">
        <v>175</v>
      </c>
    </row>
    <row r="8" spans="1:18" x14ac:dyDescent="0.25">
      <c r="A8" t="s">
        <v>176</v>
      </c>
      <c r="B8" s="8" t="s">
        <v>177</v>
      </c>
    </row>
    <row r="11" spans="1:18" x14ac:dyDescent="0.25">
      <c r="A11" s="1" t="s">
        <v>178</v>
      </c>
      <c r="K11" s="1" t="s">
        <v>201</v>
      </c>
      <c r="P11" s="1" t="s">
        <v>215</v>
      </c>
    </row>
    <row r="12" spans="1:18" x14ac:dyDescent="0.25">
      <c r="A12" t="s">
        <v>179</v>
      </c>
      <c r="K12" t="s">
        <v>179</v>
      </c>
      <c r="P12" t="s">
        <v>179</v>
      </c>
    </row>
    <row r="13" spans="1:18" x14ac:dyDescent="0.25">
      <c r="A13" t="s">
        <v>181</v>
      </c>
      <c r="B13" t="s">
        <v>182</v>
      </c>
      <c r="C13" t="s">
        <v>183</v>
      </c>
      <c r="K13" t="s">
        <v>204</v>
      </c>
      <c r="L13">
        <v>1.2</v>
      </c>
      <c r="P13" t="s">
        <v>216</v>
      </c>
      <c r="Q13">
        <f>'Calculo tolva romana'!W27/COS('Calculo de esfuerzos tolva'!L14)/100</f>
        <v>0.50011589060535122</v>
      </c>
      <c r="R13" t="s">
        <v>22</v>
      </c>
    </row>
    <row r="14" spans="1:18" x14ac:dyDescent="0.25">
      <c r="A14" t="s">
        <v>180</v>
      </c>
      <c r="B14">
        <v>9.81</v>
      </c>
      <c r="C14" t="s">
        <v>200</v>
      </c>
      <c r="K14" t="s">
        <v>205</v>
      </c>
      <c r="L14">
        <v>0.52400000000000002</v>
      </c>
      <c r="M14" t="s">
        <v>66</v>
      </c>
      <c r="N14" t="s">
        <v>207</v>
      </c>
      <c r="P14" t="s">
        <v>217</v>
      </c>
      <c r="Q14">
        <f>0.1</f>
        <v>0.1</v>
      </c>
      <c r="R14" t="s">
        <v>22</v>
      </c>
    </row>
    <row r="15" spans="1:18" x14ac:dyDescent="0.25">
      <c r="A15" t="s">
        <v>184</v>
      </c>
      <c r="B15">
        <v>529.86</v>
      </c>
      <c r="C15" t="s">
        <v>17</v>
      </c>
      <c r="D15" t="s">
        <v>185</v>
      </c>
      <c r="K15" t="s">
        <v>206</v>
      </c>
      <c r="L15">
        <f>A31/B19</f>
        <v>398.75749863804339</v>
      </c>
      <c r="M15" t="s">
        <v>35</v>
      </c>
      <c r="P15" t="s">
        <v>218</v>
      </c>
      <c r="Q15">
        <f>'Calculo tolva romana'!S27/100</f>
        <v>0.6</v>
      </c>
      <c r="R15" t="s">
        <v>22</v>
      </c>
    </row>
    <row r="16" spans="1:18" x14ac:dyDescent="0.25">
      <c r="A16" t="s">
        <v>186</v>
      </c>
      <c r="B16">
        <f>(58.6/100)^2</f>
        <v>0.34339599999999998</v>
      </c>
      <c r="C16" t="s">
        <v>199</v>
      </c>
      <c r="D16" t="s">
        <v>187</v>
      </c>
      <c r="K16" t="s">
        <v>210</v>
      </c>
      <c r="L16">
        <f>'Calculo tolva romana'!W27/COS('Calculo de esfuerzos tolva'!L14)</f>
        <v>50.011589060535123</v>
      </c>
      <c r="P16" t="s">
        <v>223</v>
      </c>
      <c r="Q16">
        <f>200*1000^3</f>
        <v>200000000000</v>
      </c>
    </row>
    <row r="17" spans="1:17" x14ac:dyDescent="0.25">
      <c r="A17" t="s">
        <v>188</v>
      </c>
      <c r="B17">
        <f>4*58.6/100</f>
        <v>2.3439999999999999</v>
      </c>
      <c r="C17" t="s">
        <v>189</v>
      </c>
      <c r="P17" t="s">
        <v>222</v>
      </c>
      <c r="Q17">
        <v>1</v>
      </c>
    </row>
    <row r="18" spans="1:17" x14ac:dyDescent="0.25">
      <c r="A18" t="s">
        <v>190</v>
      </c>
      <c r="B18">
        <v>0.3</v>
      </c>
      <c r="D18" t="s">
        <v>192</v>
      </c>
      <c r="P18" t="s">
        <v>219</v>
      </c>
    </row>
    <row r="19" spans="1:17" x14ac:dyDescent="0.25">
      <c r="A19" t="s">
        <v>191</v>
      </c>
      <c r="B19">
        <v>0.5</v>
      </c>
      <c r="D19" t="s">
        <v>193</v>
      </c>
      <c r="E19" t="s">
        <v>175</v>
      </c>
      <c r="K19" t="s">
        <v>208</v>
      </c>
      <c r="N19" t="s">
        <v>214</v>
      </c>
      <c r="P19" t="s">
        <v>220</v>
      </c>
      <c r="Q19">
        <f>Q13-(Q15)*(Q15-Q14)/(6*Q14+Q15)</f>
        <v>0.25011589060535128</v>
      </c>
    </row>
    <row r="20" spans="1:17" x14ac:dyDescent="0.25">
      <c r="A20" t="s">
        <v>194</v>
      </c>
      <c r="B20">
        <v>0.08</v>
      </c>
      <c r="C20" t="s">
        <v>3</v>
      </c>
      <c r="K20" t="s">
        <v>209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211</v>
      </c>
      <c r="L21">
        <f>L13*L15*(COS(L14)^2)</f>
        <v>358.71544250401558</v>
      </c>
      <c r="M21" t="s">
        <v>35</v>
      </c>
      <c r="P21" t="s">
        <v>221</v>
      </c>
    </row>
    <row r="22" spans="1:17" x14ac:dyDescent="0.25">
      <c r="K22" t="s">
        <v>212</v>
      </c>
      <c r="L22">
        <f>3*((B16/B17)*(B14*B15*B19)/(SQRT(B18)))*(SIN(L14)^2)</f>
        <v>522.08563773183255</v>
      </c>
      <c r="M22" t="s">
        <v>35</v>
      </c>
      <c r="N22" t="s">
        <v>224</v>
      </c>
      <c r="P22">
        <f>(Q17*PI()^2*Q16)/(12*(1-0.3^3)*N26)</f>
        <v>72784293.430552989</v>
      </c>
    </row>
    <row r="23" spans="1:17" x14ac:dyDescent="0.25">
      <c r="A23" s="1" t="s">
        <v>202</v>
      </c>
      <c r="D23" s="1" t="s">
        <v>203</v>
      </c>
      <c r="K23" t="s">
        <v>213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195</v>
      </c>
      <c r="D24">
        <f>A31*TAN(B18)</f>
        <v>61.675074566203399</v>
      </c>
      <c r="E24" t="s">
        <v>35</v>
      </c>
      <c r="P24" t="s">
        <v>225</v>
      </c>
    </row>
    <row r="25" spans="1:17" x14ac:dyDescent="0.25">
      <c r="A25">
        <f>(B14*B15*B16)/(TAN(B18)*B17)</f>
        <v>2461.7103487256813</v>
      </c>
      <c r="B25" t="s">
        <v>35</v>
      </c>
      <c r="N25" t="s">
        <v>226</v>
      </c>
      <c r="P25">
        <f>Q19/(SQRT(P22))</f>
        <v>2.9317197279207196E-5</v>
      </c>
    </row>
    <row r="26" spans="1:17" x14ac:dyDescent="0.25">
      <c r="N26">
        <f>N23*2</f>
        <v>2322.7260162682473</v>
      </c>
    </row>
    <row r="27" spans="1:17" x14ac:dyDescent="0.25">
      <c r="A27" t="s">
        <v>196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197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198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7" workbookViewId="0">
      <selection activeCell="G26" sqref="G26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9" workbookViewId="0">
      <selection activeCell="G20" sqref="G20"/>
    </sheetView>
  </sheetViews>
  <sheetFormatPr baseColWidth="10" defaultRowHeight="15" x14ac:dyDescent="0.25"/>
  <cols>
    <col min="9" max="9" width="15.140625" customWidth="1"/>
    <col min="10" max="10" width="18" customWidth="1"/>
    <col min="11" max="11" width="20.5703125" customWidth="1"/>
  </cols>
  <sheetData>
    <row r="1" spans="1:12" x14ac:dyDescent="0.25">
      <c r="A1" t="s">
        <v>67</v>
      </c>
    </row>
    <row r="2" spans="1:12" x14ac:dyDescent="0.25">
      <c r="A2" t="s">
        <v>79</v>
      </c>
    </row>
    <row r="3" spans="1:12" x14ac:dyDescent="0.25">
      <c r="A3" t="s">
        <v>68</v>
      </c>
    </row>
    <row r="4" spans="1:12" x14ac:dyDescent="0.25">
      <c r="A4" s="5">
        <v>43433</v>
      </c>
    </row>
    <row r="7" spans="1:12" x14ac:dyDescent="0.25">
      <c r="A7" s="1" t="s">
        <v>61</v>
      </c>
      <c r="H7" s="1" t="s">
        <v>80</v>
      </c>
    </row>
    <row r="8" spans="1:12" x14ac:dyDescent="0.25">
      <c r="A8" t="s">
        <v>69</v>
      </c>
      <c r="H8">
        <v>1</v>
      </c>
      <c r="I8" t="s">
        <v>81</v>
      </c>
    </row>
    <row r="9" spans="1:12" x14ac:dyDescent="0.25">
      <c r="A9">
        <v>1</v>
      </c>
      <c r="B9" t="s">
        <v>70</v>
      </c>
      <c r="I9" s="1" t="s">
        <v>83</v>
      </c>
      <c r="J9">
        <f>B19/B18</f>
        <v>16064.257028112448</v>
      </c>
    </row>
    <row r="10" spans="1:12" x14ac:dyDescent="0.25">
      <c r="A10">
        <v>2</v>
      </c>
      <c r="B10" t="s">
        <v>71</v>
      </c>
      <c r="H10">
        <v>2</v>
      </c>
      <c r="I10" t="s">
        <v>84</v>
      </c>
    </row>
    <row r="11" spans="1:12" x14ac:dyDescent="0.25">
      <c r="A11">
        <v>3</v>
      </c>
      <c r="B11" t="s">
        <v>157</v>
      </c>
      <c r="I11" s="1" t="s">
        <v>83</v>
      </c>
      <c r="J11">
        <f>J9*B20</f>
        <v>19277.108433734938</v>
      </c>
    </row>
    <row r="12" spans="1:12" x14ac:dyDescent="0.25">
      <c r="H12">
        <v>3</v>
      </c>
      <c r="I12" t="s">
        <v>159</v>
      </c>
    </row>
    <row r="13" spans="1:12" x14ac:dyDescent="0.25">
      <c r="I13" t="s">
        <v>45</v>
      </c>
    </row>
    <row r="14" spans="1:12" x14ac:dyDescent="0.25">
      <c r="A14" s="1" t="s">
        <v>73</v>
      </c>
      <c r="I14" t="s">
        <v>160</v>
      </c>
      <c r="J14" t="s">
        <v>88</v>
      </c>
      <c r="K14" t="s">
        <v>89</v>
      </c>
      <c r="L14" t="s">
        <v>90</v>
      </c>
    </row>
    <row r="15" spans="1:12" x14ac:dyDescent="0.25">
      <c r="A15" t="s">
        <v>74</v>
      </c>
      <c r="B15">
        <v>30</v>
      </c>
      <c r="C15" t="s">
        <v>158</v>
      </c>
      <c r="I15" s="6">
        <v>43.975296439663964</v>
      </c>
      <c r="J15" s="6">
        <v>35.884019330087902</v>
      </c>
      <c r="K15" s="6">
        <v>0</v>
      </c>
      <c r="L15" s="6">
        <v>2.54</v>
      </c>
    </row>
    <row r="16" spans="1:12" x14ac:dyDescent="0.25">
      <c r="A16" t="s">
        <v>75</v>
      </c>
      <c r="B16">
        <f>(PI()/180)*B15</f>
        <v>0.52359877559829882</v>
      </c>
      <c r="I16" t="s">
        <v>41</v>
      </c>
    </row>
    <row r="17" spans="1:13" x14ac:dyDescent="0.25">
      <c r="A17" t="s">
        <v>76</v>
      </c>
      <c r="B17">
        <v>2.54</v>
      </c>
      <c r="C17" t="s">
        <v>3</v>
      </c>
      <c r="I17" t="s">
        <v>86</v>
      </c>
      <c r="J17" t="s">
        <v>51</v>
      </c>
      <c r="K17" t="s">
        <v>52</v>
      </c>
      <c r="L17" t="s">
        <v>161</v>
      </c>
      <c r="M17" t="s">
        <v>10</v>
      </c>
    </row>
    <row r="18" spans="1:13" x14ac:dyDescent="0.25">
      <c r="A18" t="s">
        <v>77</v>
      </c>
      <c r="B18">
        <v>1.2450000000000001</v>
      </c>
      <c r="I18">
        <f>J18*K15</f>
        <v>0</v>
      </c>
      <c r="J18">
        <f>(PI()*(I15^2)/4)</f>
        <v>1518.8239361184492</v>
      </c>
      <c r="K18">
        <f>PI()*(L15/2)^2</f>
        <v>5.0670747909749769</v>
      </c>
      <c r="L18">
        <f>(J15/3)*(J18+K18+SQRT(J18*K18))</f>
        <v>19277.108433737867</v>
      </c>
      <c r="M18">
        <f>I18+L18</f>
        <v>19277.108433737867</v>
      </c>
    </row>
    <row r="19" spans="1:13" x14ac:dyDescent="0.25">
      <c r="A19" t="s">
        <v>78</v>
      </c>
      <c r="B19">
        <v>20000</v>
      </c>
      <c r="I19" t="s">
        <v>91</v>
      </c>
    </row>
    <row r="20" spans="1:13" x14ac:dyDescent="0.25">
      <c r="A20" t="s">
        <v>82</v>
      </c>
      <c r="B20">
        <v>1.2</v>
      </c>
      <c r="I20" t="s">
        <v>54</v>
      </c>
      <c r="J20">
        <f>J11-M18</f>
        <v>-2.9285729397088289E-9</v>
      </c>
    </row>
    <row r="21" spans="1:13" x14ac:dyDescent="0.25">
      <c r="A21" t="s">
        <v>150</v>
      </c>
      <c r="B21">
        <v>100</v>
      </c>
    </row>
    <row r="22" spans="1:13" x14ac:dyDescent="0.25">
      <c r="A22" t="s">
        <v>152</v>
      </c>
      <c r="B22">
        <v>50</v>
      </c>
      <c r="I22" t="s">
        <v>93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92</v>
      </c>
    </row>
    <row r="26" spans="1:13" x14ac:dyDescent="0.25">
      <c r="I26" t="s">
        <v>164</v>
      </c>
      <c r="J26">
        <f>J15/COS(B16)</f>
        <v>41.435296439663965</v>
      </c>
    </row>
    <row r="29" spans="1:13" x14ac:dyDescent="0.25">
      <c r="I29" t="s">
        <v>163</v>
      </c>
      <c r="J29">
        <f>PI()*(0.5*I15+0.5*L15)*J26</f>
        <v>3027.5137226549482</v>
      </c>
    </row>
    <row r="30" spans="1:13" x14ac:dyDescent="0.25">
      <c r="I30" t="s">
        <v>162</v>
      </c>
      <c r="J30">
        <f>I15*PI()*K15+J29</f>
        <v>3027.5137226549482</v>
      </c>
    </row>
    <row r="32" spans="1:13" x14ac:dyDescent="0.25">
      <c r="A32" s="1"/>
      <c r="F32" s="1"/>
    </row>
    <row r="33" spans="1:6" x14ac:dyDescent="0.25">
      <c r="F33" s="1"/>
    </row>
    <row r="40" spans="1:6" x14ac:dyDescent="0.25">
      <c r="A4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8" workbookViewId="0">
      <selection activeCell="K21" sqref="K21"/>
    </sheetView>
  </sheetViews>
  <sheetFormatPr baseColWidth="10" defaultRowHeight="15" x14ac:dyDescent="0.25"/>
  <cols>
    <col min="11" max="11" width="17.140625" customWidth="1"/>
  </cols>
  <sheetData>
    <row r="1" spans="1:12" x14ac:dyDescent="0.25">
      <c r="A1" t="s">
        <v>67</v>
      </c>
    </row>
    <row r="2" spans="1:12" x14ac:dyDescent="0.25">
      <c r="A2" t="s">
        <v>79</v>
      </c>
    </row>
    <row r="3" spans="1:12" x14ac:dyDescent="0.25">
      <c r="A3" t="s">
        <v>68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80</v>
      </c>
    </row>
    <row r="8" spans="1:12" x14ac:dyDescent="0.25">
      <c r="A8" t="s">
        <v>69</v>
      </c>
      <c r="H8">
        <v>1</v>
      </c>
      <c r="I8" t="s">
        <v>81</v>
      </c>
    </row>
    <row r="9" spans="1:12" x14ac:dyDescent="0.25">
      <c r="A9">
        <v>1</v>
      </c>
      <c r="B9" t="s">
        <v>70</v>
      </c>
      <c r="I9" s="1" t="s">
        <v>83</v>
      </c>
      <c r="J9">
        <f>B19/B18</f>
        <v>704.22535211267609</v>
      </c>
    </row>
    <row r="10" spans="1:12" x14ac:dyDescent="0.25">
      <c r="A10">
        <v>2</v>
      </c>
      <c r="B10" t="s">
        <v>71</v>
      </c>
      <c r="H10">
        <v>2</v>
      </c>
      <c r="I10" t="s">
        <v>84</v>
      </c>
    </row>
    <row r="11" spans="1:12" x14ac:dyDescent="0.25">
      <c r="A11">
        <v>3</v>
      </c>
      <c r="B11" t="s">
        <v>157</v>
      </c>
      <c r="I11" s="1" t="s">
        <v>83</v>
      </c>
      <c r="J11">
        <f>J9*B20</f>
        <v>1408.4507042253522</v>
      </c>
    </row>
    <row r="12" spans="1:12" x14ac:dyDescent="0.25">
      <c r="H12">
        <v>3</v>
      </c>
      <c r="I12" t="s">
        <v>159</v>
      </c>
    </row>
    <row r="13" spans="1:12" x14ac:dyDescent="0.25">
      <c r="I13" t="s">
        <v>45</v>
      </c>
    </row>
    <row r="14" spans="1:12" x14ac:dyDescent="0.25">
      <c r="A14" s="1" t="s">
        <v>73</v>
      </c>
      <c r="I14" t="s">
        <v>160</v>
      </c>
      <c r="J14" t="s">
        <v>88</v>
      </c>
      <c r="K14" t="s">
        <v>89</v>
      </c>
      <c r="L14" t="s">
        <v>90</v>
      </c>
    </row>
    <row r="15" spans="1:12" x14ac:dyDescent="0.25">
      <c r="A15" t="s">
        <v>74</v>
      </c>
      <c r="B15">
        <v>30</v>
      </c>
      <c r="C15" t="s">
        <v>158</v>
      </c>
      <c r="I15" s="6">
        <v>18.385069549951073</v>
      </c>
      <c r="J15" s="6">
        <v>14.796104255681536</v>
      </c>
      <c r="K15" s="6">
        <v>0</v>
      </c>
      <c r="L15" s="6">
        <f>B17</f>
        <v>1.3</v>
      </c>
    </row>
    <row r="16" spans="1:12" x14ac:dyDescent="0.25">
      <c r="A16" t="s">
        <v>75</v>
      </c>
      <c r="B16">
        <f>(PI()/180)*B15</f>
        <v>0.52359877559829882</v>
      </c>
      <c r="I16" t="s">
        <v>41</v>
      </c>
    </row>
    <row r="17" spans="1:13" x14ac:dyDescent="0.25">
      <c r="A17" t="s">
        <v>76</v>
      </c>
      <c r="B17">
        <v>1.3</v>
      </c>
      <c r="C17" t="s">
        <v>3</v>
      </c>
      <c r="I17" t="s">
        <v>86</v>
      </c>
      <c r="J17" t="s">
        <v>51</v>
      </c>
      <c r="K17" t="s">
        <v>52</v>
      </c>
      <c r="L17" t="s">
        <v>161</v>
      </c>
      <c r="M17" t="s">
        <v>10</v>
      </c>
    </row>
    <row r="18" spans="1:13" x14ac:dyDescent="0.25">
      <c r="A18" t="s">
        <v>77</v>
      </c>
      <c r="B18">
        <v>0.71</v>
      </c>
      <c r="C18" t="s">
        <v>227</v>
      </c>
      <c r="I18">
        <f>J18*K15</f>
        <v>0</v>
      </c>
      <c r="J18">
        <f>(PI()*(I15^2)/4)</f>
        <v>265.47304767135967</v>
      </c>
      <c r="K18">
        <f>PI()*(L15/2)^2</f>
        <v>1.3273228961416876</v>
      </c>
      <c r="L18">
        <f>(J15/3)*(J18+K18+SQRT(J18*K18))</f>
        <v>1408.4502902540867</v>
      </c>
      <c r="M18">
        <f>I18+L18</f>
        <v>1408.4502902540867</v>
      </c>
    </row>
    <row r="19" spans="1:13" x14ac:dyDescent="0.25">
      <c r="A19" t="s">
        <v>78</v>
      </c>
      <c r="B19">
        <f>B21*B22</f>
        <v>500</v>
      </c>
      <c r="I19" t="s">
        <v>91</v>
      </c>
    </row>
    <row r="20" spans="1:13" x14ac:dyDescent="0.25">
      <c r="A20" t="s">
        <v>82</v>
      </c>
      <c r="B20">
        <v>2</v>
      </c>
      <c r="I20" t="s">
        <v>54</v>
      </c>
      <c r="J20">
        <f>J11-M18</f>
        <v>4.1397126551601104E-4</v>
      </c>
    </row>
    <row r="21" spans="1:13" x14ac:dyDescent="0.25">
      <c r="A21" t="s">
        <v>150</v>
      </c>
      <c r="B21">
        <v>10</v>
      </c>
      <c r="C21" t="s">
        <v>227</v>
      </c>
    </row>
    <row r="22" spans="1:13" x14ac:dyDescent="0.25">
      <c r="A22" t="s">
        <v>152</v>
      </c>
      <c r="B22">
        <v>50</v>
      </c>
      <c r="I22" t="s">
        <v>93</v>
      </c>
    </row>
    <row r="23" spans="1:13" x14ac:dyDescent="0.25">
      <c r="I23" t="s">
        <v>54</v>
      </c>
      <c r="J23">
        <f>2*J15*TAN(B16)+L15-I15</f>
        <v>-6.7501559897209518E-14</v>
      </c>
    </row>
    <row r="25" spans="1:13" x14ac:dyDescent="0.25">
      <c r="I25" t="s">
        <v>92</v>
      </c>
    </row>
    <row r="26" spans="1:13" x14ac:dyDescent="0.25">
      <c r="I26" t="s">
        <v>164</v>
      </c>
      <c r="J26">
        <f>J15/COS(B16)</f>
        <v>17.085069549951005</v>
      </c>
    </row>
    <row r="29" spans="1:13" x14ac:dyDescent="0.25">
      <c r="I29" t="s">
        <v>163</v>
      </c>
      <c r="J29">
        <f>PI()*(0.5*I15+0.5*L15)*J26</f>
        <v>528.29144955043387</v>
      </c>
    </row>
    <row r="30" spans="1:13" x14ac:dyDescent="0.25">
      <c r="I30" t="s">
        <v>162</v>
      </c>
      <c r="J30">
        <f>I15*PI()*K15+J29</f>
        <v>528.29144955043387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2019-04-23T03:13:59Z</dcterms:modified>
</cp:coreProperties>
</file>