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1700" firstSheet="3" activeTab="4"/>
  </bookViews>
  <sheets>
    <sheet name="Cálculo contenedor Concentrado" sheetId="1" r:id="rId1"/>
    <sheet name="Cálculo contenedor CC" sheetId="5" r:id="rId2"/>
    <sheet name="Calculo tolva romana" sheetId="3" r:id="rId3"/>
    <sheet name="Calculo de esfuerzos tolva" sheetId="8" r:id="rId4"/>
    <sheet name="Dimensionado tolva mineral" sheetId="6" r:id="rId5"/>
    <sheet name="Dimensionado tolva levadura" sheetId="7" r:id="rId6"/>
    <sheet name="Tolva Levadura Geometria 2" sheetId="9" r:id="rId7"/>
  </sheets>
  <definedNames>
    <definedName name="solver_adj" localSheetId="1" hidden="1">'Cálculo contenedor CC'!$W$15:$Y$15</definedName>
    <definedName name="solver_adj" localSheetId="0" hidden="1">'Cálculo contenedor Concentrado'!$W$17:$Y$17</definedName>
    <definedName name="solver_adj" localSheetId="2" hidden="1">'Calculo tolva romana'!$Q$27,'Calculo tolva romana'!$S$27,'Calculo tolva romana'!$T$27</definedName>
    <definedName name="solver_adj" localSheetId="5" hidden="1">'Dimensionado tolva levadura'!$I$16:$J$16</definedName>
    <definedName name="solver_adj" localSheetId="4" hidden="1">'Dimensionado tolva mineral'!$H$17:$I$17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itr" localSheetId="4" hidden="1">2147483647</definedName>
    <definedName name="solver_lhs1" localSheetId="1" hidden="1">'Cálculo contenedor CC'!$X$20</definedName>
    <definedName name="solver_lhs1" localSheetId="0" hidden="1">'Cálculo contenedor Concentrado'!$X$22</definedName>
    <definedName name="solver_lhs1" localSheetId="2" hidden="1">'Calculo tolva romana'!$Q$27:$U$27</definedName>
    <definedName name="solver_lhs1" localSheetId="5" hidden="1">'Dimensionado tolva levadura'!$J$21</definedName>
    <definedName name="solver_lhs1" localSheetId="4" hidden="1">'Dimensionado tolva mineral'!$I$22</definedName>
    <definedName name="solver_lhs2" localSheetId="1" hidden="1">'Cálculo contenedor CC'!$X$23</definedName>
    <definedName name="solver_lhs2" localSheetId="0" hidden="1">'Cálculo contenedor Concentrado'!$X$25</definedName>
    <definedName name="solver_lhs2" localSheetId="2" hidden="1">'Calculo tolva romana'!$Q$33</definedName>
    <definedName name="solver_lhs2" localSheetId="5" hidden="1">'Dimensionado tolva levadura'!$J$24</definedName>
    <definedName name="solver_lhs2" localSheetId="4" hidden="1">'Dimensionado tolva mineral'!$I$25</definedName>
    <definedName name="solver_lhs3" localSheetId="1" hidden="1">'Cálculo contenedor CC'!$J$23</definedName>
    <definedName name="solver_lhs3" localSheetId="0" hidden="1">'Cálculo contenedor Concentrado'!$X$25</definedName>
    <definedName name="solver_lhs3" localSheetId="2" hidden="1">'Calculo tolva romana'!$S$27</definedName>
    <definedName name="solver_lhs4" localSheetId="1" hidden="1">'Cálculo contenedor CC'!$J$23</definedName>
    <definedName name="solver_lhs4" localSheetId="0" hidden="1">'Cálculo contenedor Concentrado'!$X$25</definedName>
    <definedName name="solver_lhs4" localSheetId="2" hidden="1">'Calculo tolva romana'!$T$27</definedName>
    <definedName name="solver_lhs5" localSheetId="0" hidden="1">'Cálculo contenedor Concentrado'!$X$25</definedName>
    <definedName name="solver_lhs5" localSheetId="2" hidden="1">'Calculo tolva romana'!$D$10</definedName>
    <definedName name="solver_lhs6" localSheetId="2" hidden="1">'Calculo tolva romana'!$G$10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neg" localSheetId="1" hidden="1">2</definedName>
    <definedName name="solver_neg" localSheetId="0" hidden="1">2</definedName>
    <definedName name="solver_neg" localSheetId="2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um" localSheetId="1" hidden="1">2</definedName>
    <definedName name="solver_num" localSheetId="0" hidden="1">2</definedName>
    <definedName name="solver_num" localSheetId="2" hidden="1">4</definedName>
    <definedName name="solver_num" localSheetId="5" hidden="1">2</definedName>
    <definedName name="solver_num" localSheetId="4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opt" localSheetId="1" hidden="1">'Cálculo contenedor CC'!$X$26</definedName>
    <definedName name="solver_opt" localSheetId="0" hidden="1">'Cálculo contenedor Concentrado'!$X$28</definedName>
    <definedName name="solver_opt" localSheetId="2" hidden="1">'Calculo tolva romana'!$Q$30</definedName>
    <definedName name="solver_opt" localSheetId="5" hidden="1">'Dimensionado tolva levadura'!$J$29</definedName>
    <definedName name="solver_opt" localSheetId="4" hidden="1">'Dimensionado tolva mineral'!$I$30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rbv" localSheetId="1" hidden="1">2</definedName>
    <definedName name="solver_rbv" localSheetId="0" hidden="1">2</definedName>
    <definedName name="solver_rbv" localSheetId="2" hidden="1">1</definedName>
    <definedName name="solver_rbv" localSheetId="5" hidden="1">1</definedName>
    <definedName name="solver_rbv" localSheetId="4" hidden="1">1</definedName>
    <definedName name="solver_rel1" localSheetId="1" hidden="1">2</definedName>
    <definedName name="solver_rel1" localSheetId="0" hidden="1">2</definedName>
    <definedName name="solver_rel1" localSheetId="2" hidden="1">3</definedName>
    <definedName name="solver_rel1" localSheetId="5" hidden="1">2</definedName>
    <definedName name="solver_rel1" localSheetId="4" hidden="1">2</definedName>
    <definedName name="solver_rel2" localSheetId="1" hidden="1">2</definedName>
    <definedName name="solver_rel2" localSheetId="0" hidden="1">2</definedName>
    <definedName name="solver_rel2" localSheetId="2" hidden="1">2</definedName>
    <definedName name="solver_rel2" localSheetId="5" hidden="1">2</definedName>
    <definedName name="solver_rel2" localSheetId="4" hidden="1">2</definedName>
    <definedName name="solver_rel3" localSheetId="1" hidden="1">2</definedName>
    <definedName name="solver_rel3" localSheetId="0" hidden="1">2</definedName>
    <definedName name="solver_rel3" localSheetId="2" hidden="1">3</definedName>
    <definedName name="solver_rel4" localSheetId="1" hidden="1">2</definedName>
    <definedName name="solver_rel4" localSheetId="0" hidden="1">2</definedName>
    <definedName name="solver_rel4" localSheetId="2" hidden="1">3</definedName>
    <definedName name="solver_rel5" localSheetId="0" hidden="1">2</definedName>
    <definedName name="solver_rel5" localSheetId="2" hidden="1">3</definedName>
    <definedName name="solver_rel6" localSheetId="2" hidden="1">3</definedName>
    <definedName name="solver_rhs1" localSheetId="1" hidden="1">0</definedName>
    <definedName name="solver_rhs1" localSheetId="0" hidden="1">0</definedName>
    <definedName name="solver_rhs1" localSheetId="2" hidden="1">0</definedName>
    <definedName name="solver_rhs1" localSheetId="5" hidden="1">0</definedName>
    <definedName name="solver_rhs1" localSheetId="4" hidden="1">0</definedName>
    <definedName name="solver_rhs2" localSheetId="1" hidden="1">0</definedName>
    <definedName name="solver_rhs2" localSheetId="0" hidden="1">0</definedName>
    <definedName name="solver_rhs2" localSheetId="2" hidden="1">0</definedName>
    <definedName name="solver_rhs2" localSheetId="5" hidden="1">0</definedName>
    <definedName name="solver_rhs2" localSheetId="4" hidden="1">0</definedName>
    <definedName name="solver_rhs3" localSheetId="1" hidden="1">0</definedName>
    <definedName name="solver_rhs3" localSheetId="0" hidden="1">0</definedName>
    <definedName name="solver_rhs3" localSheetId="2" hidden="1">5</definedName>
    <definedName name="solver_rhs4" localSheetId="1" hidden="1">0</definedName>
    <definedName name="solver_rhs4" localSheetId="0" hidden="1">0</definedName>
    <definedName name="solver_rhs4" localSheetId="2" hidden="1">5</definedName>
    <definedName name="solver_rhs5" localSheetId="0" hidden="1">0</definedName>
    <definedName name="solver_rhs5" localSheetId="2" hidden="1">0</definedName>
    <definedName name="solver_rhs6" localSheetId="2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0" hidden="1">0</definedName>
    <definedName name="solver_val" localSheetId="2" hidden="1">15000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5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9" l="1"/>
  <c r="J10" i="9" s="1"/>
  <c r="J12" i="9" s="1"/>
  <c r="J19" i="9"/>
  <c r="I19" i="9" s="1"/>
  <c r="B17" i="9"/>
  <c r="J27" i="9" s="1"/>
  <c r="J28" i="9" s="1"/>
  <c r="J29" i="9" s="1"/>
  <c r="L16" i="9"/>
  <c r="K19" i="9" s="1"/>
  <c r="L19" i="9" l="1"/>
  <c r="M19" i="9" s="1"/>
  <c r="J21" i="9" s="1"/>
  <c r="J24" i="9"/>
  <c r="G25" i="8"/>
  <c r="B18" i="8" l="1"/>
  <c r="B16" i="8"/>
  <c r="L21" i="8" s="1"/>
  <c r="B17" i="8"/>
  <c r="B15" i="8"/>
  <c r="H13" i="8" s="1"/>
  <c r="H15" i="8" s="1"/>
  <c r="B26" i="8"/>
  <c r="G21" i="8" l="1"/>
  <c r="M13" i="8"/>
  <c r="M15" i="8" s="1"/>
  <c r="B25" i="8" s="1"/>
  <c r="L20" i="8" s="1"/>
  <c r="L22" i="8" s="1"/>
  <c r="A58" i="8"/>
  <c r="A55" i="8"/>
  <c r="X25" i="1"/>
  <c r="L19" i="8" l="1"/>
  <c r="B24" i="8"/>
  <c r="A61" i="8"/>
  <c r="X11" i="1"/>
  <c r="X13" i="1" s="1"/>
  <c r="G19" i="8" l="1"/>
  <c r="G22" i="8" s="1"/>
  <c r="G26" i="8" s="1"/>
  <c r="G20" i="8"/>
  <c r="D53" i="8"/>
  <c r="A62" i="8"/>
  <c r="J10" i="7"/>
  <c r="O30" i="3"/>
  <c r="O29" i="3"/>
  <c r="O28" i="3"/>
  <c r="V27" i="3"/>
  <c r="B20" i="7" l="1"/>
  <c r="J12" i="7" s="1"/>
  <c r="I11" i="6" l="1"/>
  <c r="J20" i="6"/>
  <c r="I20" i="6"/>
  <c r="B17" i="6"/>
  <c r="I25" i="6" l="1"/>
  <c r="I28" i="6"/>
  <c r="I29" i="6" s="1"/>
  <c r="I30" i="6" s="1"/>
  <c r="K20" i="6"/>
  <c r="W20" i="1" l="1"/>
  <c r="B17" i="7" l="1"/>
  <c r="J27" i="7" s="1"/>
  <c r="X18" i="5"/>
  <c r="X9" i="5"/>
  <c r="X11" i="5" s="1"/>
  <c r="W18" i="5"/>
  <c r="P16" i="5"/>
  <c r="Z15" i="5"/>
  <c r="X26" i="5" s="1"/>
  <c r="Y20" i="1"/>
  <c r="X20" i="1"/>
  <c r="P18" i="1"/>
  <c r="L16" i="7"/>
  <c r="K19" i="7" s="1"/>
  <c r="J19" i="7"/>
  <c r="H20" i="6"/>
  <c r="L20" i="6" s="1"/>
  <c r="I13" i="6"/>
  <c r="Z20" i="1" l="1"/>
  <c r="AA20" i="1" s="1"/>
  <c r="X22" i="1" s="1"/>
  <c r="X28" i="1"/>
  <c r="X23" i="5"/>
  <c r="Y18" i="5"/>
  <c r="Z18" i="5" s="1"/>
  <c r="AA18" i="5" s="1"/>
  <c r="X20" i="5" s="1"/>
  <c r="J28" i="7"/>
  <c r="J29" i="7" s="1"/>
  <c r="L19" i="7"/>
  <c r="I19" i="7"/>
  <c r="J24" i="7"/>
  <c r="I22" i="6"/>
  <c r="M19" i="7" l="1"/>
  <c r="J21" i="7" s="1"/>
  <c r="L15" i="5" l="1"/>
  <c r="B21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11" i="1"/>
  <c r="J26" i="5" l="1"/>
  <c r="L18" i="5"/>
  <c r="M18" i="5" s="1"/>
  <c r="H45" i="5"/>
  <c r="I45" i="5" s="1"/>
  <c r="W27" i="3"/>
  <c r="M26" i="3"/>
  <c r="U27" i="3" s="1"/>
  <c r="G13" i="3"/>
  <c r="M24" i="3"/>
  <c r="N30" i="3" s="1"/>
  <c r="M29" i="3" l="1"/>
  <c r="M30" i="3" s="1"/>
  <c r="M31" i="3" s="1"/>
  <c r="Q30" i="3"/>
  <c r="K20" i="1" l="1"/>
  <c r="J20" i="1"/>
  <c r="I20" i="1"/>
  <c r="J13" i="1"/>
  <c r="O31" i="3" l="1"/>
  <c r="Q33" i="3" s="1"/>
  <c r="L20" i="1"/>
  <c r="M20" i="1" s="1"/>
  <c r="J22" i="1" s="1"/>
  <c r="B18" i="1" l="1"/>
  <c r="A41" i="1"/>
  <c r="A47" i="1"/>
  <c r="J28" i="1" l="1"/>
  <c r="J25" i="1"/>
  <c r="A33" i="3"/>
  <c r="B37" i="3"/>
  <c r="E26" i="3"/>
  <c r="H17" i="3"/>
  <c r="H14" i="3"/>
  <c r="B21" i="3"/>
  <c r="B17" i="3"/>
  <c r="C13" i="3"/>
  <c r="B13" i="3"/>
  <c r="A13" i="3"/>
  <c r="B34" i="3" l="1"/>
  <c r="D13" i="3"/>
  <c r="B14" i="3" s="1"/>
  <c r="F45" i="1" l="1"/>
  <c r="F47" i="1" l="1"/>
  <c r="F41" i="1"/>
  <c r="B47" i="1"/>
  <c r="C47" i="1" s="1"/>
  <c r="G47" i="1" l="1"/>
  <c r="H47" i="1" s="1"/>
  <c r="I47" i="1" s="1"/>
  <c r="D47" i="1"/>
  <c r="J9" i="5" l="1"/>
  <c r="J11" i="5" s="1"/>
  <c r="J20" i="5" s="1"/>
</calcChain>
</file>

<file path=xl/sharedStrings.xml><?xml version="1.0" encoding="utf-8"?>
<sst xmlns="http://schemas.openxmlformats.org/spreadsheetml/2006/main" count="581" uniqueCount="213">
  <si>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</si>
  <si>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</si>
  <si>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</si>
  <si>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</si>
  <si>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</si>
  <si>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</si>
  <si>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</si>
  <si>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</si>
  <si>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</si>
  <si>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</si>
  <si>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</si>
  <si>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</si>
  <si>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</si>
  <si>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</si>
  <si>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kg/m3</t>
  </si>
  <si>
    <t>m</t>
  </si>
  <si>
    <t>Total</t>
  </si>
  <si>
    <t>Pa</t>
  </si>
  <si>
    <t>Razon aurea</t>
  </si>
  <si>
    <t>Determinación de volumen de la tolva romana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</si>
  <si>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</si>
  <si>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</si>
  <si>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</si>
  <si>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</si>
  <si>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</si>
  <si>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</si>
  <si>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</si>
  <si>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</si>
  <si>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</si>
  <si>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</si>
  <si>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</si>
  <si>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</si>
  <si>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</si>
  <si>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</si>
  <si>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Concentrado</t>
  </si>
  <si>
    <t>CitroCon</t>
  </si>
  <si>
    <t>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</si>
  <si>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</si>
  <si>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</si>
  <si>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</si>
  <si>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</si>
  <si>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</si>
  <si>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</si>
  <si>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</si>
  <si>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</si>
  <si>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</si>
  <si>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</si>
  <si>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</si>
  <si>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</si>
  <si>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</si>
  <si>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</si>
  <si>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</si>
  <si>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</si>
  <si>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</si>
  <si>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</si>
  <si>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</si>
  <si>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</si>
  <si>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</si>
  <si>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</si>
  <si>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</si>
  <si>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</si>
  <si>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</si>
  <si>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</si>
  <si>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</si>
  <si>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</si>
  <si>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</si>
  <si>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</si>
  <si>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2. Debe alojar 4 celdas de carga</t>
  </si>
  <si>
    <t>5. El actuador debe estar a 90°</t>
  </si>
  <si>
    <t>6. Debe ser simétrico.</t>
  </si>
  <si>
    <t>7. La apertura debe ser de 10 cm. Para entrar en un tubo de 5 in sanitario.</t>
  </si>
  <si>
    <t>b (cm)</t>
  </si>
  <si>
    <t>c (cm)</t>
  </si>
  <si>
    <t>a (cm)</t>
  </si>
  <si>
    <t>Masa (g)</t>
  </si>
  <si>
    <t>Paso 1</t>
  </si>
  <si>
    <t>Relación (con./adic.)</t>
  </si>
  <si>
    <t>Conc.</t>
  </si>
  <si>
    <t>Adic.</t>
  </si>
  <si>
    <t>Densidad (g/cm3)</t>
  </si>
  <si>
    <t>Paso 2</t>
  </si>
  <si>
    <t xml:space="preserve"> </t>
  </si>
  <si>
    <t>Determinar los parámetros de diseño.</t>
  </si>
  <si>
    <t>Determinar las ecuaciones de diseño</t>
  </si>
  <si>
    <t>d (cm)</t>
  </si>
  <si>
    <t>Convertir el ángulo a radianes</t>
  </si>
  <si>
    <t>h (cm)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</si>
  <si>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</si>
  <si>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</si>
  <si>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</si>
  <si>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</si>
  <si>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</si>
  <si>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</si>
  <si>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8. El factor de seguridad es de 1,5</t>
  </si>
  <si>
    <t>Volumen de diseño</t>
  </si>
  <si>
    <t>Se eligió utilizar tolvas con forma circular en acero inoxidable</t>
  </si>
  <si>
    <t>Realizar todo el proceso de cálculo tolva contenedora en este caso será una tolva cónica</t>
  </si>
  <si>
    <t>Esta nueva versión se realizó con las nuevas especificaciones dadas</t>
  </si>
  <si>
    <t>F.S.</t>
  </si>
  <si>
    <t>http://www.dietmar-schulze.de/spanne.html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</si>
  <si>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</si>
  <si>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</si>
  <si>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</si>
  <si>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</si>
  <si>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</si>
  <si>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</si>
  <si>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</si>
  <si>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</si>
  <si>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Primero se diseñó por volumen y luego se verificó.</t>
  </si>
  <si>
    <t>lambda</t>
  </si>
  <si>
    <t>http://citeseerx.ist.psu.edu/viewdoc/download?doi=10.1.1.1033.4612&amp;rep=rep1&amp;type=pdf</t>
  </si>
  <si>
    <t>z</t>
  </si>
  <si>
    <t>1 Calcular factores</t>
  </si>
  <si>
    <t>Calcular exponencial</t>
  </si>
  <si>
    <t>Calcular esfuerzo</t>
  </si>
  <si>
    <t>m2</t>
  </si>
  <si>
    <t>Cálculo de esfuerzo horizontal</t>
  </si>
  <si>
    <t>Calculo esfuerzo cortante</t>
  </si>
  <si>
    <t>Cb</t>
  </si>
  <si>
    <t>alfa</t>
  </si>
  <si>
    <t>L</t>
  </si>
  <si>
    <t>Control de cambios</t>
  </si>
  <si>
    <t>Hoja de excel utilizada para calcular los tamaños de las tolvas contenedoras de alimento</t>
  </si>
  <si>
    <t>Estudiante</t>
  </si>
  <si>
    <t>Nueva versión con requerimientos nuevos para el concentrado</t>
  </si>
  <si>
    <t>Se realizó una revisión de los requerimientos para la tesis de graduación. Se adjunta la foto de la pizarra en el cual se tomó el diseño de esta tolva</t>
  </si>
  <si>
    <t>La cantidad de material debe minizarse.</t>
  </si>
  <si>
    <t>Área Mayor</t>
  </si>
  <si>
    <t>Área Menor</t>
  </si>
  <si>
    <t>La cantidad de material debe minimizarse.</t>
  </si>
  <si>
    <t>(a) Lado Mayor (cm)</t>
  </si>
  <si>
    <t>(b) Altura del cono (cm)</t>
  </si>
  <si>
    <t>© Altura del prisma (cm)</t>
  </si>
  <si>
    <t>(d) Apertura de salida (cm)</t>
  </si>
  <si>
    <t>Volumen pirámide (cm3)</t>
  </si>
  <si>
    <t>Volumen total (cm3)</t>
  </si>
  <si>
    <t>Área Menor (cm3)</t>
  </si>
  <si>
    <t>Área Mayor (cm3)</t>
  </si>
  <si>
    <t>Volumen prisma (cm3)</t>
  </si>
  <si>
    <t>Objetivo (cm3)</t>
  </si>
  <si>
    <t>Objetivo (cm)</t>
  </si>
  <si>
    <t>Objetivo (cm2)</t>
  </si>
  <si>
    <t>Estos son 11 quintales</t>
  </si>
  <si>
    <t>Notas:</t>
  </si>
  <si>
    <t>El cálculo se realizó con la densidad más pequeña encontrada del material</t>
  </si>
  <si>
    <t>Se realizaron los cálculos para el diseño de la tolva</t>
  </si>
  <si>
    <t>El diseño fue verificado mediante simulaciones</t>
  </si>
  <si>
    <t>Especificaciones de diseño</t>
  </si>
  <si>
    <t>Área Menor (cm2)</t>
  </si>
  <si>
    <t>Área mayor (cm2)</t>
  </si>
  <si>
    <t>1. La tolva tiene que sostener hasta 15 kg.</t>
  </si>
  <si>
    <t>3. Debe minimizar la cantidad de material necesario.</t>
  </si>
  <si>
    <t>Determinar el volumen máximo y la masa de cada uno de los alimentos.</t>
  </si>
  <si>
    <t>Se tomó la menor densidad de las densidades proporcionadas por dos pinos.</t>
  </si>
  <si>
    <t>Se tomó la menor densidad de las proporcionadas por el Ing. Evelio</t>
  </si>
  <si>
    <t>Parámetros  a encontrar</t>
  </si>
  <si>
    <t>Parámetros de entrada</t>
  </si>
  <si>
    <t>Volúmenes requeridos</t>
  </si>
  <si>
    <t>Ángulo vertical (°)</t>
  </si>
  <si>
    <t>Ángulo vertical (rad)</t>
  </si>
  <si>
    <t>MEMORIA DE CÁLCULO TOLVA ROMANA</t>
  </si>
  <si>
    <t>MEMORIA DE CÁLCULO CONTENEDOR MINERAL</t>
  </si>
  <si>
    <t>Se realizaron los cálculos para el diseño de este contenedor</t>
  </si>
  <si>
    <t>Se realizó una verificación de los cálculo y se organizó la hoja de Excel</t>
  </si>
  <si>
    <t>La densidad obtenida experimentalmente fue tomada para el cálculo.</t>
  </si>
  <si>
    <t>(a) Diámetro mayor (cm)</t>
  </si>
  <si>
    <t>Volumen cono (cm3)</t>
  </si>
  <si>
    <t>Mantener el ángulo deseado</t>
  </si>
  <si>
    <t>Área cónica</t>
  </si>
  <si>
    <t>Área total</t>
  </si>
  <si>
    <t>Medido respecto a la vertical</t>
  </si>
  <si>
    <t>Generatriz (cm)</t>
  </si>
  <si>
    <t>MEMORIA DE CÁLCULO CONTENEDOR LEVADURA</t>
  </si>
  <si>
    <t>Encontrar las medidas de las tolvas</t>
  </si>
  <si>
    <t>Área cónica (cm2)</t>
  </si>
  <si>
    <t>Área total (cm3)</t>
  </si>
  <si>
    <t>MEMORIA DE CÁLCULO ESFUERZOS TOLVA ROMANA</t>
  </si>
  <si>
    <t>Se revisaron los cálculos además de ordenar la memoria de cálculo.</t>
  </si>
  <si>
    <t>Se realizaron los cálculos de los esfuerzos.</t>
  </si>
  <si>
    <t>Se utilizaron las siguientes referencias</t>
  </si>
  <si>
    <t>MPa</t>
  </si>
  <si>
    <t>Se utilizó el promedio mayor de los datos de Dos Pinos</t>
  </si>
  <si>
    <t>Asumido http://www.dietmar-schulze.de/spanne.html</t>
  </si>
  <si>
    <t>Esfuerzo vertical</t>
  </si>
  <si>
    <t>No</t>
  </si>
  <si>
    <t>Exponencial</t>
  </si>
  <si>
    <t>Factor</t>
  </si>
  <si>
    <t>Esfuerzo</t>
  </si>
  <si>
    <t xml:space="preserve">Presiones </t>
  </si>
  <si>
    <t>P1</t>
  </si>
  <si>
    <t>P2</t>
  </si>
  <si>
    <t>P3</t>
  </si>
  <si>
    <t>Pnormal</t>
  </si>
  <si>
    <t>m/s2</t>
  </si>
  <si>
    <t>Coeficiente de fricción</t>
  </si>
  <si>
    <t>Área mayor</t>
  </si>
  <si>
    <t>Área menor</t>
  </si>
  <si>
    <t>Perímetro mayor</t>
  </si>
  <si>
    <t>Perímetro menor</t>
  </si>
  <si>
    <t>Esfuerzo en transición zona A y B</t>
  </si>
  <si>
    <t>Esfuerzo en transición zona B y C</t>
  </si>
  <si>
    <t>pv0 A-B</t>
  </si>
  <si>
    <t>pv0 B-C</t>
  </si>
  <si>
    <t>Parte B: Cálculo de presión vertical A-B</t>
  </si>
  <si>
    <t>Parte B: Cálculo de presión vertical B-C</t>
  </si>
  <si>
    <t>Determinación del espesor del material</t>
  </si>
  <si>
    <t>B equivalente</t>
  </si>
  <si>
    <t>Tr</t>
  </si>
  <si>
    <t>Modulo elástico acero</t>
  </si>
  <si>
    <t>G Pa</t>
  </si>
  <si>
    <t>mm</t>
  </si>
  <si>
    <t>Se realizó una experimentación con tolvas diferentes medidas</t>
  </si>
  <si>
    <t>Calcular las medidas de la tolva con la nueva especificación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</si>
</sst>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E+00"/>
    <numFmt numFmtId="166" formatCode="0.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2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0" fontId="0" fillId="0" borderId="8" xfId="0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wrapText="1"/>
    </xf>
    <xf numFmtId="2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/>
    <xf numFmtId="0" fontId="3" fillId="0" borderId="4" xfId="0" applyFont="1" applyBorder="1" applyAlignment="1">
      <alignment wrapText="1"/>
    </xf>
    <xf numFmtId="2" fontId="4" fillId="0" borderId="4" xfId="0" applyNumberFormat="1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0" xfId="0" applyBorder="1"/>
    <xf numFmtId="0" fontId="1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2" fontId="0" fillId="2" borderId="1" xfId="0" applyNumberFormat="1" applyFill="1" applyBorder="1"/>
    <xf numFmtId="0" fontId="0" fillId="0" borderId="4" xfId="0" applyBorder="1"/>
    <xf numFmtId="164" fontId="0" fillId="0" borderId="1" xfId="0" applyNumberFormat="1" applyBorder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2" fontId="1" fillId="0" borderId="1" xfId="0" applyNumberFormat="1" applyFont="1" applyBorder="1"/>
    <xf numFmtId="0" fontId="5" fillId="0" borderId="0" xfId="0" applyFont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1" xfId="0" applyFont="1" applyFill="1" applyBorder="1"/>
    <xf numFmtId="0" fontId="6" fillId="3" borderId="1" xfId="2" applyBorder="1"/>
    <xf numFmtId="2" fontId="6" fillId="3" borderId="1" xfId="2" applyNumberFormat="1" applyBorder="1"/>
    <xf numFmtId="0" fontId="0" fillId="0" borderId="1" xfId="0" applyFill="1" applyBorder="1"/>
    <xf numFmtId="2" fontId="0" fillId="0" borderId="1" xfId="0" applyNumberFormat="1" applyFont="1" applyBorder="1"/>
    <xf numFmtId="166" fontId="0" fillId="0" borderId="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14" fontId="4" fillId="0" borderId="10" xfId="0" applyNumberFormat="1" applyFont="1" applyBorder="1" applyAlignment="1">
      <alignment horizontal="left" vertical="top"/>
    </xf>
    <xf numFmtId="14" fontId="4" fillId="0" borderId="9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/>
    <xf numFmtId="0" fontId="1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Font="1" applyBorder="1" applyAlignme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3">
    <cellStyle name="Hipervínculo" xfId="1" builtinId="8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676275</xdr:colOff>
      <xdr:row>15</xdr:row>
      <xdr:rowOff>9526</xdr:rowOff>
    </xdr:from>
    <xdr:to>
      <xdr:col>21</xdr:col>
      <xdr:colOff>123825</xdr:colOff>
      <xdr:row>23</xdr:row>
      <xdr:rowOff>234222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2800351"/>
          <a:ext cx="1400175" cy="2739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31</xdr:row>
      <xdr:rowOff>0</xdr:rowOff>
    </xdr:from>
    <xdr:to>
      <xdr:col>33</xdr:col>
      <xdr:colOff>304800</xdr:colOff>
      <xdr:row>60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8675" y="5905500"/>
          <a:ext cx="10058400" cy="5657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390525</xdr:colOff>
      <xdr:row>9</xdr:row>
      <xdr:rowOff>66676</xdr:rowOff>
    </xdr:from>
    <xdr:to>
      <xdr:col>16</xdr:col>
      <xdr:colOff>521242</xdr:colOff>
      <xdr:row>22</xdr:row>
      <xdr:rowOff>28576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5" y="1990726"/>
          <a:ext cx="1654717" cy="3219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16</xdr:row>
      <xdr:rowOff>95250</xdr:rowOff>
    </xdr:from>
    <xdr:to>
      <xdr:col>9</xdr:col>
      <xdr:colOff>657225</xdr:colOff>
      <xdr:row>24</xdr:row>
      <xdr:rowOff>31379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3333750"/>
          <a:ext cx="1285875" cy="1460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12</xdr:row>
      <xdr:rowOff>190499</xdr:rowOff>
    </xdr:from>
    <xdr:to>
      <xdr:col>6</xdr:col>
      <xdr:colOff>571499</xdr:colOff>
      <xdr:row>27</xdr:row>
      <xdr:rowOff>50225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2666999"/>
          <a:ext cx="1866899" cy="31268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733425</xdr:colOff>
      <xdr:row>14</xdr:row>
      <xdr:rowOff>238125</xdr:rowOff>
    </xdr:from>
    <xdr:to>
      <xdr:col>7</xdr:col>
      <xdr:colOff>314324</xdr:colOff>
      <xdr:row>29</xdr:row>
      <xdr:rowOff>78801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3286125"/>
          <a:ext cx="1866899" cy="31268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733425</xdr:colOff>
      <xdr:row>14</xdr:row>
      <xdr:rowOff>238125</xdr:rowOff>
    </xdr:from>
    <xdr:to>
      <xdr:col>7</xdr:col>
      <xdr:colOff>314324</xdr:colOff>
      <xdr:row>31</xdr:row>
      <xdr:rowOff>78801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905125"/>
          <a:ext cx="1866899" cy="312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citeseerx.ist.psu.edu/viewdoc/download?doi=10.1.1.1033.4612&amp;rep=rep1&amp;type=pdf" TargetMode="External"/><Relationship Id="rId1" Type="http://schemas.openxmlformats.org/officeDocument/2006/relationships/hyperlink" Target="http://fgg-web.fgg.uni-lj.si/~/pmoze/esdep/master/wg15c/l0200.ht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7"/>
  <sheetViews>
    <sheetView topLeftCell="N1" zoomScaleNormal="100" workbookViewId="0">
      <selection activeCell="AE18" sqref="AE18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1.85546875" customWidth="1"/>
    <col min="16" max="16" width="9.140625" customWidth="1"/>
    <col min="17" max="17" width="10.5703125" customWidth="1"/>
    <col min="18" max="18" width="14.85546875" customWidth="1"/>
    <col min="20" max="20" width="3.28515625" customWidth="1"/>
    <col min="21" max="21" width="2" customWidth="1"/>
    <col min="23" max="23" width="11.85546875" customWidth="1"/>
    <col min="24" max="24" width="10.140625" customWidth="1"/>
    <col min="25" max="25" width="9.85546875" customWidth="1"/>
    <col min="26" max="26" width="11.42578125" customWidth="1"/>
    <col min="27" max="27" width="13.7109375" customWidth="1"/>
  </cols>
  <sheetData>
    <row r="1" spans="1:31" x14ac:dyDescent="0.25">
      <c r="A1" t="s">
        <v>40</v>
      </c>
      <c r="O1" s="67" t="s">
        <v>122</v>
      </c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12"/>
      <c r="AB1" s="12"/>
      <c r="AC1" s="12"/>
      <c r="AD1" s="12"/>
      <c r="AE1" s="12"/>
    </row>
    <row r="2" spans="1:31" x14ac:dyDescent="0.25">
      <c r="A2" t="s">
        <v>52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x14ac:dyDescent="0.25">
      <c r="A3" t="s">
        <v>41</v>
      </c>
      <c r="O3" s="21" t="s">
        <v>123</v>
      </c>
      <c r="P3" s="71" t="s">
        <v>41</v>
      </c>
      <c r="Q3" s="72"/>
      <c r="R3" s="72"/>
      <c r="S3" s="72"/>
      <c r="T3" s="72"/>
      <c r="U3" s="72"/>
      <c r="V3" s="72"/>
      <c r="W3" s="72"/>
      <c r="X3" s="72"/>
      <c r="Y3" s="72"/>
      <c r="Z3" s="73"/>
      <c r="AA3" s="11"/>
      <c r="AB3" s="11"/>
      <c r="AC3" s="11"/>
      <c r="AD3" s="11"/>
      <c r="AE3" s="11"/>
    </row>
    <row r="4" spans="1:31" ht="11.25" customHeight="1" x14ac:dyDescent="0.25">
      <c r="A4" s="2">
        <v>43388</v>
      </c>
      <c r="O4" s="74" t="s">
        <v>121</v>
      </c>
      <c r="P4" s="19">
        <v>43433</v>
      </c>
      <c r="Q4" s="14" t="s">
        <v>124</v>
      </c>
      <c r="R4" s="14"/>
      <c r="S4" s="14"/>
      <c r="T4" s="14"/>
      <c r="U4" s="14"/>
      <c r="V4" s="14"/>
      <c r="W4" s="14"/>
      <c r="X4" s="14"/>
      <c r="Y4" s="14"/>
      <c r="Z4" s="14"/>
      <c r="AA4" s="11"/>
      <c r="AB4" s="11"/>
      <c r="AC4" s="11"/>
      <c r="AD4" s="11"/>
      <c r="AE4" s="11"/>
    </row>
    <row r="5" spans="1:31" ht="11.25" customHeight="1" x14ac:dyDescent="0.25">
      <c r="A5" s="2"/>
      <c r="O5" s="74"/>
      <c r="P5" s="69">
        <v>43503</v>
      </c>
      <c r="Q5" s="68" t="s">
        <v>125</v>
      </c>
      <c r="R5" s="68"/>
      <c r="S5" s="68"/>
      <c r="T5" s="68"/>
      <c r="U5" s="68"/>
      <c r="V5" s="68"/>
      <c r="W5" s="68"/>
      <c r="X5" s="68"/>
      <c r="Y5" s="68"/>
      <c r="Z5" s="68"/>
      <c r="AA5" s="11"/>
      <c r="AB5" s="11"/>
      <c r="AC5" s="11"/>
      <c r="AD5" s="11"/>
      <c r="AE5" s="11"/>
    </row>
    <row r="6" spans="1:31" ht="17.25" customHeight="1" x14ac:dyDescent="0.25">
      <c r="O6" s="74"/>
      <c r="P6" s="70"/>
      <c r="Q6" s="68"/>
      <c r="R6" s="68"/>
      <c r="S6" s="68"/>
      <c r="T6" s="68"/>
      <c r="U6" s="68"/>
      <c r="V6" s="68"/>
      <c r="W6" s="68"/>
      <c r="X6" s="68"/>
      <c r="Y6" s="68"/>
      <c r="Z6" s="68"/>
      <c r="AC6" s="11"/>
      <c r="AD6" s="11"/>
      <c r="AE6" s="11"/>
    </row>
    <row r="7" spans="1:31" x14ac:dyDescent="0.25">
      <c r="O7" s="20" t="s">
        <v>143</v>
      </c>
      <c r="P7" s="14" t="s">
        <v>144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1"/>
      <c r="AB7" s="11"/>
      <c r="AC7" s="11"/>
      <c r="AD7" s="11"/>
      <c r="AE7" s="11"/>
    </row>
    <row r="8" spans="1:31" x14ac:dyDescent="0.25"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x14ac:dyDescent="0.25">
      <c r="A9" s="1" t="s">
        <v>34</v>
      </c>
      <c r="H9" s="1" t="s">
        <v>53</v>
      </c>
      <c r="O9" s="60" t="s">
        <v>34</v>
      </c>
      <c r="P9" s="60"/>
      <c r="Q9" s="60"/>
      <c r="R9" s="60"/>
      <c r="S9" s="60"/>
      <c r="T9" s="60"/>
      <c r="U9" s="60"/>
      <c r="W9" s="62" t="s">
        <v>53</v>
      </c>
      <c r="X9" s="62"/>
      <c r="Y9" s="62"/>
      <c r="Z9" s="62"/>
      <c r="AA9" s="11"/>
      <c r="AB9" s="11"/>
      <c r="AC9" s="11"/>
      <c r="AD9" s="11"/>
      <c r="AE9" s="11"/>
    </row>
    <row r="10" spans="1:31" x14ac:dyDescent="0.25">
      <c r="A10" t="s">
        <v>42</v>
      </c>
      <c r="H10">
        <v>1</v>
      </c>
      <c r="I10" t="s">
        <v>54</v>
      </c>
      <c r="O10" s="14" t="s">
        <v>42</v>
      </c>
      <c r="P10" s="14"/>
      <c r="Q10" s="14"/>
      <c r="R10" s="14"/>
      <c r="S10" s="14"/>
      <c r="T10" s="65"/>
      <c r="U10" s="66"/>
      <c r="V10" s="13">
        <v>1</v>
      </c>
      <c r="W10" s="61" t="s">
        <v>54</v>
      </c>
      <c r="X10" s="61"/>
      <c r="Y10" s="61"/>
      <c r="Z10" s="61"/>
      <c r="AA10" s="11"/>
      <c r="AB10" s="11"/>
      <c r="AC10" s="11"/>
      <c r="AD10" s="11"/>
      <c r="AE10" s="11"/>
    </row>
    <row r="11" spans="1:31" x14ac:dyDescent="0.25">
      <c r="A11">
        <v>1</v>
      </c>
      <c r="B11" t="s">
        <v>43</v>
      </c>
      <c r="I11" s="1" t="s">
        <v>56</v>
      </c>
      <c r="J11">
        <f>B21/B20</f>
        <v>681818.18181818177</v>
      </c>
      <c r="O11" s="14">
        <v>1</v>
      </c>
      <c r="P11" s="75" t="s">
        <v>43</v>
      </c>
      <c r="Q11" s="75"/>
      <c r="R11" s="75"/>
      <c r="S11" s="75"/>
      <c r="T11" s="75"/>
      <c r="U11" s="75"/>
      <c r="V11" s="11"/>
      <c r="W11" s="20" t="s">
        <v>56</v>
      </c>
      <c r="X11" s="14">
        <f>P21/P20</f>
        <v>224136.36363636365</v>
      </c>
      <c r="Y11" s="14"/>
      <c r="Z11" s="14"/>
      <c r="AA11" s="11"/>
      <c r="AB11" s="11"/>
      <c r="AC11" s="11"/>
      <c r="AD11" s="11"/>
      <c r="AE11" s="11"/>
    </row>
    <row r="12" spans="1:31" x14ac:dyDescent="0.25">
      <c r="A12">
        <v>2</v>
      </c>
      <c r="B12" t="s">
        <v>126</v>
      </c>
      <c r="H12">
        <v>2</v>
      </c>
      <c r="I12" t="s">
        <v>57</v>
      </c>
      <c r="O12" s="14">
        <v>2</v>
      </c>
      <c r="P12" s="75" t="s">
        <v>129</v>
      </c>
      <c r="Q12" s="75"/>
      <c r="R12" s="75"/>
      <c r="S12" s="75"/>
      <c r="T12" s="75"/>
      <c r="U12" s="75"/>
      <c r="V12" s="13">
        <v>2</v>
      </c>
      <c r="W12" s="61" t="s">
        <v>57</v>
      </c>
      <c r="X12" s="61"/>
      <c r="Y12" s="61"/>
      <c r="Z12" s="61"/>
      <c r="AA12" s="11"/>
      <c r="AB12" s="11"/>
      <c r="AC12" s="11"/>
      <c r="AD12" s="11"/>
      <c r="AE12" s="11"/>
    </row>
    <row r="13" spans="1:31" x14ac:dyDescent="0.25">
      <c r="A13">
        <v>3</v>
      </c>
      <c r="B13" t="s">
        <v>45</v>
      </c>
      <c r="I13" s="1" t="s">
        <v>56</v>
      </c>
      <c r="J13">
        <f>J11*B22</f>
        <v>886363.63636363635</v>
      </c>
      <c r="O13" s="14">
        <v>3</v>
      </c>
      <c r="P13" s="75" t="s">
        <v>45</v>
      </c>
      <c r="Q13" s="75"/>
      <c r="R13" s="75"/>
      <c r="S13" s="75"/>
      <c r="T13" s="75"/>
      <c r="U13" s="75"/>
      <c r="V13" s="11"/>
      <c r="W13" s="20" t="s">
        <v>56</v>
      </c>
      <c r="X13" s="14">
        <f>X11*P22</f>
        <v>268963.63636363635</v>
      </c>
      <c r="Y13" s="14"/>
      <c r="Z13" s="14"/>
      <c r="AA13" s="11"/>
      <c r="AB13" s="11"/>
      <c r="AC13" s="11"/>
      <c r="AD13" s="11"/>
      <c r="AE13" s="11"/>
    </row>
    <row r="14" spans="1:31" x14ac:dyDescent="0.25">
      <c r="H14">
        <v>3</v>
      </c>
      <c r="I14" t="s">
        <v>58</v>
      </c>
      <c r="O14" s="11"/>
      <c r="P14" s="11"/>
      <c r="Q14" s="11"/>
      <c r="R14" s="11"/>
      <c r="S14" s="11"/>
      <c r="T14" s="11"/>
      <c r="U14" s="11"/>
      <c r="V14" s="13">
        <v>3</v>
      </c>
      <c r="W14" s="61" t="s">
        <v>58</v>
      </c>
      <c r="X14" s="61"/>
      <c r="Y14" s="61"/>
      <c r="Z14" s="61"/>
      <c r="AA14" s="11"/>
      <c r="AB14" s="11"/>
      <c r="AC14" s="11"/>
      <c r="AD14" s="11"/>
      <c r="AE14" s="11"/>
    </row>
    <row r="15" spans="1:31" x14ac:dyDescent="0.25">
      <c r="I15" t="s">
        <v>24</v>
      </c>
      <c r="O15" s="11"/>
      <c r="P15" s="11"/>
      <c r="Q15" s="11"/>
      <c r="R15" s="11"/>
      <c r="S15" s="11"/>
      <c r="T15" s="11"/>
      <c r="U15" s="11"/>
      <c r="V15" s="11"/>
      <c r="W15" s="62" t="s">
        <v>24</v>
      </c>
      <c r="X15" s="62"/>
      <c r="Y15" s="62"/>
      <c r="Z15" s="62"/>
      <c r="AA15" s="11"/>
      <c r="AB15" s="11"/>
      <c r="AC15" s="11"/>
      <c r="AD15" s="11"/>
      <c r="AE15" s="11"/>
    </row>
    <row r="16" spans="1:31" ht="30.75" customHeight="1" x14ac:dyDescent="0.25">
      <c r="A16" s="1" t="s">
        <v>46</v>
      </c>
      <c r="I16" t="s">
        <v>60</v>
      </c>
      <c r="J16" t="s">
        <v>61</v>
      </c>
      <c r="K16" t="s">
        <v>62</v>
      </c>
      <c r="L16" t="s">
        <v>63</v>
      </c>
      <c r="O16" s="63" t="s">
        <v>46</v>
      </c>
      <c r="P16" s="64"/>
      <c r="Q16" s="11"/>
      <c r="R16" s="11"/>
      <c r="S16" s="11"/>
      <c r="T16" s="11"/>
      <c r="U16" s="11"/>
      <c r="V16" s="11"/>
      <c r="W16" s="15" t="s">
        <v>130</v>
      </c>
      <c r="X16" s="15" t="s">
        <v>131</v>
      </c>
      <c r="Y16" s="15" t="s">
        <v>132</v>
      </c>
      <c r="Z16" s="15" t="s">
        <v>133</v>
      </c>
      <c r="AA16" s="11"/>
      <c r="AB16" s="11"/>
      <c r="AC16" s="11"/>
      <c r="AD16" s="11"/>
      <c r="AE16" s="11"/>
    </row>
    <row r="17" spans="1:31" x14ac:dyDescent="0.25">
      <c r="A17" t="s">
        <v>47</v>
      </c>
      <c r="B17">
        <v>30</v>
      </c>
      <c r="I17">
        <v>127.69436939057958</v>
      </c>
      <c r="J17">
        <v>99.588045184413559</v>
      </c>
      <c r="K17">
        <v>17.978790520014051</v>
      </c>
      <c r="L17">
        <v>12.7</v>
      </c>
      <c r="O17" s="14" t="s">
        <v>47</v>
      </c>
      <c r="P17" s="14">
        <v>30</v>
      </c>
      <c r="Q17" s="11"/>
      <c r="R17" s="11"/>
      <c r="S17" s="11"/>
      <c r="T17" s="11"/>
      <c r="U17" s="11"/>
      <c r="V17" s="11"/>
      <c r="W17" s="16">
        <v>79</v>
      </c>
      <c r="X17" s="16">
        <v>54.6</v>
      </c>
      <c r="Y17" s="16">
        <v>21</v>
      </c>
      <c r="Z17" s="16">
        <v>16</v>
      </c>
      <c r="AA17" s="11"/>
      <c r="AB17" s="11"/>
      <c r="AC17" s="11"/>
      <c r="AD17" s="11"/>
      <c r="AE17" s="11"/>
    </row>
    <row r="18" spans="1:31" x14ac:dyDescent="0.25">
      <c r="A18" t="s">
        <v>48</v>
      </c>
      <c r="B18">
        <f>(PI()/180)*B17</f>
        <v>0.52359877559829882</v>
      </c>
      <c r="I18" t="s">
        <v>20</v>
      </c>
      <c r="O18" s="14" t="s">
        <v>48</v>
      </c>
      <c r="P18" s="16">
        <f>(PI()/180)*P17</f>
        <v>0.52359877559829882</v>
      </c>
      <c r="Q18" s="11"/>
      <c r="R18" s="11"/>
      <c r="S18" s="11"/>
      <c r="T18" s="11"/>
      <c r="U18" s="11"/>
      <c r="V18" s="11"/>
      <c r="W18" s="14"/>
      <c r="X18" s="14"/>
      <c r="Y18" s="14"/>
      <c r="Z18" s="14"/>
      <c r="AA18" s="11"/>
      <c r="AB18" s="11"/>
      <c r="AC18" s="11"/>
      <c r="AD18" s="11"/>
      <c r="AE18" s="11"/>
    </row>
    <row r="19" spans="1:31" ht="41.25" customHeight="1" x14ac:dyDescent="0.25">
      <c r="A19" t="s">
        <v>49</v>
      </c>
      <c r="B19">
        <v>12.7</v>
      </c>
      <c r="C19" t="s">
        <v>3</v>
      </c>
      <c r="I19" t="s">
        <v>59</v>
      </c>
      <c r="J19" t="s">
        <v>127</v>
      </c>
      <c r="K19" t="s">
        <v>128</v>
      </c>
      <c r="L19" t="s">
        <v>32</v>
      </c>
      <c r="M19" t="s">
        <v>10</v>
      </c>
      <c r="O19" s="18" t="s">
        <v>49</v>
      </c>
      <c r="P19" s="14">
        <v>10.16</v>
      </c>
      <c r="Q19" s="11" t="s">
        <v>3</v>
      </c>
      <c r="R19" s="11"/>
      <c r="S19" s="11"/>
      <c r="T19" s="11"/>
      <c r="U19" s="11"/>
      <c r="V19" s="11"/>
      <c r="W19" s="15" t="s">
        <v>138</v>
      </c>
      <c r="X19" s="15" t="s">
        <v>137</v>
      </c>
      <c r="Y19" s="15" t="s">
        <v>136</v>
      </c>
      <c r="Z19" s="15" t="s">
        <v>134</v>
      </c>
      <c r="AA19" s="22" t="s">
        <v>135</v>
      </c>
      <c r="AB19" s="11"/>
      <c r="AC19" s="11"/>
      <c r="AD19" s="11"/>
      <c r="AE19" s="11"/>
    </row>
    <row r="20" spans="1:31" ht="28.5" customHeight="1" x14ac:dyDescent="0.25">
      <c r="A20" t="s">
        <v>50</v>
      </c>
      <c r="B20">
        <v>0.44</v>
      </c>
      <c r="I20">
        <f>(I17*I17)*K17</f>
        <v>293159.49689194252</v>
      </c>
      <c r="J20">
        <f>(I17*I17)</f>
        <v>16305.851974057787</v>
      </c>
      <c r="K20">
        <f>PI()*(L17/2)^2</f>
        <v>126.67686977437442</v>
      </c>
      <c r="L20">
        <f>(J17/3)*(J20+K20+SQRT(J20*K20))</f>
        <v>593204.13947170554</v>
      </c>
      <c r="M20">
        <f>I20+L20</f>
        <v>886363.63636364811</v>
      </c>
      <c r="O20" s="18" t="s">
        <v>50</v>
      </c>
      <c r="P20" s="14">
        <v>0.44</v>
      </c>
      <c r="Q20" s="11"/>
      <c r="R20" s="11"/>
      <c r="S20" s="11"/>
      <c r="T20" s="11"/>
      <c r="U20" s="11"/>
      <c r="V20" s="11"/>
      <c r="W20" s="16">
        <f>(W17*W17)*Y17</f>
        <v>131061</v>
      </c>
      <c r="X20" s="16">
        <f>(W17*W17)</f>
        <v>6241</v>
      </c>
      <c r="Y20" s="16">
        <f>PI()*(Z17/2)^2</f>
        <v>201.06192982974676</v>
      </c>
      <c r="Z20" s="16">
        <f>(X17/3)*(X20+Y20+SQRT(X20*Y20))</f>
        <v>137633.00029755701</v>
      </c>
      <c r="AA20" s="23">
        <f>W20+Z20</f>
        <v>268694.00029755698</v>
      </c>
      <c r="AB20" s="11"/>
      <c r="AC20" s="11"/>
      <c r="AD20" s="11"/>
      <c r="AE20" s="11"/>
    </row>
    <row r="21" spans="1:31" ht="24" customHeight="1" x14ac:dyDescent="0.25">
      <c r="A21" t="s">
        <v>51</v>
      </c>
      <c r="B21">
        <f>B24*B23</f>
        <v>300000</v>
      </c>
      <c r="I21" t="s">
        <v>64</v>
      </c>
      <c r="O21" s="18" t="s">
        <v>51</v>
      </c>
      <c r="P21" s="14">
        <v>98620</v>
      </c>
      <c r="Q21" s="11" t="s">
        <v>142</v>
      </c>
      <c r="R21" s="11"/>
      <c r="S21" s="11"/>
      <c r="T21" s="11"/>
      <c r="U21" s="11"/>
      <c r="V21" s="11"/>
      <c r="W21" s="60" t="s">
        <v>64</v>
      </c>
      <c r="X21" s="60"/>
      <c r="Y21" s="60"/>
      <c r="Z21" s="60"/>
      <c r="AA21" s="11"/>
      <c r="AB21" s="11"/>
      <c r="AC21" s="11"/>
      <c r="AD21" s="11"/>
      <c r="AE21" s="11"/>
    </row>
    <row r="22" spans="1:31" x14ac:dyDescent="0.25">
      <c r="A22" t="s">
        <v>55</v>
      </c>
      <c r="B22">
        <v>1.3</v>
      </c>
      <c r="I22" t="s">
        <v>33</v>
      </c>
      <c r="J22">
        <f>J13-M20</f>
        <v>-1.1757947504520416E-8</v>
      </c>
      <c r="O22" s="14" t="s">
        <v>55</v>
      </c>
      <c r="P22" s="16">
        <v>1.2</v>
      </c>
      <c r="Q22" s="11"/>
      <c r="R22" s="11"/>
      <c r="S22" s="11"/>
      <c r="T22" s="11"/>
      <c r="U22" s="11"/>
      <c r="V22" s="11"/>
      <c r="W22" s="14" t="s">
        <v>139</v>
      </c>
      <c r="X22" s="16">
        <f>X13-AA20</f>
        <v>269.63606607937254</v>
      </c>
      <c r="Y22" s="14"/>
      <c r="Z22" s="14"/>
      <c r="AA22" s="11"/>
      <c r="AB22" s="11"/>
      <c r="AC22" s="11"/>
      <c r="AD22" s="11"/>
      <c r="AE22" s="11"/>
    </row>
    <row r="23" spans="1:31" ht="28.5" customHeight="1" x14ac:dyDescent="0.25">
      <c r="A23" t="s">
        <v>89</v>
      </c>
      <c r="B23">
        <v>6000</v>
      </c>
      <c r="O23" s="18" t="s">
        <v>89</v>
      </c>
      <c r="P23" s="14">
        <v>6000</v>
      </c>
      <c r="Q23" s="11"/>
      <c r="R23" s="11"/>
      <c r="S23" s="11"/>
      <c r="T23" s="11"/>
      <c r="U23" s="11"/>
      <c r="V23" s="11"/>
      <c r="W23" s="14"/>
      <c r="X23" s="14"/>
      <c r="Y23" s="14"/>
      <c r="Z23" s="14"/>
      <c r="AA23" s="11"/>
      <c r="AB23" s="11"/>
      <c r="AC23" s="11"/>
      <c r="AD23" s="11"/>
      <c r="AE23" s="11"/>
    </row>
    <row r="24" spans="1:31" ht="34.5" customHeight="1" x14ac:dyDescent="0.25">
      <c r="A24" t="s">
        <v>91</v>
      </c>
      <c r="B24">
        <v>50</v>
      </c>
      <c r="I24" t="s">
        <v>66</v>
      </c>
      <c r="O24" s="18" t="s">
        <v>91</v>
      </c>
      <c r="P24" s="14">
        <v>50</v>
      </c>
      <c r="Q24" s="11"/>
      <c r="R24" s="11"/>
      <c r="S24" s="11"/>
      <c r="T24" s="11"/>
      <c r="U24" s="11"/>
      <c r="V24" s="11"/>
      <c r="W24" s="60" t="s">
        <v>66</v>
      </c>
      <c r="X24" s="60"/>
      <c r="Y24" s="60"/>
      <c r="Z24" s="60"/>
      <c r="AA24" s="11"/>
      <c r="AB24" s="11"/>
      <c r="AC24" s="11"/>
      <c r="AD24" s="11"/>
      <c r="AE24" s="11"/>
    </row>
    <row r="25" spans="1:31" x14ac:dyDescent="0.25">
      <c r="I25" t="s">
        <v>33</v>
      </c>
      <c r="J25">
        <f>2*J17*TAN(B18)+L17-I17</f>
        <v>0</v>
      </c>
      <c r="O25" s="11"/>
      <c r="P25" s="11"/>
      <c r="Q25" s="11"/>
      <c r="R25" s="11"/>
      <c r="S25" s="11"/>
      <c r="T25" s="11"/>
      <c r="U25" s="11"/>
      <c r="V25" s="11"/>
      <c r="W25" s="14" t="s">
        <v>140</v>
      </c>
      <c r="X25" s="17">
        <f>2*X17*TAN(P18)+Z17-W17</f>
        <v>4.664939550713143E-2</v>
      </c>
      <c r="Y25" s="14"/>
      <c r="Z25" s="14"/>
      <c r="AA25" s="11"/>
      <c r="AB25" s="11"/>
      <c r="AC25" s="11"/>
      <c r="AD25" s="11"/>
      <c r="AE25" s="11"/>
    </row>
    <row r="26" spans="1:31" x14ac:dyDescent="0.25">
      <c r="O26" s="11"/>
      <c r="P26" s="11"/>
      <c r="Q26" s="11"/>
      <c r="R26" s="11"/>
      <c r="S26" s="11"/>
      <c r="T26" s="11"/>
      <c r="U26" s="11"/>
      <c r="V26" s="11"/>
      <c r="W26" s="14"/>
      <c r="X26" s="14"/>
      <c r="Y26" s="14"/>
      <c r="Z26" s="14"/>
      <c r="AA26" s="11"/>
      <c r="AB26" s="11"/>
      <c r="AC26" s="11"/>
      <c r="AD26" s="11"/>
      <c r="AE26" s="11"/>
    </row>
    <row r="27" spans="1:31" x14ac:dyDescent="0.25">
      <c r="I27" t="s">
        <v>65</v>
      </c>
      <c r="O27" s="11"/>
      <c r="P27" s="11"/>
      <c r="Q27" s="11"/>
      <c r="R27" s="11"/>
      <c r="S27" s="11"/>
      <c r="T27" s="11"/>
      <c r="U27" s="11"/>
      <c r="V27" s="11"/>
      <c r="W27" s="60" t="s">
        <v>65</v>
      </c>
      <c r="X27" s="60"/>
      <c r="Y27" s="60"/>
      <c r="Z27" s="60"/>
      <c r="AA27" s="11"/>
      <c r="AB27" s="11"/>
      <c r="AC27" s="11"/>
      <c r="AD27" s="11"/>
      <c r="AE27" s="11"/>
    </row>
    <row r="28" spans="1:31" x14ac:dyDescent="0.25">
      <c r="I28" t="s">
        <v>33</v>
      </c>
      <c r="J28">
        <f>4*I17*K17+4/2*(I17+L17)*J17/COS(B18)</f>
        <v>41472.285219549667</v>
      </c>
      <c r="O28" s="11"/>
      <c r="P28" s="11"/>
      <c r="Q28" s="11"/>
      <c r="R28" s="11"/>
      <c r="S28" s="11"/>
      <c r="T28" s="11"/>
      <c r="U28" s="11"/>
      <c r="V28" s="11"/>
      <c r="W28" s="14" t="s">
        <v>141</v>
      </c>
      <c r="X28" s="16">
        <f>4*W17*Y17+4/2*(W17+Z17)*X17/COS(P18)</f>
        <v>18614.863385146353</v>
      </c>
      <c r="Y28" s="14"/>
      <c r="Z28" s="14"/>
      <c r="AA28" s="11"/>
      <c r="AB28" s="11"/>
      <c r="AC28" s="11"/>
      <c r="AD28" s="11"/>
      <c r="AE28" s="11"/>
    </row>
    <row r="29" spans="1:31" x14ac:dyDescent="0.25"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4" spans="1:9" ht="19.5" customHeight="1" x14ac:dyDescent="0.25">
      <c r="A34" s="1" t="s">
        <v>6</v>
      </c>
      <c r="F34" s="1" t="s">
        <v>11</v>
      </c>
    </row>
    <row r="35" spans="1:9" x14ac:dyDescent="0.25">
      <c r="A35" t="s">
        <v>0</v>
      </c>
      <c r="F35" s="1" t="s">
        <v>12</v>
      </c>
    </row>
    <row r="36" spans="1:9" x14ac:dyDescent="0.25">
      <c r="A36">
        <v>9</v>
      </c>
      <c r="B36" t="s">
        <v>3</v>
      </c>
      <c r="F36">
        <v>16.4603868474641</v>
      </c>
      <c r="G36" t="s">
        <v>3</v>
      </c>
    </row>
    <row r="37" spans="1:9" x14ac:dyDescent="0.25">
      <c r="A37" t="s">
        <v>1</v>
      </c>
      <c r="F37" t="s">
        <v>1</v>
      </c>
    </row>
    <row r="38" spans="1:9" x14ac:dyDescent="0.25">
      <c r="A38">
        <v>5597</v>
      </c>
      <c r="B38" t="s">
        <v>2</v>
      </c>
      <c r="F38">
        <v>5597</v>
      </c>
      <c r="G38" t="s">
        <v>2</v>
      </c>
    </row>
    <row r="39" spans="1:9" x14ac:dyDescent="0.25">
      <c r="A39" t="s">
        <v>38</v>
      </c>
      <c r="F39" t="s">
        <v>38</v>
      </c>
    </row>
    <row r="40" spans="1:9" x14ac:dyDescent="0.25">
      <c r="A40">
        <v>30</v>
      </c>
      <c r="B40" t="s">
        <v>4</v>
      </c>
      <c r="F40">
        <v>25</v>
      </c>
      <c r="G40" t="s">
        <v>4</v>
      </c>
    </row>
    <row r="41" spans="1:9" x14ac:dyDescent="0.25">
      <c r="A41">
        <f>(PI()/180)*A40</f>
        <v>0.52359877559829882</v>
      </c>
      <c r="B41" t="s">
        <v>39</v>
      </c>
      <c r="F41">
        <f>(PI()/180)*F40</f>
        <v>0.43633231299858238</v>
      </c>
    </row>
    <row r="42" spans="1:9" x14ac:dyDescent="0.25">
      <c r="A42" s="1" t="s">
        <v>7</v>
      </c>
      <c r="F42" t="s">
        <v>5</v>
      </c>
    </row>
    <row r="43" spans="1:9" x14ac:dyDescent="0.25">
      <c r="A43">
        <v>7.6684929431280304</v>
      </c>
      <c r="B43" t="s">
        <v>3</v>
      </c>
      <c r="F43">
        <v>10.223842762403184</v>
      </c>
      <c r="G43" t="s">
        <v>3</v>
      </c>
    </row>
    <row r="44" spans="1:9" x14ac:dyDescent="0.25">
      <c r="F44" t="s">
        <v>18</v>
      </c>
    </row>
    <row r="45" spans="1:9" x14ac:dyDescent="0.25">
      <c r="F45">
        <f>F36/F43</f>
        <v>1.6099999999995085</v>
      </c>
    </row>
    <row r="46" spans="1:9" x14ac:dyDescent="0.25">
      <c r="A46" t="s">
        <v>8</v>
      </c>
      <c r="B46" t="s">
        <v>9</v>
      </c>
      <c r="C46" t="s">
        <v>10</v>
      </c>
      <c r="D46" t="s">
        <v>13</v>
      </c>
      <c r="F46" t="s">
        <v>8</v>
      </c>
      <c r="G46" t="s">
        <v>9</v>
      </c>
      <c r="H46" t="s">
        <v>10</v>
      </c>
      <c r="I46" t="s">
        <v>13</v>
      </c>
    </row>
    <row r="47" spans="1:9" x14ac:dyDescent="0.25">
      <c r="A47">
        <f>A43^2</f>
        <v>58.805784018804403</v>
      </c>
      <c r="B47">
        <f>(2*A36*TAN(A41)+A43)^2</f>
        <v>326.19241675857808</v>
      </c>
      <c r="C47">
        <f>(A47+B47+SQRT(A47*B47))*(A36/3)</f>
        <v>1570.4919034982213</v>
      </c>
      <c r="D47">
        <f>A38-C47</f>
        <v>4026.5080965017787</v>
      </c>
      <c r="F47">
        <f>F43^2</f>
        <v>104.52696083034395</v>
      </c>
      <c r="G47">
        <f>(2*F36*TAN(F41)+F43)^2</f>
        <v>654.08326683550547</v>
      </c>
      <c r="H47">
        <f>(F47+G47+SQRT(F47*G47))*(F36/3)</f>
        <v>5597.0008377049635</v>
      </c>
      <c r="I47">
        <f>F38-H47</f>
        <v>-8.3770496348734014E-4</v>
      </c>
    </row>
  </sheetData>
  <mergeCells count="19">
    <mergeCell ref="O16:P16"/>
    <mergeCell ref="T10:U10"/>
    <mergeCell ref="O1:Z1"/>
    <mergeCell ref="Q5:Z6"/>
    <mergeCell ref="P5:P6"/>
    <mergeCell ref="W9:Z9"/>
    <mergeCell ref="P3:Z3"/>
    <mergeCell ref="W12:Z12"/>
    <mergeCell ref="W14:Z14"/>
    <mergeCell ref="O4:O6"/>
    <mergeCell ref="P11:U11"/>
    <mergeCell ref="P12:U12"/>
    <mergeCell ref="P13:U13"/>
    <mergeCell ref="O9:U9"/>
    <mergeCell ref="W27:Z27"/>
    <mergeCell ref="W24:Z24"/>
    <mergeCell ref="W21:Z21"/>
    <mergeCell ref="W10:Z10"/>
    <mergeCell ref="W15:Z15"/>
  </mergeCells>
  <pageMargins left="0.25" right="0.25" top="0.75" bottom="0.75" header="0.3" footer="0.3"/>
  <pageSetup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40</v>
      </c>
      <c r="O1" t="s">
        <v>40</v>
      </c>
    </row>
    <row r="2" spans="1:26" x14ac:dyDescent="0.25">
      <c r="A2" t="s">
        <v>52</v>
      </c>
      <c r="O2" t="s">
        <v>52</v>
      </c>
    </row>
    <row r="3" spans="1:26" x14ac:dyDescent="0.25">
      <c r="A3" t="s">
        <v>41</v>
      </c>
      <c r="O3" t="s">
        <v>41</v>
      </c>
    </row>
    <row r="4" spans="1:26" x14ac:dyDescent="0.25">
      <c r="A4" s="2">
        <v>43388</v>
      </c>
      <c r="O4" s="2">
        <v>43433</v>
      </c>
      <c r="P4" t="s">
        <v>97</v>
      </c>
    </row>
    <row r="7" spans="1:26" x14ac:dyDescent="0.25">
      <c r="A7" s="1" t="s">
        <v>35</v>
      </c>
      <c r="H7" s="1" t="s">
        <v>53</v>
      </c>
      <c r="O7" s="1" t="s">
        <v>35</v>
      </c>
      <c r="V7" s="1" t="s">
        <v>53</v>
      </c>
    </row>
    <row r="8" spans="1:26" x14ac:dyDescent="0.25">
      <c r="A8" t="s">
        <v>42</v>
      </c>
      <c r="H8">
        <v>1</v>
      </c>
      <c r="I8" t="s">
        <v>54</v>
      </c>
      <c r="O8" t="s">
        <v>42</v>
      </c>
      <c r="V8">
        <v>1</v>
      </c>
      <c r="W8" t="s">
        <v>54</v>
      </c>
    </row>
    <row r="9" spans="1:26" x14ac:dyDescent="0.25">
      <c r="A9">
        <v>1</v>
      </c>
      <c r="B9" t="s">
        <v>43</v>
      </c>
      <c r="I9" s="1" t="s">
        <v>56</v>
      </c>
      <c r="J9">
        <f>B19/B18</f>
        <v>400000.00000000006</v>
      </c>
      <c r="O9">
        <v>1</v>
      </c>
      <c r="P9" t="s">
        <v>43</v>
      </c>
      <c r="W9" s="1" t="s">
        <v>56</v>
      </c>
      <c r="X9">
        <f>P19/P18</f>
        <v>400000.00000000006</v>
      </c>
    </row>
    <row r="10" spans="1:26" x14ac:dyDescent="0.25">
      <c r="A10">
        <v>2</v>
      </c>
      <c r="B10" t="s">
        <v>44</v>
      </c>
      <c r="H10">
        <v>2</v>
      </c>
      <c r="I10" t="s">
        <v>57</v>
      </c>
      <c r="O10">
        <v>2</v>
      </c>
      <c r="P10" t="s">
        <v>44</v>
      </c>
      <c r="V10">
        <v>2</v>
      </c>
      <c r="W10" t="s">
        <v>57</v>
      </c>
    </row>
    <row r="11" spans="1:26" x14ac:dyDescent="0.25">
      <c r="A11">
        <v>3</v>
      </c>
      <c r="B11" t="s">
        <v>45</v>
      </c>
      <c r="I11" s="1" t="s">
        <v>56</v>
      </c>
      <c r="J11">
        <f>J9*B20</f>
        <v>520000.00000000012</v>
      </c>
      <c r="O11">
        <v>3</v>
      </c>
      <c r="P11" t="s">
        <v>45</v>
      </c>
      <c r="W11" s="1" t="s">
        <v>56</v>
      </c>
      <c r="X11">
        <f>X9*P20</f>
        <v>480000.00000000006</v>
      </c>
    </row>
    <row r="12" spans="1:26" x14ac:dyDescent="0.25">
      <c r="H12">
        <v>3</v>
      </c>
      <c r="I12" t="s">
        <v>58</v>
      </c>
      <c r="V12">
        <v>3</v>
      </c>
      <c r="W12" t="s">
        <v>58</v>
      </c>
    </row>
    <row r="13" spans="1:26" x14ac:dyDescent="0.25">
      <c r="I13" t="s">
        <v>24</v>
      </c>
      <c r="W13" t="s">
        <v>24</v>
      </c>
    </row>
    <row r="14" spans="1:26" x14ac:dyDescent="0.25">
      <c r="A14" s="1" t="s">
        <v>46</v>
      </c>
      <c r="D14" s="47"/>
      <c r="I14" t="s">
        <v>60</v>
      </c>
      <c r="J14" t="s">
        <v>61</v>
      </c>
      <c r="K14" t="s">
        <v>62</v>
      </c>
      <c r="L14" t="s">
        <v>63</v>
      </c>
      <c r="O14" s="1" t="s">
        <v>46</v>
      </c>
      <c r="W14" t="s">
        <v>60</v>
      </c>
      <c r="X14" t="s">
        <v>61</v>
      </c>
      <c r="Y14" t="s">
        <v>62</v>
      </c>
      <c r="Z14" t="s">
        <v>63</v>
      </c>
    </row>
    <row r="15" spans="1:26" x14ac:dyDescent="0.25">
      <c r="A15" t="s">
        <v>47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47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48</v>
      </c>
      <c r="B16">
        <f>(PI()/180)*B15</f>
        <v>0.52359877559829882</v>
      </c>
      <c r="I16" t="s">
        <v>20</v>
      </c>
      <c r="O16" t="s">
        <v>48</v>
      </c>
      <c r="P16">
        <f>(PI()/180)*P15</f>
        <v>0.52359877559829882</v>
      </c>
      <c r="W16" t="s">
        <v>20</v>
      </c>
    </row>
    <row r="17" spans="1:27" x14ac:dyDescent="0.25">
      <c r="A17" t="s">
        <v>49</v>
      </c>
      <c r="B17">
        <v>7.62</v>
      </c>
      <c r="I17" t="s">
        <v>59</v>
      </c>
      <c r="J17" t="s">
        <v>30</v>
      </c>
      <c r="K17" t="s">
        <v>31</v>
      </c>
      <c r="L17" t="s">
        <v>32</v>
      </c>
      <c r="M17" t="s">
        <v>10</v>
      </c>
      <c r="O17" t="s">
        <v>49</v>
      </c>
      <c r="P17">
        <v>7.62</v>
      </c>
      <c r="W17" t="s">
        <v>59</v>
      </c>
      <c r="X17" t="s">
        <v>30</v>
      </c>
      <c r="Y17" t="s">
        <v>31</v>
      </c>
      <c r="Z17" t="s">
        <v>32</v>
      </c>
      <c r="AA17" t="s">
        <v>10</v>
      </c>
    </row>
    <row r="18" spans="1:27" x14ac:dyDescent="0.25">
      <c r="A18" t="s">
        <v>50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50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51</v>
      </c>
      <c r="B19">
        <v>138000</v>
      </c>
      <c r="I19" t="s">
        <v>64</v>
      </c>
      <c r="O19" t="s">
        <v>51</v>
      </c>
      <c r="P19">
        <v>138000</v>
      </c>
      <c r="W19" t="s">
        <v>64</v>
      </c>
    </row>
    <row r="20" spans="1:27" x14ac:dyDescent="0.25">
      <c r="A20" t="s">
        <v>55</v>
      </c>
      <c r="B20">
        <v>1.3</v>
      </c>
      <c r="I20" t="s">
        <v>33</v>
      </c>
      <c r="J20">
        <f>J11-M18</f>
        <v>79322.381128682755</v>
      </c>
      <c r="O20" t="s">
        <v>55</v>
      </c>
      <c r="P20">
        <v>1.2</v>
      </c>
      <c r="W20" t="s">
        <v>33</v>
      </c>
      <c r="X20">
        <f>X11-AA18</f>
        <v>-1.2223608791828156E-9</v>
      </c>
    </row>
    <row r="21" spans="1:27" x14ac:dyDescent="0.25">
      <c r="A21" t="s">
        <v>89</v>
      </c>
      <c r="B21">
        <v>2000</v>
      </c>
      <c r="O21" t="s">
        <v>89</v>
      </c>
      <c r="P21">
        <v>2000</v>
      </c>
    </row>
    <row r="22" spans="1:27" x14ac:dyDescent="0.25">
      <c r="A22" t="s">
        <v>90</v>
      </c>
      <c r="B22">
        <v>50</v>
      </c>
      <c r="I22" t="s">
        <v>66</v>
      </c>
      <c r="O22" t="s">
        <v>90</v>
      </c>
      <c r="P22">
        <v>50</v>
      </c>
      <c r="W22" t="s">
        <v>66</v>
      </c>
    </row>
    <row r="23" spans="1:27" x14ac:dyDescent="0.25">
      <c r="I23" t="s">
        <v>33</v>
      </c>
      <c r="J23">
        <f>2*J15*TAN(B16)+L15-I15</f>
        <v>1.6910917111090384E-12</v>
      </c>
      <c r="W23" t="s">
        <v>33</v>
      </c>
      <c r="X23">
        <f>2*X15*TAN(P16)+Z15-W15</f>
        <v>0</v>
      </c>
    </row>
    <row r="25" spans="1:27" x14ac:dyDescent="0.25">
      <c r="I25" t="s">
        <v>65</v>
      </c>
      <c r="W25" t="s">
        <v>65</v>
      </c>
    </row>
    <row r="26" spans="1:27" x14ac:dyDescent="0.25">
      <c r="I26" t="s">
        <v>33</v>
      </c>
      <c r="J26">
        <f>4*I15*K15+4/2*(I15+L15)*J15/COS(B16)</f>
        <v>26071.077256174623</v>
      </c>
      <c r="W26" t="s">
        <v>33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38</v>
      </c>
      <c r="F37" t="s">
        <v>38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39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18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workbookViewId="0">
      <selection activeCell="R13" sqref="R13"/>
    </sheetView>
  </sheetViews>
  <sheetFormatPr baseColWidth="10" defaultRowHeight="15" x14ac:dyDescent="0.25"/>
  <cols>
    <col min="1" max="1" width="0.28515625" customWidth="1"/>
    <col min="2" max="11" width="11.42578125" hidden="1" customWidth="1"/>
    <col min="12" max="12" width="20.5703125" customWidth="1"/>
    <col min="13" max="13" width="19.42578125" customWidth="1"/>
    <col min="14" max="14" width="14.5703125" customWidth="1"/>
    <col min="17" max="17" width="12" bestFit="1" customWidth="1"/>
    <col min="18" max="18" width="13.85546875" customWidth="1"/>
  </cols>
  <sheetData>
    <row r="1" spans="1:23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76" t="s">
        <v>160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25" t="s">
        <v>123</v>
      </c>
      <c r="M2" s="77" t="s">
        <v>41</v>
      </c>
      <c r="N2" s="78"/>
      <c r="O2" s="78"/>
      <c r="P2" s="78"/>
      <c r="Q2" s="78"/>
      <c r="R2" s="78"/>
      <c r="S2" s="78"/>
      <c r="T2" s="78"/>
      <c r="U2" s="78"/>
      <c r="V2" s="78"/>
      <c r="W2" s="79"/>
    </row>
    <row r="3" spans="1:23" ht="31.5" customHeight="1" x14ac:dyDescent="0.25">
      <c r="A3" t="s">
        <v>19</v>
      </c>
      <c r="L3" s="30" t="s">
        <v>121</v>
      </c>
      <c r="M3" s="29">
        <v>43391</v>
      </c>
      <c r="N3" s="77" t="s">
        <v>145</v>
      </c>
      <c r="O3" s="78"/>
      <c r="P3" s="78"/>
      <c r="Q3" s="78"/>
      <c r="R3" s="78"/>
      <c r="S3" s="78"/>
      <c r="T3" s="78"/>
      <c r="U3" s="78"/>
      <c r="V3" s="78"/>
      <c r="W3" s="79"/>
    </row>
    <row r="4" spans="1:23" x14ac:dyDescent="0.25">
      <c r="L4" s="8" t="s">
        <v>143</v>
      </c>
      <c r="M4" s="26" t="s">
        <v>146</v>
      </c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x14ac:dyDescent="0.25">
      <c r="L5" s="27"/>
      <c r="M5" s="26" t="s">
        <v>153</v>
      </c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x14ac:dyDescent="0.25">
      <c r="L6" s="27"/>
      <c r="M6" s="26" t="s">
        <v>154</v>
      </c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x14ac:dyDescent="0.25"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x14ac:dyDescent="0.25">
      <c r="G8" t="s">
        <v>24</v>
      </c>
    </row>
    <row r="9" spans="1:23" x14ac:dyDescent="0.25">
      <c r="B9" t="s">
        <v>26</v>
      </c>
      <c r="C9" t="s">
        <v>27</v>
      </c>
      <c r="D9" t="s">
        <v>28</v>
      </c>
      <c r="G9" t="s">
        <v>25</v>
      </c>
      <c r="H9" t="s">
        <v>26</v>
      </c>
      <c r="L9" s="81" t="s">
        <v>147</v>
      </c>
      <c r="M9" s="81"/>
      <c r="N9" s="81"/>
      <c r="O9" s="24"/>
      <c r="P9" s="1" t="s">
        <v>24</v>
      </c>
      <c r="S9" s="1"/>
    </row>
    <row r="10" spans="1:23" ht="17.25" customHeight="1" x14ac:dyDescent="0.25">
      <c r="A10">
        <v>41.470457973748012</v>
      </c>
      <c r="B10">
        <v>20.739221383930818</v>
      </c>
      <c r="C10">
        <v>12.426939674491317</v>
      </c>
      <c r="D10">
        <v>10.369610691965407</v>
      </c>
      <c r="G10">
        <v>5.050985283431098</v>
      </c>
      <c r="H10">
        <v>8.1825961591545759</v>
      </c>
      <c r="L10" s="82" t="s">
        <v>150</v>
      </c>
      <c r="M10" s="82"/>
      <c r="N10" s="82"/>
      <c r="O10" t="s">
        <v>81</v>
      </c>
      <c r="R10" t="s">
        <v>81</v>
      </c>
      <c r="U10" t="s">
        <v>81</v>
      </c>
    </row>
    <row r="11" spans="1:23" x14ac:dyDescent="0.25">
      <c r="A11" s="1" t="s">
        <v>20</v>
      </c>
      <c r="G11" s="1" t="s">
        <v>20</v>
      </c>
      <c r="L11" s="83" t="s">
        <v>67</v>
      </c>
      <c r="M11" s="83"/>
      <c r="N11" s="83"/>
      <c r="O11" t="s">
        <v>81</v>
      </c>
      <c r="R11" t="s">
        <v>81</v>
      </c>
      <c r="U11" t="s">
        <v>81</v>
      </c>
    </row>
    <row r="12" spans="1:23" x14ac:dyDescent="0.25">
      <c r="A12" t="s">
        <v>29</v>
      </c>
      <c r="B12" t="s">
        <v>127</v>
      </c>
      <c r="C12" t="s">
        <v>128</v>
      </c>
      <c r="D12" t="s">
        <v>32</v>
      </c>
      <c r="G12" t="s">
        <v>29</v>
      </c>
      <c r="L12" s="83" t="s">
        <v>151</v>
      </c>
      <c r="M12" s="83"/>
      <c r="N12" s="83"/>
      <c r="O12" t="s">
        <v>81</v>
      </c>
      <c r="R12" t="s">
        <v>81</v>
      </c>
      <c r="U12" t="s">
        <v>81</v>
      </c>
    </row>
    <row r="13" spans="1:23" ht="32.25" customHeight="1" x14ac:dyDescent="0.25">
      <c r="A13">
        <f>C10*C10*D10</f>
        <v>1601.366843329474</v>
      </c>
      <c r="B13">
        <f>(A10*A10)</f>
        <v>1719.7988845524001</v>
      </c>
      <c r="C13">
        <f>C10*C10</f>
        <v>154.42882967344636</v>
      </c>
      <c r="D13">
        <f>(B10/3)*(B13+C13+SQRT(B13*C13))</f>
        <v>16519.333156619374</v>
      </c>
      <c r="G13">
        <f>G10*G10*H10</f>
        <v>208.75809447420013</v>
      </c>
      <c r="L13" s="80" t="s">
        <v>92</v>
      </c>
      <c r="M13" s="80"/>
      <c r="N13" s="80"/>
      <c r="O13" t="s">
        <v>81</v>
      </c>
      <c r="R13" t="s">
        <v>81</v>
      </c>
      <c r="U13" t="s">
        <v>81</v>
      </c>
    </row>
    <row r="14" spans="1:23" x14ac:dyDescent="0.25">
      <c r="A14" t="s">
        <v>33</v>
      </c>
      <c r="B14" t="e">
        <f>#REF!-D13-A13</f>
        <v>#REF!</v>
      </c>
      <c r="G14" t="s">
        <v>33</v>
      </c>
      <c r="H14" t="e">
        <f>#REF!-J13-G13</f>
        <v>#REF!</v>
      </c>
      <c r="L14" s="83" t="s">
        <v>68</v>
      </c>
      <c r="M14" s="83"/>
      <c r="N14" s="83"/>
      <c r="O14" t="s">
        <v>81</v>
      </c>
      <c r="R14" t="s">
        <v>81</v>
      </c>
      <c r="U14" t="s">
        <v>81</v>
      </c>
    </row>
    <row r="15" spans="1:23" x14ac:dyDescent="0.25">
      <c r="L15" s="83" t="s">
        <v>69</v>
      </c>
      <c r="M15" s="83"/>
      <c r="N15" s="83"/>
      <c r="R15" t="s">
        <v>81</v>
      </c>
      <c r="U15" t="s">
        <v>81</v>
      </c>
    </row>
    <row r="16" spans="1:23" ht="28.5" customHeight="1" x14ac:dyDescent="0.25">
      <c r="A16" s="1" t="s">
        <v>21</v>
      </c>
      <c r="G16" s="1" t="s">
        <v>21</v>
      </c>
      <c r="L16" s="80" t="s">
        <v>70</v>
      </c>
      <c r="M16" s="80"/>
      <c r="N16" s="80"/>
      <c r="O16" t="s">
        <v>81</v>
      </c>
      <c r="P16" t="s">
        <v>81</v>
      </c>
      <c r="S16" t="s">
        <v>81</v>
      </c>
    </row>
    <row r="17" spans="1:23" x14ac:dyDescent="0.25">
      <c r="A17" t="s">
        <v>33</v>
      </c>
      <c r="B17">
        <f>2*B10*TAN(35*PI()/180)+C10-A10</f>
        <v>0</v>
      </c>
      <c r="G17" t="s">
        <v>33</v>
      </c>
      <c r="H17">
        <f>1.62*G10-H10</f>
        <v>3.8031799931559362E-12</v>
      </c>
      <c r="L17" s="83" t="s">
        <v>93</v>
      </c>
      <c r="M17" s="83"/>
      <c r="N17" s="83"/>
    </row>
    <row r="18" spans="1:23" x14ac:dyDescent="0.25">
      <c r="L18" s="4"/>
      <c r="M18" s="4"/>
      <c r="N18" s="4"/>
    </row>
    <row r="19" spans="1:23" ht="13.5" customHeight="1" x14ac:dyDescent="0.25">
      <c r="L19" s="87" t="s">
        <v>53</v>
      </c>
      <c r="M19" s="87"/>
      <c r="N19" s="87"/>
    </row>
    <row r="20" spans="1:23" x14ac:dyDescent="0.25">
      <c r="A20" s="1" t="s">
        <v>22</v>
      </c>
      <c r="L20" s="8" t="s">
        <v>75</v>
      </c>
      <c r="M20" s="5"/>
      <c r="N20" s="5"/>
      <c r="Q20" s="5"/>
      <c r="R20" s="8" t="s">
        <v>80</v>
      </c>
      <c r="S20" s="5"/>
      <c r="T20" s="5"/>
    </row>
    <row r="21" spans="1:23" ht="30.75" customHeight="1" x14ac:dyDescent="0.25">
      <c r="A21" t="s">
        <v>33</v>
      </c>
      <c r="B21">
        <f>2*D10-B10</f>
        <v>0</v>
      </c>
      <c r="L21" s="85" t="s">
        <v>152</v>
      </c>
      <c r="M21" s="85"/>
      <c r="N21" s="85"/>
      <c r="O21" t="s">
        <v>81</v>
      </c>
      <c r="Q21" s="5">
        <v>1</v>
      </c>
      <c r="R21" s="83" t="s">
        <v>82</v>
      </c>
      <c r="S21" s="83"/>
      <c r="T21" s="83"/>
    </row>
    <row r="22" spans="1:23" ht="29.25" customHeight="1" x14ac:dyDescent="0.25">
      <c r="L22" s="86"/>
      <c r="M22" s="86"/>
      <c r="N22" s="86"/>
      <c r="O22" t="s">
        <v>81</v>
      </c>
      <c r="Q22" s="5">
        <v>2</v>
      </c>
      <c r="R22" s="83" t="s">
        <v>83</v>
      </c>
      <c r="S22" s="83"/>
      <c r="T22" s="83"/>
    </row>
    <row r="23" spans="1:23" ht="16.5" customHeight="1" x14ac:dyDescent="0.25">
      <c r="L23" s="84" t="s">
        <v>156</v>
      </c>
      <c r="M23" s="84"/>
      <c r="O23" t="s">
        <v>81</v>
      </c>
      <c r="Q23" s="5">
        <v>3</v>
      </c>
      <c r="R23" s="83" t="s">
        <v>85</v>
      </c>
      <c r="S23" s="83"/>
      <c r="T23" s="83"/>
    </row>
    <row r="24" spans="1:23" x14ac:dyDescent="0.25">
      <c r="A24" t="s">
        <v>37</v>
      </c>
      <c r="L24" s="5" t="s">
        <v>76</v>
      </c>
      <c r="M24" s="5">
        <f>6000/2000</f>
        <v>3</v>
      </c>
      <c r="O24" t="s">
        <v>81</v>
      </c>
      <c r="T24" t="s">
        <v>81</v>
      </c>
    </row>
    <row r="25" spans="1:23" ht="32.25" customHeight="1" x14ac:dyDescent="0.25">
      <c r="C25" t="s">
        <v>23</v>
      </c>
      <c r="E25" t="s">
        <v>10</v>
      </c>
      <c r="L25" s="34" t="s">
        <v>158</v>
      </c>
      <c r="M25" s="5">
        <v>30</v>
      </c>
      <c r="Q25" s="83" t="s">
        <v>155</v>
      </c>
      <c r="R25" s="83"/>
      <c r="S25" s="83"/>
      <c r="T25" s="83"/>
      <c r="U25" s="5"/>
      <c r="V25" s="5"/>
      <c r="W25" s="5"/>
    </row>
    <row r="26" spans="1:23" ht="36" customHeight="1" x14ac:dyDescent="0.25">
      <c r="A26">
        <v>28.16</v>
      </c>
      <c r="B26" t="s">
        <v>2</v>
      </c>
      <c r="C26">
        <v>1.3</v>
      </c>
      <c r="E26">
        <f>A26*C26</f>
        <v>36.608000000000004</v>
      </c>
      <c r="L26" s="35" t="s">
        <v>159</v>
      </c>
      <c r="M26" s="36">
        <f>30*PI()/180</f>
        <v>0.52359877559829882</v>
      </c>
      <c r="Q26" s="5" t="s">
        <v>73</v>
      </c>
      <c r="R26" s="5" t="s">
        <v>71</v>
      </c>
      <c r="S26" s="5" t="s">
        <v>72</v>
      </c>
      <c r="T26" s="5" t="s">
        <v>84</v>
      </c>
      <c r="U26" s="5" t="s">
        <v>86</v>
      </c>
      <c r="V26" s="5" t="s">
        <v>148</v>
      </c>
      <c r="W26" s="5" t="s">
        <v>149</v>
      </c>
    </row>
    <row r="27" spans="1:23" ht="30.75" customHeight="1" x14ac:dyDescent="0.25">
      <c r="L27" s="6" t="s">
        <v>157</v>
      </c>
      <c r="M27" s="37" t="s">
        <v>74</v>
      </c>
      <c r="N27" s="6" t="s">
        <v>79</v>
      </c>
      <c r="O27" s="6" t="s">
        <v>56</v>
      </c>
      <c r="Q27" s="5">
        <v>58.792234391009401</v>
      </c>
      <c r="R27" s="5">
        <v>10</v>
      </c>
      <c r="S27" s="5">
        <v>7.8768082220043922</v>
      </c>
      <c r="T27" s="5">
        <v>5</v>
      </c>
      <c r="U27" s="5">
        <f>(Q27-R27)/(2*TAN(M26))</f>
        <v>42.25531449001889</v>
      </c>
      <c r="V27" s="5">
        <f>R27*R27</f>
        <v>100</v>
      </c>
      <c r="W27" s="5">
        <f>Q27*Q27</f>
        <v>3456.5268246873884</v>
      </c>
    </row>
    <row r="28" spans="1:23" x14ac:dyDescent="0.25">
      <c r="A28" t="s">
        <v>24</v>
      </c>
      <c r="L28" s="5" t="s">
        <v>77</v>
      </c>
      <c r="M28" s="7">
        <v>11250.005999999999</v>
      </c>
      <c r="N28" s="7">
        <v>0.44022</v>
      </c>
      <c r="O28" s="7">
        <f>M28/N28</f>
        <v>25555.417745672617</v>
      </c>
      <c r="Q28" s="5"/>
      <c r="R28" s="5"/>
      <c r="S28" s="5"/>
      <c r="T28" s="5"/>
      <c r="U28" s="9"/>
      <c r="V28" s="9"/>
      <c r="W28" s="9"/>
    </row>
    <row r="29" spans="1:23" x14ac:dyDescent="0.25">
      <c r="A29" t="s">
        <v>25</v>
      </c>
      <c r="B29" t="s">
        <v>26</v>
      </c>
      <c r="L29" s="5" t="s">
        <v>78</v>
      </c>
      <c r="M29" s="7">
        <f>M28/M24</f>
        <v>3750.002</v>
      </c>
      <c r="N29" s="7">
        <v>0.29499999999999998</v>
      </c>
      <c r="O29" s="7">
        <f>M29/N29</f>
        <v>12711.871186440678</v>
      </c>
      <c r="Q29" s="81" t="s">
        <v>88</v>
      </c>
      <c r="R29" s="81"/>
      <c r="S29" s="81"/>
      <c r="T29" s="81"/>
      <c r="U29" s="9"/>
      <c r="V29" s="9"/>
      <c r="W29" s="9"/>
    </row>
    <row r="30" spans="1:23" x14ac:dyDescent="0.25">
      <c r="A30">
        <v>2.8271785049016125</v>
      </c>
      <c r="B30">
        <v>4.5800291779406122</v>
      </c>
      <c r="L30" s="5" t="s">
        <v>16</v>
      </c>
      <c r="M30" s="7">
        <f>SUM(M28:M29)</f>
        <v>15000.008</v>
      </c>
      <c r="N30" s="7">
        <f>(N28*M24+N29)/4</f>
        <v>0.40391499999999997</v>
      </c>
      <c r="O30" s="7">
        <f>SUM(O28:O29)</f>
        <v>38267.288932113297</v>
      </c>
      <c r="Q30" s="5">
        <f>4*(R27*T27)+(4/2)*(Q27+R27)*(U27/COS(M26))+4*Q27*S27</f>
        <v>8765.4342703392249</v>
      </c>
      <c r="R30" s="5"/>
      <c r="S30" s="5"/>
      <c r="T30" s="5"/>
      <c r="U30" s="9"/>
      <c r="V30" s="9"/>
      <c r="W30" s="9"/>
    </row>
    <row r="31" spans="1:23" ht="21.75" customHeight="1" x14ac:dyDescent="0.25">
      <c r="A31" t="s">
        <v>20</v>
      </c>
      <c r="L31" s="5" t="s">
        <v>94</v>
      </c>
      <c r="M31" s="7">
        <f>1.5*M30</f>
        <v>22500.011999999999</v>
      </c>
      <c r="N31" s="5"/>
      <c r="O31" s="7">
        <f>1.5*O30</f>
        <v>57400.933398169946</v>
      </c>
      <c r="Q31" s="5"/>
      <c r="R31" s="5"/>
      <c r="S31" s="5"/>
      <c r="T31" s="5"/>
      <c r="U31" s="9"/>
      <c r="V31" s="9"/>
      <c r="W31" s="9"/>
    </row>
    <row r="32" spans="1:23" x14ac:dyDescent="0.25">
      <c r="A32" t="s">
        <v>29</v>
      </c>
      <c r="L32" s="5" t="s">
        <v>98</v>
      </c>
      <c r="M32" s="5">
        <v>1.5</v>
      </c>
      <c r="N32" s="5"/>
      <c r="O32" s="5"/>
      <c r="Q32" s="81" t="s">
        <v>87</v>
      </c>
      <c r="R32" s="81"/>
      <c r="S32" s="81"/>
      <c r="T32" s="81"/>
      <c r="U32" s="9"/>
      <c r="V32" s="9"/>
      <c r="W32" s="9"/>
    </row>
    <row r="33" spans="1:23" x14ac:dyDescent="0.25">
      <c r="A33">
        <f>A30*A30*B30</f>
        <v>36.607890624964938</v>
      </c>
      <c r="Q33" s="5">
        <f>O31*M32-(W27*S27+(V27*T27)+(U27/3*(W27+V27+SQRT(W27*V27))))</f>
        <v>1.8265059043187648E-4</v>
      </c>
      <c r="R33" s="5"/>
      <c r="S33" s="5"/>
      <c r="T33" s="5"/>
      <c r="U33" s="9"/>
      <c r="V33" s="9"/>
      <c r="W33" s="9"/>
    </row>
    <row r="34" spans="1:23" x14ac:dyDescent="0.25">
      <c r="B34">
        <f>E26-D33-A33</f>
        <v>1.0937503506625035E-4</v>
      </c>
    </row>
    <row r="37" spans="1:23" x14ac:dyDescent="0.25">
      <c r="B37">
        <f>1.62*A30-B30</f>
        <v>0</v>
      </c>
    </row>
    <row r="38" spans="1:23" x14ac:dyDescent="0.25">
      <c r="L38" s="2"/>
    </row>
  </sheetData>
  <mergeCells count="22">
    <mergeCell ref="Q32:T32"/>
    <mergeCell ref="Q29:T29"/>
    <mergeCell ref="Q25:T25"/>
    <mergeCell ref="L23:M23"/>
    <mergeCell ref="L17:N17"/>
    <mergeCell ref="L21:N21"/>
    <mergeCell ref="L22:N22"/>
    <mergeCell ref="R23:T23"/>
    <mergeCell ref="R22:T22"/>
    <mergeCell ref="R21:T21"/>
    <mergeCell ref="L19:N19"/>
    <mergeCell ref="L1:W1"/>
    <mergeCell ref="M2:W2"/>
    <mergeCell ref="N3:W3"/>
    <mergeCell ref="L13:N13"/>
    <mergeCell ref="L16:N16"/>
    <mergeCell ref="L9:N9"/>
    <mergeCell ref="L10:N10"/>
    <mergeCell ref="L11:N11"/>
    <mergeCell ref="L12:N12"/>
    <mergeCell ref="L14:N14"/>
    <mergeCell ref="L15:N15"/>
  </mergeCells>
  <pageMargins left="0.25" right="0.25" top="0.75" bottom="0.75" header="0.3" footer="0.3"/>
  <pageSetup scale="7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topLeftCell="A5" workbookViewId="0">
      <selection activeCell="M14" sqref="M14"/>
    </sheetView>
  </sheetViews>
  <sheetFormatPr baseColWidth="10" defaultRowHeight="15" x14ac:dyDescent="0.25"/>
  <cols>
    <col min="1" max="1" width="21.28515625" customWidth="1"/>
    <col min="4" max="4" width="1.28515625" customWidth="1"/>
    <col min="5" max="5" width="11.42578125" customWidth="1"/>
    <col min="7" max="7" width="15" customWidth="1"/>
    <col min="17" max="17" width="12" bestFit="1" customWidth="1"/>
  </cols>
  <sheetData>
    <row r="1" spans="1:14" x14ac:dyDescent="0.25">
      <c r="A1" s="76" t="s">
        <v>176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x14ac:dyDescent="0.25">
      <c r="A2" s="25" t="s">
        <v>123</v>
      </c>
      <c r="B2" s="77" t="s">
        <v>41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4" x14ac:dyDescent="0.25">
      <c r="A3" s="30" t="s">
        <v>121</v>
      </c>
      <c r="B3" s="38">
        <v>43516</v>
      </c>
      <c r="C3" s="77" t="s">
        <v>178</v>
      </c>
      <c r="D3" s="78"/>
      <c r="E3" s="78"/>
      <c r="F3" s="78"/>
      <c r="G3" s="78"/>
      <c r="H3" s="78"/>
      <c r="I3" s="78"/>
      <c r="J3" s="78"/>
      <c r="K3" s="78"/>
      <c r="L3" s="78"/>
      <c r="M3" s="79"/>
    </row>
    <row r="4" spans="1:14" x14ac:dyDescent="0.25">
      <c r="A4" s="30"/>
      <c r="B4" s="38">
        <v>43577</v>
      </c>
      <c r="C4" s="48" t="s">
        <v>177</v>
      </c>
      <c r="D4" s="49"/>
      <c r="E4" s="49"/>
      <c r="F4" s="49"/>
      <c r="G4" s="49"/>
      <c r="H4" s="49"/>
      <c r="I4" s="49"/>
      <c r="J4" s="49"/>
      <c r="K4" s="49"/>
      <c r="L4" s="49"/>
      <c r="M4" s="50"/>
    </row>
    <row r="5" spans="1:14" x14ac:dyDescent="0.25">
      <c r="A5" s="8" t="s">
        <v>143</v>
      </c>
      <c r="B5" s="26" t="s">
        <v>146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4" x14ac:dyDescent="0.25">
      <c r="A6" s="27"/>
      <c r="B6" s="28" t="s">
        <v>179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4" x14ac:dyDescent="0.25">
      <c r="B7" t="s">
        <v>99</v>
      </c>
    </row>
    <row r="8" spans="1:14" x14ac:dyDescent="0.25">
      <c r="B8" s="3" t="s">
        <v>100</v>
      </c>
    </row>
    <row r="10" spans="1:14" x14ac:dyDescent="0.25">
      <c r="A10" s="88" t="s">
        <v>101</v>
      </c>
      <c r="B10" s="89"/>
      <c r="C10" s="90"/>
      <c r="F10" s="88" t="s">
        <v>203</v>
      </c>
      <c r="G10" s="89"/>
      <c r="H10" s="89"/>
      <c r="I10" s="90"/>
      <c r="K10" s="88" t="s">
        <v>204</v>
      </c>
      <c r="L10" s="89"/>
      <c r="M10" s="89"/>
      <c r="N10" s="90"/>
    </row>
    <row r="11" spans="1:14" x14ac:dyDescent="0.25">
      <c r="A11" s="8" t="s">
        <v>102</v>
      </c>
      <c r="B11" s="5"/>
      <c r="C11" s="5"/>
      <c r="F11" s="8" t="s">
        <v>183</v>
      </c>
      <c r="G11" s="5"/>
      <c r="H11" s="5"/>
      <c r="I11" s="5"/>
      <c r="K11" s="8" t="s">
        <v>183</v>
      </c>
      <c r="L11" s="5"/>
      <c r="M11" s="5"/>
      <c r="N11" s="5"/>
    </row>
    <row r="12" spans="1:14" x14ac:dyDescent="0.25">
      <c r="A12" s="8" t="s">
        <v>104</v>
      </c>
      <c r="B12" s="8" t="s">
        <v>105</v>
      </c>
      <c r="C12" s="8" t="s">
        <v>106</v>
      </c>
      <c r="F12" s="51" t="s">
        <v>184</v>
      </c>
      <c r="G12" s="5"/>
      <c r="H12" s="8" t="s">
        <v>105</v>
      </c>
      <c r="I12" s="8" t="s">
        <v>106</v>
      </c>
      <c r="K12" s="51" t="s">
        <v>184</v>
      </c>
      <c r="L12" s="5"/>
      <c r="M12" s="8" t="s">
        <v>105</v>
      </c>
      <c r="N12" s="8" t="s">
        <v>106</v>
      </c>
    </row>
    <row r="13" spans="1:14" x14ac:dyDescent="0.25">
      <c r="A13" s="5" t="s">
        <v>103</v>
      </c>
      <c r="B13" s="7">
        <v>9.81</v>
      </c>
      <c r="C13" s="5" t="s">
        <v>193</v>
      </c>
      <c r="F13" s="5">
        <v>1</v>
      </c>
      <c r="G13" s="5" t="s">
        <v>186</v>
      </c>
      <c r="H13" s="7">
        <f>($B$13*$B$14*$B$15)/($B$19)*$B$17</f>
        <v>13946.387477358528</v>
      </c>
      <c r="I13" s="5" t="s">
        <v>17</v>
      </c>
      <c r="K13" s="5">
        <v>1</v>
      </c>
      <c r="L13" s="5" t="s">
        <v>186</v>
      </c>
      <c r="M13" s="7">
        <f>($B$13*$B$14*$B$16)/(($B$19)*$B$18)</f>
        <v>433.16055000000017</v>
      </c>
      <c r="N13" s="5" t="s">
        <v>17</v>
      </c>
    </row>
    <row r="14" spans="1:14" x14ac:dyDescent="0.25">
      <c r="A14" s="5" t="s">
        <v>107</v>
      </c>
      <c r="B14" s="7">
        <v>529.86</v>
      </c>
      <c r="C14" s="5" t="s">
        <v>14</v>
      </c>
      <c r="D14" t="s">
        <v>181</v>
      </c>
      <c r="E14" t="s">
        <v>81</v>
      </c>
      <c r="F14" s="5">
        <v>2</v>
      </c>
      <c r="G14" s="5" t="s">
        <v>185</v>
      </c>
      <c r="H14" s="7">
        <v>0.9190080386905668</v>
      </c>
      <c r="I14" s="5"/>
      <c r="K14" s="5">
        <v>2</v>
      </c>
      <c r="L14" s="5" t="s">
        <v>185</v>
      </c>
      <c r="M14" s="7">
        <v>0.9190080386905668</v>
      </c>
      <c r="N14" s="5"/>
    </row>
    <row r="15" spans="1:14" x14ac:dyDescent="0.25">
      <c r="A15" s="5" t="s">
        <v>195</v>
      </c>
      <c r="B15" s="7">
        <f>(58.6/100)^2</f>
        <v>0.34339599999999998</v>
      </c>
      <c r="C15" s="5" t="s">
        <v>115</v>
      </c>
      <c r="D15" t="s">
        <v>108</v>
      </c>
      <c r="E15" t="s">
        <v>81</v>
      </c>
      <c r="F15" s="5">
        <v>3</v>
      </c>
      <c r="G15" s="5" t="s">
        <v>187</v>
      </c>
      <c r="H15" s="7">
        <f>H13*H14</f>
        <v>12816.842202385942</v>
      </c>
      <c r="I15" s="5" t="s">
        <v>17</v>
      </c>
      <c r="K15" s="5">
        <v>3</v>
      </c>
      <c r="L15" s="5" t="s">
        <v>187</v>
      </c>
      <c r="M15" s="7">
        <f>M13*M14</f>
        <v>398.07802749362736</v>
      </c>
      <c r="N15" s="5" t="s">
        <v>17</v>
      </c>
    </row>
    <row r="16" spans="1:14" x14ac:dyDescent="0.25">
      <c r="A16" s="5" t="s">
        <v>196</v>
      </c>
      <c r="B16" s="7">
        <f>0.1^2</f>
        <v>1.0000000000000002E-2</v>
      </c>
      <c r="C16" s="5" t="s">
        <v>115</v>
      </c>
    </row>
    <row r="17" spans="1:13" x14ac:dyDescent="0.25">
      <c r="A17" s="5" t="s">
        <v>197</v>
      </c>
      <c r="B17" s="7">
        <f>4*58.6/100</f>
        <v>2.3439999999999999</v>
      </c>
      <c r="C17" s="5" t="s">
        <v>15</v>
      </c>
      <c r="D17" s="3" t="s">
        <v>110</v>
      </c>
      <c r="E17" t="s">
        <v>81</v>
      </c>
      <c r="F17" s="88" t="s">
        <v>199</v>
      </c>
      <c r="G17" s="89"/>
      <c r="H17" s="90"/>
      <c r="I17" s="44"/>
      <c r="K17" s="88" t="s">
        <v>200</v>
      </c>
      <c r="L17" s="89"/>
      <c r="M17" s="90"/>
    </row>
    <row r="18" spans="1:13" x14ac:dyDescent="0.25">
      <c r="A18" s="5" t="s">
        <v>198</v>
      </c>
      <c r="B18" s="7">
        <f>0.1*4</f>
        <v>0.4</v>
      </c>
      <c r="C18" s="5" t="s">
        <v>15</v>
      </c>
      <c r="D18" t="s">
        <v>182</v>
      </c>
      <c r="E18" t="s">
        <v>81</v>
      </c>
      <c r="F18" s="8" t="s">
        <v>188</v>
      </c>
      <c r="G18" s="8" t="s">
        <v>105</v>
      </c>
      <c r="H18" s="8" t="s">
        <v>106</v>
      </c>
      <c r="I18" s="27"/>
      <c r="K18" s="8" t="s">
        <v>188</v>
      </c>
      <c r="L18" s="8" t="s">
        <v>105</v>
      </c>
      <c r="M18" s="8" t="s">
        <v>106</v>
      </c>
    </row>
    <row r="19" spans="1:13" x14ac:dyDescent="0.25">
      <c r="A19" s="5" t="s">
        <v>194</v>
      </c>
      <c r="B19" s="7">
        <v>0.3</v>
      </c>
      <c r="C19" s="5"/>
      <c r="F19" s="5" t="s">
        <v>189</v>
      </c>
      <c r="G19" s="7">
        <f>$B$24*($B$22*COS($B$23)^2+1.5*SIN($B$23)^2)</f>
        <v>16342.81015985364</v>
      </c>
      <c r="H19" s="5" t="s">
        <v>17</v>
      </c>
      <c r="I19" s="9"/>
      <c r="K19" s="5" t="s">
        <v>189</v>
      </c>
      <c r="L19" s="7">
        <f>$B$25*($B$22*COS($B$23)^2+1.5*SIN($B$23)^2)</f>
        <v>507.59099077667247</v>
      </c>
      <c r="M19" s="5" t="s">
        <v>17</v>
      </c>
    </row>
    <row r="20" spans="1:13" x14ac:dyDescent="0.25">
      <c r="A20" s="5" t="s">
        <v>109</v>
      </c>
      <c r="B20" s="7">
        <v>0.5</v>
      </c>
      <c r="C20" s="5"/>
      <c r="F20" s="5" t="s">
        <v>190</v>
      </c>
      <c r="G20" s="7">
        <f>$B$22*$B$24*(COS($B$23)^2)</f>
        <v>11529.812574901087</v>
      </c>
      <c r="H20" s="5" t="s">
        <v>17</v>
      </c>
      <c r="I20" s="9"/>
      <c r="K20" s="5" t="s">
        <v>190</v>
      </c>
      <c r="L20" s="7">
        <f>$B$22*$B$25*(COS($B$23)^2)</f>
        <v>358.10420185507388</v>
      </c>
      <c r="M20" s="5" t="s">
        <v>17</v>
      </c>
    </row>
    <row r="21" spans="1:13" x14ac:dyDescent="0.25">
      <c r="A21" s="5" t="s">
        <v>111</v>
      </c>
      <c r="B21" s="7">
        <v>0.08</v>
      </c>
      <c r="C21" s="5" t="s">
        <v>15</v>
      </c>
      <c r="F21" s="5" t="s">
        <v>191</v>
      </c>
      <c r="G21" s="7">
        <f>3*((B15/B17)*(B13*B14*B20)/(SQRT(B19)))</f>
        <v>2085.4433594132674</v>
      </c>
      <c r="H21" s="5" t="s">
        <v>17</v>
      </c>
      <c r="I21" s="9"/>
      <c r="K21" s="5" t="s">
        <v>191</v>
      </c>
      <c r="L21" s="7">
        <f>3*((B16/B18)*(B13*B14*B20)/(SQRT(B19)))*(SIN($B$23)^2)</f>
        <v>89.093112240927084</v>
      </c>
      <c r="M21" s="5" t="s">
        <v>17</v>
      </c>
    </row>
    <row r="22" spans="1:13" x14ac:dyDescent="0.25">
      <c r="A22" s="5" t="s">
        <v>118</v>
      </c>
      <c r="B22" s="5">
        <v>1.2</v>
      </c>
      <c r="C22" s="5"/>
      <c r="F22" s="52" t="s">
        <v>192</v>
      </c>
      <c r="G22" s="53">
        <f>G19+G21+2*B24*B20</f>
        <v>31245.095721652848</v>
      </c>
      <c r="H22" s="52" t="s">
        <v>17</v>
      </c>
      <c r="I22" s="9"/>
      <c r="K22" s="5" t="s">
        <v>192</v>
      </c>
      <c r="L22" s="7">
        <f>L21+L20</f>
        <v>447.19731409600098</v>
      </c>
      <c r="M22" s="5" t="s">
        <v>17</v>
      </c>
    </row>
    <row r="23" spans="1:13" x14ac:dyDescent="0.25">
      <c r="A23" s="5" t="s">
        <v>119</v>
      </c>
      <c r="B23" s="7">
        <v>0.52400000000000002</v>
      </c>
      <c r="C23" s="5" t="s">
        <v>39</v>
      </c>
    </row>
    <row r="24" spans="1:13" x14ac:dyDescent="0.25">
      <c r="A24" s="5" t="s">
        <v>201</v>
      </c>
      <c r="B24" s="7">
        <f>$H$15</f>
        <v>12816.842202385942</v>
      </c>
      <c r="C24" s="5" t="s">
        <v>17</v>
      </c>
      <c r="F24" s="8" t="s">
        <v>205</v>
      </c>
      <c r="G24" s="26"/>
      <c r="H24" s="26"/>
    </row>
    <row r="25" spans="1:13" x14ac:dyDescent="0.25">
      <c r="A25" s="5" t="s">
        <v>202</v>
      </c>
      <c r="B25" s="7">
        <f>M15</f>
        <v>398.07802749362736</v>
      </c>
      <c r="C25" s="5"/>
      <c r="F25" s="26" t="s">
        <v>206</v>
      </c>
      <c r="G25" s="55">
        <f>0.487-0.588*(0.588-0.1)/(6*(0.588+0.1))</f>
        <v>0.41748837209302325</v>
      </c>
      <c r="H25" s="26" t="s">
        <v>15</v>
      </c>
    </row>
    <row r="26" spans="1:13" x14ac:dyDescent="0.25">
      <c r="A26" s="5" t="s">
        <v>120</v>
      </c>
      <c r="B26" s="7">
        <f>0.421/COS(B23)</f>
        <v>0.48624160220884305</v>
      </c>
      <c r="C26" s="5" t="s">
        <v>15</v>
      </c>
      <c r="F26" s="26" t="s">
        <v>207</v>
      </c>
      <c r="G26" s="56">
        <f>((PI()^2*B27*1000000000)/(12*(1-$B$19^2)*$G$22))^(-1/2)*$G$25*1000</f>
        <v>0.17808197345967205</v>
      </c>
      <c r="H26" s="26" t="s">
        <v>210</v>
      </c>
    </row>
    <row r="27" spans="1:13" x14ac:dyDescent="0.25">
      <c r="A27" s="54" t="s">
        <v>208</v>
      </c>
      <c r="B27" s="5">
        <v>190</v>
      </c>
      <c r="C27" s="54" t="s">
        <v>209</v>
      </c>
    </row>
    <row r="52" spans="1:6" x14ac:dyDescent="0.25">
      <c r="D52" s="1" t="s">
        <v>117</v>
      </c>
      <c r="E52" s="1"/>
    </row>
    <row r="53" spans="1:6" x14ac:dyDescent="0.25">
      <c r="A53" s="1" t="s">
        <v>116</v>
      </c>
      <c r="D53">
        <f>A61*TAN(B19)</f>
        <v>61.675074566203399</v>
      </c>
      <c r="F53" t="s">
        <v>17</v>
      </c>
    </row>
    <row r="54" spans="1:6" x14ac:dyDescent="0.25">
      <c r="A54" t="s">
        <v>112</v>
      </c>
    </row>
    <row r="55" spans="1:6" x14ac:dyDescent="0.25">
      <c r="A55">
        <f>($B$13*$B$14*$B$15)/(TAN($B$19)*$B$17)</f>
        <v>2461.7103487256813</v>
      </c>
      <c r="B55" t="s">
        <v>17</v>
      </c>
    </row>
    <row r="57" spans="1:6" x14ac:dyDescent="0.25">
      <c r="A57" t="s">
        <v>113</v>
      </c>
    </row>
    <row r="58" spans="1:6" x14ac:dyDescent="0.25">
      <c r="A58">
        <f>EXP(-($B$20*TAN($B$19)*$B$17*$B$21)/$B$15)</f>
        <v>0.9190080386905668</v>
      </c>
    </row>
    <row r="60" spans="1:6" x14ac:dyDescent="0.25">
      <c r="A60" t="s">
        <v>114</v>
      </c>
    </row>
    <row r="61" spans="1:6" x14ac:dyDescent="0.25">
      <c r="A61">
        <f>$A$55*(1-$A$58)</f>
        <v>199.37874931902169</v>
      </c>
      <c r="B61" t="s">
        <v>17</v>
      </c>
    </row>
    <row r="62" spans="1:6" x14ac:dyDescent="0.25">
      <c r="A62">
        <f>A61/1000000</f>
        <v>1.9937874931902168E-4</v>
      </c>
      <c r="B62" t="s">
        <v>180</v>
      </c>
    </row>
  </sheetData>
  <mergeCells count="8">
    <mergeCell ref="F17:H17"/>
    <mergeCell ref="K17:M17"/>
    <mergeCell ref="K10:N10"/>
    <mergeCell ref="A1:M1"/>
    <mergeCell ref="B2:M2"/>
    <mergeCell ref="C3:M3"/>
    <mergeCell ref="A10:C10"/>
    <mergeCell ref="F10:I10"/>
  </mergeCells>
  <hyperlinks>
    <hyperlink ref="B8" r:id="rId1"/>
    <hyperlink ref="D17" r:id="rId2"/>
  </hyperlinks>
  <pageMargins left="0.25" right="0.25" top="0.75" bottom="0.75" header="0.3" footer="0.3"/>
  <pageSetup scale="82" fitToHeight="0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topLeftCell="A5" workbookViewId="0">
      <selection activeCell="H10" sqref="H10"/>
    </sheetView>
  </sheetViews>
  <sheetFormatPr baseColWidth="10" defaultRowHeight="15" x14ac:dyDescent="0.25"/>
  <cols>
    <col min="1" max="1" width="28.140625" bestFit="1" customWidth="1"/>
    <col min="8" max="8" width="15.85546875" customWidth="1"/>
    <col min="9" max="9" width="15.140625" customWidth="1"/>
    <col min="10" max="10" width="18" customWidth="1"/>
    <col min="11" max="11" width="16.85546875" customWidth="1"/>
  </cols>
  <sheetData>
    <row r="1" spans="1:12" x14ac:dyDescent="0.25">
      <c r="A1" s="76" t="s">
        <v>161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x14ac:dyDescent="0.25">
      <c r="A2" s="25" t="s">
        <v>123</v>
      </c>
      <c r="B2" s="77" t="s">
        <v>41</v>
      </c>
      <c r="C2" s="78"/>
      <c r="D2" s="78"/>
      <c r="E2" s="78"/>
      <c r="F2" s="78"/>
      <c r="G2" s="78"/>
      <c r="H2" s="78"/>
      <c r="I2" s="78"/>
      <c r="J2" s="78"/>
      <c r="K2" s="78"/>
      <c r="L2" s="79"/>
    </row>
    <row r="3" spans="1:12" x14ac:dyDescent="0.25">
      <c r="A3" s="30" t="s">
        <v>121</v>
      </c>
      <c r="B3" s="38">
        <v>43433</v>
      </c>
      <c r="C3" s="77" t="s">
        <v>162</v>
      </c>
      <c r="D3" s="78"/>
      <c r="E3" s="78"/>
      <c r="F3" s="78"/>
      <c r="G3" s="78"/>
      <c r="H3" s="78"/>
      <c r="I3" s="78"/>
      <c r="J3" s="78"/>
      <c r="K3" s="78"/>
      <c r="L3" s="79"/>
    </row>
    <row r="4" spans="1:12" x14ac:dyDescent="0.25">
      <c r="A4" s="30"/>
      <c r="B4" s="38">
        <v>43563</v>
      </c>
      <c r="C4" s="31" t="s">
        <v>163</v>
      </c>
      <c r="D4" s="32"/>
      <c r="E4" s="32"/>
      <c r="F4" s="32"/>
      <c r="G4" s="32"/>
      <c r="H4" s="32"/>
      <c r="I4" s="32"/>
      <c r="J4" s="32"/>
      <c r="K4" s="32"/>
      <c r="L4" s="33"/>
    </row>
    <row r="5" spans="1:12" x14ac:dyDescent="0.25">
      <c r="A5" s="8" t="s">
        <v>143</v>
      </c>
      <c r="B5" s="26" t="s">
        <v>146</v>
      </c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x14ac:dyDescent="0.25">
      <c r="A6" s="27"/>
      <c r="B6" s="26" t="s">
        <v>164</v>
      </c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25">
      <c r="A7" s="27"/>
      <c r="B7" s="91" t="s">
        <v>95</v>
      </c>
      <c r="C7" s="91"/>
      <c r="D7" s="91"/>
      <c r="E7" s="91"/>
      <c r="F7" s="91"/>
      <c r="G7" s="28"/>
      <c r="H7" s="28"/>
      <c r="I7" s="28"/>
      <c r="J7" s="28"/>
      <c r="K7" s="28"/>
      <c r="L7" s="28"/>
    </row>
    <row r="8" spans="1:12" x14ac:dyDescent="0.25">
      <c r="A8" s="27"/>
    </row>
    <row r="9" spans="1:12" x14ac:dyDescent="0.25">
      <c r="A9" s="84" t="s">
        <v>36</v>
      </c>
      <c r="B9" s="84"/>
      <c r="C9" s="84"/>
      <c r="D9" s="84"/>
      <c r="E9" s="84"/>
      <c r="F9" s="84"/>
      <c r="H9" s="88" t="s">
        <v>53</v>
      </c>
      <c r="I9" s="89"/>
      <c r="J9" s="89"/>
      <c r="K9" s="90"/>
    </row>
    <row r="10" spans="1:12" x14ac:dyDescent="0.25">
      <c r="A10" s="77" t="s">
        <v>42</v>
      </c>
      <c r="B10" s="78"/>
      <c r="C10" s="78"/>
      <c r="D10" s="78"/>
      <c r="E10" s="78"/>
      <c r="F10" s="78"/>
      <c r="G10">
        <v>1</v>
      </c>
      <c r="H10" s="5" t="s">
        <v>54</v>
      </c>
      <c r="I10" s="5"/>
      <c r="J10" s="5"/>
      <c r="K10" s="5"/>
    </row>
    <row r="11" spans="1:12" x14ac:dyDescent="0.25">
      <c r="A11" s="26">
        <v>1</v>
      </c>
      <c r="B11" s="91" t="s">
        <v>43</v>
      </c>
      <c r="C11" s="91"/>
      <c r="D11" s="91"/>
      <c r="E11" s="91"/>
      <c r="F11" s="91"/>
      <c r="H11" s="8" t="s">
        <v>56</v>
      </c>
      <c r="I11" s="7">
        <f>B20/B19</f>
        <v>16064.257028112448</v>
      </c>
      <c r="J11" s="5"/>
      <c r="K11" s="5"/>
    </row>
    <row r="12" spans="1:12" x14ac:dyDescent="0.25">
      <c r="A12" s="26">
        <v>2</v>
      </c>
      <c r="B12" s="91" t="s">
        <v>129</v>
      </c>
      <c r="C12" s="91"/>
      <c r="D12" s="91"/>
      <c r="E12" s="91"/>
      <c r="F12" s="91"/>
      <c r="G12">
        <v>2</v>
      </c>
      <c r="H12" s="5" t="s">
        <v>57</v>
      </c>
      <c r="I12" s="5"/>
      <c r="J12" s="5"/>
      <c r="K12" s="5"/>
    </row>
    <row r="13" spans="1:12" x14ac:dyDescent="0.25">
      <c r="H13" s="8" t="s">
        <v>56</v>
      </c>
      <c r="I13" s="7">
        <f>I11*B21</f>
        <v>19277.108433734938</v>
      </c>
      <c r="J13" s="5"/>
      <c r="K13" s="5"/>
    </row>
    <row r="14" spans="1:12" x14ac:dyDescent="0.25">
      <c r="G14">
        <v>3</v>
      </c>
      <c r="H14" s="95" t="s">
        <v>96</v>
      </c>
      <c r="I14" s="96"/>
      <c r="J14" s="96"/>
      <c r="K14" s="96"/>
      <c r="L14" s="96"/>
    </row>
    <row r="15" spans="1:12" x14ac:dyDescent="0.25">
      <c r="A15" s="88" t="s">
        <v>46</v>
      </c>
      <c r="B15" s="90"/>
      <c r="H15" s="8" t="s">
        <v>24</v>
      </c>
      <c r="I15" s="5"/>
      <c r="J15" s="5"/>
      <c r="K15" s="5"/>
    </row>
    <row r="16" spans="1:12" ht="31.5" customHeight="1" x14ac:dyDescent="0.25">
      <c r="A16" s="5" t="s">
        <v>47</v>
      </c>
      <c r="B16" s="5">
        <v>30</v>
      </c>
      <c r="C16" t="s">
        <v>170</v>
      </c>
      <c r="H16" s="39" t="s">
        <v>165</v>
      </c>
      <c r="I16" s="39" t="s">
        <v>131</v>
      </c>
      <c r="J16" s="39" t="s">
        <v>132</v>
      </c>
      <c r="K16" s="39" t="s">
        <v>133</v>
      </c>
    </row>
    <row r="17" spans="1:12" x14ac:dyDescent="0.25">
      <c r="A17" s="5" t="s">
        <v>48</v>
      </c>
      <c r="B17" s="42">
        <f>(PI()/180)*B16</f>
        <v>0.52359877559829882</v>
      </c>
      <c r="H17" s="40">
        <v>43.975296439663964</v>
      </c>
      <c r="I17" s="40">
        <v>35.884019330087902</v>
      </c>
      <c r="J17" s="40">
        <v>0</v>
      </c>
      <c r="K17" s="40">
        <v>2.54</v>
      </c>
    </row>
    <row r="18" spans="1:12" x14ac:dyDescent="0.25">
      <c r="A18" s="5" t="s">
        <v>49</v>
      </c>
      <c r="B18" s="5">
        <v>2.54</v>
      </c>
      <c r="H18" s="8" t="s">
        <v>20</v>
      </c>
      <c r="I18" s="5"/>
      <c r="J18" s="5"/>
      <c r="K18" s="5"/>
    </row>
    <row r="19" spans="1:12" ht="30.75" customHeight="1" x14ac:dyDescent="0.25">
      <c r="A19" s="5" t="s">
        <v>50</v>
      </c>
      <c r="B19" s="5">
        <v>1.2450000000000001</v>
      </c>
      <c r="H19" s="6" t="s">
        <v>138</v>
      </c>
      <c r="I19" s="6" t="s">
        <v>137</v>
      </c>
      <c r="J19" s="6" t="s">
        <v>136</v>
      </c>
      <c r="K19" s="6" t="s">
        <v>166</v>
      </c>
      <c r="L19" s="6" t="s">
        <v>135</v>
      </c>
    </row>
    <row r="20" spans="1:12" x14ac:dyDescent="0.25">
      <c r="A20" s="5" t="s">
        <v>51</v>
      </c>
      <c r="B20" s="5">
        <v>20000</v>
      </c>
      <c r="H20" s="7">
        <f>I20*J17</f>
        <v>0</v>
      </c>
      <c r="I20" s="7">
        <f>(PI()*(H17^2)/4)</f>
        <v>1518.8239361184492</v>
      </c>
      <c r="J20" s="7">
        <f>PI()*(K17/2)^2</f>
        <v>5.0670747909749769</v>
      </c>
      <c r="K20" s="7">
        <f>(I17/3)*(I20+J20+SQRT(I20*J20))</f>
        <v>19277.108433737867</v>
      </c>
      <c r="L20" s="7">
        <f>H20+K20</f>
        <v>19277.108433737867</v>
      </c>
    </row>
    <row r="21" spans="1:12" x14ac:dyDescent="0.25">
      <c r="A21" s="5" t="s">
        <v>55</v>
      </c>
      <c r="B21" s="5">
        <v>1.2</v>
      </c>
      <c r="H21" s="92" t="s">
        <v>64</v>
      </c>
      <c r="I21" s="93"/>
      <c r="J21" s="93"/>
      <c r="K21" s="94"/>
    </row>
    <row r="22" spans="1:12" x14ac:dyDescent="0.25">
      <c r="A22" s="5" t="s">
        <v>89</v>
      </c>
      <c r="B22" s="5">
        <v>100</v>
      </c>
      <c r="H22" s="5" t="s">
        <v>33</v>
      </c>
      <c r="I22" s="7">
        <f>I13-L20</f>
        <v>-2.9285729397088289E-9</v>
      </c>
      <c r="J22" s="5"/>
      <c r="K22" s="5"/>
    </row>
    <row r="23" spans="1:12" x14ac:dyDescent="0.25">
      <c r="A23" s="5" t="s">
        <v>91</v>
      </c>
      <c r="B23" s="5">
        <v>50</v>
      </c>
      <c r="H23" s="9"/>
      <c r="I23" s="9"/>
      <c r="J23" s="9"/>
      <c r="K23" s="10"/>
    </row>
    <row r="24" spans="1:12" x14ac:dyDescent="0.25">
      <c r="H24" s="8" t="s">
        <v>167</v>
      </c>
      <c r="I24" s="8"/>
      <c r="J24" s="5"/>
      <c r="K24" s="5"/>
    </row>
    <row r="25" spans="1:12" x14ac:dyDescent="0.25">
      <c r="H25" s="5" t="s">
        <v>33</v>
      </c>
      <c r="I25" s="5">
        <f>2*I17*TAN(B17)+K17-H17</f>
        <v>0</v>
      </c>
      <c r="J25" s="5"/>
      <c r="K25" s="5"/>
    </row>
    <row r="26" spans="1:12" x14ac:dyDescent="0.25">
      <c r="H26" s="9"/>
      <c r="I26" s="9"/>
      <c r="J26" s="41"/>
      <c r="K26" s="5"/>
    </row>
    <row r="27" spans="1:12" x14ac:dyDescent="0.25">
      <c r="H27" s="8" t="s">
        <v>65</v>
      </c>
      <c r="I27" s="8"/>
      <c r="J27" s="5"/>
      <c r="K27" s="5"/>
    </row>
    <row r="28" spans="1:12" x14ac:dyDescent="0.25">
      <c r="H28" s="5" t="s">
        <v>171</v>
      </c>
      <c r="I28" s="7">
        <f>I17/COS(B17)</f>
        <v>41.435296439663965</v>
      </c>
      <c r="J28" s="5"/>
      <c r="K28" s="7"/>
    </row>
    <row r="29" spans="1:12" x14ac:dyDescent="0.25">
      <c r="H29" s="5" t="s">
        <v>174</v>
      </c>
      <c r="I29" s="7">
        <f>PI()*(0.5*H17+0.5*K17)*I28</f>
        <v>3027.5137226549482</v>
      </c>
      <c r="J29" s="5"/>
      <c r="K29" s="5"/>
    </row>
    <row r="30" spans="1:12" x14ac:dyDescent="0.25">
      <c r="H30" s="8" t="s">
        <v>175</v>
      </c>
      <c r="I30" s="46">
        <f>H17*PI()*J17+I29</f>
        <v>3027.5137226549482</v>
      </c>
      <c r="J30" s="5"/>
      <c r="K30" s="5"/>
    </row>
    <row r="31" spans="1:12" x14ac:dyDescent="0.25">
      <c r="A31" s="1"/>
      <c r="F31" s="1"/>
    </row>
    <row r="32" spans="1:12" x14ac:dyDescent="0.25">
      <c r="F32" s="1"/>
    </row>
    <row r="39" spans="1:1" x14ac:dyDescent="0.25">
      <c r="A39" s="1"/>
    </row>
  </sheetData>
  <mergeCells count="12">
    <mergeCell ref="H21:K21"/>
    <mergeCell ref="B7:F7"/>
    <mergeCell ref="A10:F10"/>
    <mergeCell ref="A15:B15"/>
    <mergeCell ref="H9:K9"/>
    <mergeCell ref="H14:L14"/>
    <mergeCell ref="B12:F12"/>
    <mergeCell ref="A1:L1"/>
    <mergeCell ref="B2:L2"/>
    <mergeCell ref="C3:L3"/>
    <mergeCell ref="A9:F9"/>
    <mergeCell ref="B11:F11"/>
  </mergeCells>
  <pageMargins left="0.25" right="0.25" top="0.75" bottom="0.75" header="0.3" footer="0.3"/>
  <pageSetup scale="76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topLeftCell="A5" workbookViewId="0">
      <selection activeCell="D15" sqref="D15"/>
    </sheetView>
  </sheetViews>
  <sheetFormatPr baseColWidth="10" defaultRowHeight="15" x14ac:dyDescent="0.25"/>
  <cols>
    <col min="1" max="1" width="28.140625" bestFit="1" customWidth="1"/>
    <col min="9" max="9" width="15.85546875" customWidth="1"/>
    <col min="10" max="10" width="14.140625" customWidth="1"/>
    <col min="11" max="11" width="17.140625" customWidth="1"/>
    <col min="12" max="12" width="13.5703125" customWidth="1"/>
    <col min="13" max="13" width="13.5703125" bestFit="1" customWidth="1"/>
  </cols>
  <sheetData>
    <row r="1" spans="1:13" x14ac:dyDescent="0.25">
      <c r="A1" s="76" t="s">
        <v>172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3" x14ac:dyDescent="0.25">
      <c r="A2" s="25" t="s">
        <v>123</v>
      </c>
      <c r="B2" s="77" t="s">
        <v>41</v>
      </c>
      <c r="C2" s="78"/>
      <c r="D2" s="78"/>
      <c r="E2" s="78"/>
      <c r="F2" s="78"/>
      <c r="G2" s="78"/>
      <c r="H2" s="78"/>
      <c r="I2" s="78"/>
      <c r="J2" s="78"/>
      <c r="K2" s="78"/>
      <c r="L2" s="79"/>
    </row>
    <row r="3" spans="1:13" x14ac:dyDescent="0.25">
      <c r="A3" s="30" t="s">
        <v>121</v>
      </c>
      <c r="B3" s="38">
        <v>43433</v>
      </c>
      <c r="C3" s="77" t="s">
        <v>162</v>
      </c>
      <c r="D3" s="78"/>
      <c r="E3" s="78"/>
      <c r="F3" s="78"/>
      <c r="G3" s="78"/>
      <c r="H3" s="78"/>
      <c r="I3" s="78"/>
      <c r="J3" s="78"/>
      <c r="K3" s="78"/>
      <c r="L3" s="79"/>
    </row>
    <row r="4" spans="1:13" x14ac:dyDescent="0.25">
      <c r="A4" s="30"/>
      <c r="B4" s="38">
        <v>43563</v>
      </c>
      <c r="C4" s="31" t="s">
        <v>163</v>
      </c>
      <c r="D4" s="32"/>
      <c r="E4" s="32"/>
      <c r="F4" s="32"/>
      <c r="G4" s="32"/>
      <c r="H4" s="32"/>
      <c r="I4" s="32"/>
      <c r="J4" s="32"/>
      <c r="K4" s="32"/>
      <c r="L4" s="33"/>
    </row>
    <row r="5" spans="1:13" x14ac:dyDescent="0.25">
      <c r="A5" s="8" t="s">
        <v>143</v>
      </c>
      <c r="B5" s="26" t="s">
        <v>146</v>
      </c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3" x14ac:dyDescent="0.25">
      <c r="A6" s="27"/>
      <c r="B6" s="26" t="s">
        <v>164</v>
      </c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3" x14ac:dyDescent="0.25">
      <c r="A7" s="27"/>
      <c r="B7" s="91" t="s">
        <v>95</v>
      </c>
      <c r="C7" s="91"/>
      <c r="D7" s="91"/>
      <c r="E7" s="91"/>
      <c r="F7" s="91"/>
      <c r="G7" s="28"/>
      <c r="H7" s="28"/>
      <c r="I7" s="28"/>
      <c r="J7" s="28"/>
      <c r="K7" s="28"/>
      <c r="L7" s="28"/>
      <c r="M7" s="9"/>
    </row>
    <row r="8" spans="1:13" x14ac:dyDescent="0.25">
      <c r="A8" s="27"/>
      <c r="B8" s="43"/>
      <c r="C8" s="43"/>
      <c r="D8" s="43"/>
      <c r="E8" s="43"/>
      <c r="F8" s="43"/>
      <c r="G8" s="28"/>
      <c r="H8" s="28"/>
      <c r="I8" s="84" t="s">
        <v>53</v>
      </c>
      <c r="J8" s="84"/>
      <c r="K8" s="84"/>
      <c r="L8" s="84"/>
      <c r="M8" s="45"/>
    </row>
    <row r="9" spans="1:13" x14ac:dyDescent="0.25">
      <c r="A9" s="97" t="s">
        <v>42</v>
      </c>
      <c r="B9" s="98"/>
      <c r="C9" s="98"/>
      <c r="D9" s="98"/>
      <c r="E9" s="98"/>
      <c r="F9" s="99"/>
      <c r="H9">
        <v>1</v>
      </c>
      <c r="I9" s="5" t="s">
        <v>54</v>
      </c>
      <c r="J9" s="5"/>
      <c r="K9" s="5"/>
      <c r="L9" s="5"/>
      <c r="M9" s="44"/>
    </row>
    <row r="10" spans="1:13" x14ac:dyDescent="0.25">
      <c r="A10" s="5">
        <v>1</v>
      </c>
      <c r="B10" s="5" t="s">
        <v>43</v>
      </c>
      <c r="C10" s="5"/>
      <c r="D10" s="5"/>
      <c r="E10" s="5"/>
      <c r="F10" s="5"/>
      <c r="I10" s="8" t="s">
        <v>56</v>
      </c>
      <c r="J10" s="7">
        <f>B20/B19</f>
        <v>704.22535211267609</v>
      </c>
      <c r="K10" s="5"/>
      <c r="L10" s="5"/>
      <c r="M10" s="44"/>
    </row>
    <row r="11" spans="1:13" x14ac:dyDescent="0.25">
      <c r="A11" s="5">
        <v>2</v>
      </c>
      <c r="B11" s="5" t="s">
        <v>129</v>
      </c>
      <c r="C11" s="5"/>
      <c r="D11" s="5"/>
      <c r="E11" s="5"/>
      <c r="F11" s="5"/>
      <c r="H11">
        <v>2</v>
      </c>
      <c r="I11" s="5" t="s">
        <v>57</v>
      </c>
      <c r="J11" s="5"/>
      <c r="K11" s="5"/>
      <c r="L11" s="5"/>
      <c r="M11" s="44"/>
    </row>
    <row r="12" spans="1:13" x14ac:dyDescent="0.25">
      <c r="I12" s="8" t="s">
        <v>56</v>
      </c>
      <c r="J12" s="5">
        <f>J10*B21</f>
        <v>1408.4507042253522</v>
      </c>
      <c r="K12" s="5"/>
      <c r="L12" s="5"/>
      <c r="M12" s="44"/>
    </row>
    <row r="13" spans="1:13" x14ac:dyDescent="0.25">
      <c r="H13">
        <v>3</v>
      </c>
      <c r="I13" s="5" t="s">
        <v>173</v>
      </c>
      <c r="J13" s="5"/>
      <c r="K13" s="5"/>
      <c r="L13" s="5"/>
      <c r="M13" s="44"/>
    </row>
    <row r="14" spans="1:13" x14ac:dyDescent="0.25">
      <c r="I14" s="8" t="s">
        <v>24</v>
      </c>
      <c r="J14" s="8"/>
      <c r="K14" s="8"/>
      <c r="L14" s="8"/>
      <c r="M14" s="44"/>
    </row>
    <row r="15" spans="1:13" ht="33.75" customHeight="1" x14ac:dyDescent="0.25">
      <c r="A15" s="100" t="s">
        <v>46</v>
      </c>
      <c r="B15" s="101"/>
      <c r="I15" s="39" t="s">
        <v>165</v>
      </c>
      <c r="J15" s="39" t="s">
        <v>131</v>
      </c>
      <c r="K15" s="39" t="s">
        <v>132</v>
      </c>
      <c r="L15" s="39" t="s">
        <v>133</v>
      </c>
      <c r="M15" s="44"/>
    </row>
    <row r="16" spans="1:13" x14ac:dyDescent="0.25">
      <c r="A16" s="5" t="s">
        <v>47</v>
      </c>
      <c r="B16" s="5">
        <v>30</v>
      </c>
      <c r="C16" t="s">
        <v>170</v>
      </c>
      <c r="I16" s="40">
        <v>18.385069549951073</v>
      </c>
      <c r="J16" s="40">
        <v>14.796104255681536</v>
      </c>
      <c r="K16" s="40">
        <v>0</v>
      </c>
      <c r="L16" s="40">
        <f>B18</f>
        <v>1.3</v>
      </c>
      <c r="M16" s="9"/>
    </row>
    <row r="17" spans="1:13" x14ac:dyDescent="0.25">
      <c r="A17" s="5" t="s">
        <v>48</v>
      </c>
      <c r="B17" s="7">
        <f>(PI()/180)*B16</f>
        <v>0.52359877559829882</v>
      </c>
      <c r="I17" s="8" t="s">
        <v>20</v>
      </c>
      <c r="J17" s="5"/>
      <c r="K17" s="5"/>
      <c r="L17" s="5"/>
      <c r="M17" s="9"/>
    </row>
    <row r="18" spans="1:13" ht="30" x14ac:dyDescent="0.25">
      <c r="A18" s="5" t="s">
        <v>49</v>
      </c>
      <c r="B18" s="5">
        <v>1.3</v>
      </c>
      <c r="I18" s="6" t="s">
        <v>138</v>
      </c>
      <c r="J18" s="6" t="s">
        <v>137</v>
      </c>
      <c r="K18" s="6" t="s">
        <v>136</v>
      </c>
      <c r="L18" s="6" t="s">
        <v>166</v>
      </c>
      <c r="M18" s="6" t="s">
        <v>135</v>
      </c>
    </row>
    <row r="19" spans="1:13" x14ac:dyDescent="0.25">
      <c r="A19" s="5" t="s">
        <v>50</v>
      </c>
      <c r="B19" s="5">
        <v>0.71</v>
      </c>
      <c r="I19" s="7">
        <f>J19*K16</f>
        <v>0</v>
      </c>
      <c r="J19" s="7">
        <f>(PI()*(I16^2)/4)</f>
        <v>265.47304767135967</v>
      </c>
      <c r="K19" s="7">
        <f>PI()*(L16/2)^2</f>
        <v>1.3273228961416876</v>
      </c>
      <c r="L19" s="7">
        <f>(J16/3)*(J19+K19+SQRT(J19*K19))</f>
        <v>1408.4502902540867</v>
      </c>
      <c r="M19" s="7">
        <f>I19+L19</f>
        <v>1408.4502902540867</v>
      </c>
    </row>
    <row r="20" spans="1:13" x14ac:dyDescent="0.25">
      <c r="A20" s="5" t="s">
        <v>51</v>
      </c>
      <c r="B20" s="5">
        <f>B22*B23</f>
        <v>500</v>
      </c>
      <c r="I20" s="88" t="s">
        <v>64</v>
      </c>
      <c r="J20" s="89"/>
      <c r="K20" s="89"/>
      <c r="L20" s="90"/>
      <c r="M20" s="9"/>
    </row>
    <row r="21" spans="1:13" x14ac:dyDescent="0.25">
      <c r="A21" s="5" t="s">
        <v>55</v>
      </c>
      <c r="B21" s="5">
        <v>2</v>
      </c>
      <c r="I21" s="5" t="s">
        <v>33</v>
      </c>
      <c r="J21" s="7">
        <f>J12-M19</f>
        <v>4.1397126551601104E-4</v>
      </c>
      <c r="K21" s="5"/>
      <c r="L21" s="5"/>
      <c r="M21" s="9"/>
    </row>
    <row r="22" spans="1:13" x14ac:dyDescent="0.25">
      <c r="A22" s="5" t="s">
        <v>89</v>
      </c>
      <c r="B22" s="5">
        <v>10</v>
      </c>
      <c r="I22" s="5"/>
      <c r="J22" s="5"/>
      <c r="K22" s="5"/>
      <c r="L22" s="5"/>
      <c r="M22" s="9"/>
    </row>
    <row r="23" spans="1:13" x14ac:dyDescent="0.25">
      <c r="A23" s="5" t="s">
        <v>91</v>
      </c>
      <c r="B23" s="5">
        <v>50</v>
      </c>
      <c r="I23" s="88" t="s">
        <v>167</v>
      </c>
      <c r="J23" s="89"/>
      <c r="K23" s="89"/>
      <c r="L23" s="90"/>
      <c r="M23" s="9"/>
    </row>
    <row r="24" spans="1:13" x14ac:dyDescent="0.25">
      <c r="I24" s="5" t="s">
        <v>33</v>
      </c>
      <c r="J24" s="7">
        <f>2*J16*TAN(B17)+L16-I16</f>
        <v>-6.7501559897209518E-14</v>
      </c>
      <c r="K24" s="5"/>
      <c r="L24" s="5"/>
      <c r="M24" s="9"/>
    </row>
    <row r="25" spans="1:13" x14ac:dyDescent="0.25">
      <c r="I25" s="5"/>
      <c r="J25" s="5"/>
      <c r="K25" s="5"/>
      <c r="L25" s="5"/>
      <c r="M25" s="9"/>
    </row>
    <row r="26" spans="1:13" x14ac:dyDescent="0.25">
      <c r="I26" s="88" t="s">
        <v>65</v>
      </c>
      <c r="J26" s="89"/>
      <c r="K26" s="89"/>
      <c r="L26" s="90"/>
      <c r="M26" s="9"/>
    </row>
    <row r="27" spans="1:13" x14ac:dyDescent="0.25">
      <c r="I27" s="5" t="s">
        <v>171</v>
      </c>
      <c r="J27" s="7">
        <f>J16/COS(B17)</f>
        <v>17.085069549951005</v>
      </c>
      <c r="K27" s="5"/>
      <c r="L27" s="7"/>
      <c r="M27" s="9"/>
    </row>
    <row r="28" spans="1:13" x14ac:dyDescent="0.25">
      <c r="I28" s="5" t="s">
        <v>168</v>
      </c>
      <c r="J28" s="7">
        <f>PI()*(0.5*I16+0.5*L16)*J27</f>
        <v>528.29144955043387</v>
      </c>
      <c r="K28" s="5"/>
      <c r="L28" s="5"/>
      <c r="M28" s="9"/>
    </row>
    <row r="29" spans="1:13" x14ac:dyDescent="0.25">
      <c r="I29" s="8" t="s">
        <v>169</v>
      </c>
      <c r="J29" s="46">
        <f>I16*PI()*K16+J28</f>
        <v>528.29144955043387</v>
      </c>
      <c r="K29" s="5"/>
      <c r="L29" s="5"/>
      <c r="M29" s="9"/>
    </row>
    <row r="30" spans="1:13" x14ac:dyDescent="0.25">
      <c r="M30" s="9"/>
    </row>
  </sheetData>
  <mergeCells count="10">
    <mergeCell ref="I20:L20"/>
    <mergeCell ref="I23:L23"/>
    <mergeCell ref="I26:L26"/>
    <mergeCell ref="A9:F9"/>
    <mergeCell ref="A15:B15"/>
    <mergeCell ref="A1:L1"/>
    <mergeCell ref="B2:L2"/>
    <mergeCell ref="C3:L3"/>
    <mergeCell ref="B7:F7"/>
    <mergeCell ref="I8:L8"/>
  </mergeCells>
  <pageMargins left="0.7" right="0.7" top="0.75" bottom="0.75" header="0.3" footer="0.3"/>
  <pageSetup scale="67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4" workbookViewId="0">
      <selection activeCell="E12" sqref="E12"/>
    </sheetView>
  </sheetViews>
  <sheetFormatPr baseColWidth="10" defaultRowHeight="15" x14ac:dyDescent="0.25"/>
  <sheetData>
    <row r="1" spans="1:13" x14ac:dyDescent="0.25">
      <c r="A1" s="76" t="s">
        <v>172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3" x14ac:dyDescent="0.25">
      <c r="A2" s="25" t="s">
        <v>123</v>
      </c>
      <c r="B2" s="77" t="s">
        <v>41</v>
      </c>
      <c r="C2" s="78"/>
      <c r="D2" s="78"/>
      <c r="E2" s="78"/>
      <c r="F2" s="78"/>
      <c r="G2" s="78"/>
      <c r="H2" s="78"/>
      <c r="I2" s="78"/>
      <c r="J2" s="78"/>
      <c r="K2" s="78"/>
      <c r="L2" s="79"/>
    </row>
    <row r="3" spans="1:13" ht="30" x14ac:dyDescent="0.25">
      <c r="A3" s="30" t="s">
        <v>121</v>
      </c>
      <c r="B3" s="38">
        <v>43592</v>
      </c>
      <c r="C3" s="77" t="s">
        <v>211</v>
      </c>
      <c r="D3" s="78"/>
      <c r="E3" s="78"/>
      <c r="F3" s="78"/>
      <c r="G3" s="78"/>
      <c r="H3" s="78"/>
      <c r="I3" s="78"/>
      <c r="J3" s="78"/>
      <c r="K3" s="78"/>
      <c r="L3" s="79"/>
    </row>
    <row r="4" spans="1:13" x14ac:dyDescent="0.25">
      <c r="A4" s="30"/>
      <c r="B4" s="38">
        <v>43594</v>
      </c>
      <c r="C4" s="57" t="s">
        <v>212</v>
      </c>
      <c r="D4" s="58"/>
      <c r="E4" s="58"/>
      <c r="F4" s="58"/>
      <c r="G4" s="58"/>
      <c r="H4" s="58"/>
      <c r="I4" s="58"/>
      <c r="J4" s="58"/>
      <c r="K4" s="58"/>
      <c r="L4" s="59"/>
    </row>
    <row r="5" spans="1:13" x14ac:dyDescent="0.25">
      <c r="A5" s="8" t="s">
        <v>143</v>
      </c>
      <c r="B5" s="26" t="s">
        <v>146</v>
      </c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3" x14ac:dyDescent="0.25">
      <c r="A6" s="27"/>
      <c r="B6" s="26" t="s">
        <v>164</v>
      </c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3" x14ac:dyDescent="0.25">
      <c r="A7" s="27"/>
      <c r="B7" s="91"/>
      <c r="C7" s="91"/>
      <c r="D7" s="91"/>
      <c r="E7" s="91"/>
      <c r="F7" s="91"/>
      <c r="G7" s="28"/>
      <c r="H7" s="28"/>
      <c r="I7" s="28"/>
      <c r="J7" s="28"/>
      <c r="K7" s="28"/>
      <c r="L7" s="28"/>
      <c r="M7" s="9"/>
    </row>
    <row r="8" spans="1:13" x14ac:dyDescent="0.25">
      <c r="A8" s="27"/>
      <c r="B8" s="43"/>
      <c r="C8" s="43"/>
      <c r="D8" s="43"/>
      <c r="E8" s="43"/>
      <c r="F8" s="43"/>
      <c r="G8" s="28"/>
      <c r="H8" s="28"/>
      <c r="I8" s="84" t="s">
        <v>53</v>
      </c>
      <c r="J8" s="84"/>
      <c r="K8" s="84"/>
      <c r="L8" s="84"/>
      <c r="M8" s="45"/>
    </row>
    <row r="9" spans="1:13" x14ac:dyDescent="0.25">
      <c r="A9" s="97" t="s">
        <v>42</v>
      </c>
      <c r="B9" s="98"/>
      <c r="C9" s="98"/>
      <c r="D9" s="98"/>
      <c r="E9" s="98"/>
      <c r="F9" s="99"/>
      <c r="H9">
        <v>1</v>
      </c>
      <c r="I9" s="5" t="s">
        <v>54</v>
      </c>
      <c r="J9" s="5"/>
      <c r="K9" s="5"/>
      <c r="L9" s="5"/>
      <c r="M9" s="44"/>
    </row>
    <row r="10" spans="1:13" x14ac:dyDescent="0.25">
      <c r="A10" s="5">
        <v>1</v>
      </c>
      <c r="B10" s="5" t="s">
        <v>43</v>
      </c>
      <c r="C10" s="5"/>
      <c r="D10" s="5"/>
      <c r="E10" s="5"/>
      <c r="F10" s="5"/>
      <c r="I10" s="8" t="s">
        <v>56</v>
      </c>
      <c r="J10" s="7">
        <f>B20/B19</f>
        <v>704.22535211267609</v>
      </c>
      <c r="K10" s="5"/>
      <c r="L10" s="5"/>
      <c r="M10" s="44"/>
    </row>
    <row r="11" spans="1:13" x14ac:dyDescent="0.25">
      <c r="A11" s="5">
        <v>2</v>
      </c>
      <c r="B11" s="5" t="s">
        <v>129</v>
      </c>
      <c r="C11" s="5"/>
      <c r="D11" s="5"/>
      <c r="E11" s="5"/>
      <c r="F11" s="5"/>
      <c r="H11">
        <v>2</v>
      </c>
      <c r="I11" s="5" t="s">
        <v>57</v>
      </c>
      <c r="J11" s="5"/>
      <c r="K11" s="5"/>
      <c r="L11" s="5"/>
      <c r="M11" s="44"/>
    </row>
    <row r="12" spans="1:13" x14ac:dyDescent="0.25">
      <c r="I12" s="8" t="s">
        <v>56</v>
      </c>
      <c r="J12" s="5">
        <f>J10*B21</f>
        <v>1408.4507042253522</v>
      </c>
      <c r="K12" s="5"/>
      <c r="L12" s="5"/>
      <c r="M12" s="44"/>
    </row>
    <row r="13" spans="1:13" x14ac:dyDescent="0.25">
      <c r="H13">
        <v>3</v>
      </c>
      <c r="I13" s="5" t="s">
        <v>173</v>
      </c>
      <c r="J13" s="5"/>
      <c r="K13" s="5"/>
      <c r="L13" s="5"/>
      <c r="M13" s="44"/>
    </row>
    <row r="14" spans="1:13" x14ac:dyDescent="0.25">
      <c r="I14" s="8" t="s">
        <v>24</v>
      </c>
      <c r="J14" s="8"/>
      <c r="K14" s="8"/>
      <c r="L14" s="8"/>
      <c r="M14" s="44"/>
    </row>
    <row r="15" spans="1:13" ht="60" x14ac:dyDescent="0.25">
      <c r="A15" s="100" t="s">
        <v>46</v>
      </c>
      <c r="B15" s="101"/>
      <c r="I15" s="39" t="s">
        <v>165</v>
      </c>
      <c r="J15" s="39" t="s">
        <v>131</v>
      </c>
      <c r="K15" s="39" t="s">
        <v>132</v>
      </c>
      <c r="L15" s="39" t="s">
        <v>133</v>
      </c>
      <c r="M15" s="44"/>
    </row>
    <row r="16" spans="1:13" x14ac:dyDescent="0.25">
      <c r="A16" s="5" t="s">
        <v>47</v>
      </c>
      <c r="B16" s="5">
        <v>30</v>
      </c>
      <c r="C16" t="s">
        <v>170</v>
      </c>
      <c r="I16" s="40">
        <v>18.385069549951073</v>
      </c>
      <c r="J16" s="40">
        <v>14.796104255681536</v>
      </c>
      <c r="K16" s="40">
        <v>0</v>
      </c>
      <c r="L16" s="40">
        <f>B18</f>
        <v>1.3</v>
      </c>
      <c r="M16" s="9"/>
    </row>
    <row r="17" spans="1:13" x14ac:dyDescent="0.25">
      <c r="A17" s="5" t="s">
        <v>48</v>
      </c>
      <c r="B17" s="7">
        <f>(PI()/180)*B16</f>
        <v>0.52359877559829882</v>
      </c>
      <c r="I17" s="8" t="s">
        <v>20</v>
      </c>
      <c r="J17" s="5"/>
      <c r="K17" s="5"/>
      <c r="L17" s="5"/>
      <c r="M17" s="9"/>
    </row>
    <row r="18" spans="1:13" ht="45" x14ac:dyDescent="0.25">
      <c r="A18" s="5" t="s">
        <v>49</v>
      </c>
      <c r="B18" s="5">
        <v>1.3</v>
      </c>
      <c r="I18" s="6" t="s">
        <v>138</v>
      </c>
      <c r="J18" s="6" t="s">
        <v>137</v>
      </c>
      <c r="K18" s="6" t="s">
        <v>136</v>
      </c>
      <c r="L18" s="6" t="s">
        <v>166</v>
      </c>
      <c r="M18" s="6" t="s">
        <v>135</v>
      </c>
    </row>
    <row r="19" spans="1:13" x14ac:dyDescent="0.25">
      <c r="A19" s="5" t="s">
        <v>50</v>
      </c>
      <c r="B19" s="5">
        <v>0.71</v>
      </c>
      <c r="I19" s="7">
        <f>J19*K16</f>
        <v>0</v>
      </c>
      <c r="J19" s="7">
        <f>(PI()*(I16^2)/4)</f>
        <v>265.47304767135967</v>
      </c>
      <c r="K19" s="7">
        <f>PI()*(L16/2)^2</f>
        <v>1.3273228961416876</v>
      </c>
      <c r="L19" s="7">
        <f>(J16/3)*(J19+K19+SQRT(J19*K19))</f>
        <v>1408.4502902540867</v>
      </c>
      <c r="M19" s="7">
        <f>I19+L19</f>
        <v>1408.4502902540867</v>
      </c>
    </row>
    <row r="20" spans="1:13" x14ac:dyDescent="0.25">
      <c r="A20" s="5" t="s">
        <v>51</v>
      </c>
      <c r="B20" s="5">
        <f>B22*B23</f>
        <v>500</v>
      </c>
      <c r="I20" s="88" t="s">
        <v>64</v>
      </c>
      <c r="J20" s="89"/>
      <c r="K20" s="89"/>
      <c r="L20" s="90"/>
      <c r="M20" s="9"/>
    </row>
    <row r="21" spans="1:13" x14ac:dyDescent="0.25">
      <c r="A21" s="5" t="s">
        <v>55</v>
      </c>
      <c r="B21" s="5">
        <v>2</v>
      </c>
      <c r="I21" s="5" t="s">
        <v>33</v>
      </c>
      <c r="J21" s="7">
        <f>J12-M19</f>
        <v>4.1397126551601104E-4</v>
      </c>
      <c r="K21" s="5"/>
      <c r="L21" s="5"/>
      <c r="M21" s="9"/>
    </row>
    <row r="22" spans="1:13" x14ac:dyDescent="0.25">
      <c r="A22" s="5" t="s">
        <v>89</v>
      </c>
      <c r="B22" s="5">
        <v>10</v>
      </c>
      <c r="I22" s="5"/>
      <c r="J22" s="5"/>
      <c r="K22" s="5"/>
      <c r="L22" s="5"/>
      <c r="M22" s="9"/>
    </row>
    <row r="23" spans="1:13" x14ac:dyDescent="0.25">
      <c r="A23" s="5" t="s">
        <v>91</v>
      </c>
      <c r="B23" s="5">
        <v>50</v>
      </c>
      <c r="I23" s="88" t="s">
        <v>167</v>
      </c>
      <c r="J23" s="89"/>
      <c r="K23" s="89"/>
      <c r="L23" s="90"/>
      <c r="M23" s="9"/>
    </row>
    <row r="24" spans="1:13" x14ac:dyDescent="0.25">
      <c r="I24" s="5" t="s">
        <v>33</v>
      </c>
      <c r="J24" s="7">
        <f>2*J16*TAN(B17)+L16-I16</f>
        <v>-6.7501559897209518E-14</v>
      </c>
      <c r="K24" s="5"/>
      <c r="L24" s="5"/>
      <c r="M24" s="9"/>
    </row>
    <row r="25" spans="1:13" x14ac:dyDescent="0.25">
      <c r="I25" s="5"/>
      <c r="J25" s="5"/>
      <c r="K25" s="5"/>
      <c r="L25" s="5"/>
      <c r="M25" s="9"/>
    </row>
    <row r="26" spans="1:13" x14ac:dyDescent="0.25">
      <c r="I26" s="88" t="s">
        <v>65</v>
      </c>
      <c r="J26" s="89"/>
      <c r="K26" s="89"/>
      <c r="L26" s="90"/>
      <c r="M26" s="9"/>
    </row>
    <row r="27" spans="1:13" x14ac:dyDescent="0.25">
      <c r="I27" s="5" t="s">
        <v>171</v>
      </c>
      <c r="J27" s="7">
        <f>J16/COS(B17)</f>
        <v>17.085069549951005</v>
      </c>
      <c r="K27" s="5"/>
      <c r="L27" s="7"/>
      <c r="M27" s="9"/>
    </row>
    <row r="28" spans="1:13" x14ac:dyDescent="0.25">
      <c r="I28" s="5" t="s">
        <v>168</v>
      </c>
      <c r="J28" s="7">
        <f>PI()*(0.5*I16+0.5*L16)*J27</f>
        <v>528.29144955043387</v>
      </c>
      <c r="K28" s="5"/>
      <c r="L28" s="5"/>
      <c r="M28" s="9"/>
    </row>
    <row r="29" spans="1:13" x14ac:dyDescent="0.25">
      <c r="I29" s="8" t="s">
        <v>169</v>
      </c>
      <c r="J29" s="46">
        <f>I16*PI()*K16+J28</f>
        <v>528.29144955043387</v>
      </c>
      <c r="K29" s="5"/>
      <c r="L29" s="5"/>
      <c r="M29" s="9"/>
    </row>
  </sheetData>
  <mergeCells count="10">
    <mergeCell ref="A15:B15"/>
    <mergeCell ref="I20:L20"/>
    <mergeCell ref="I23:L23"/>
    <mergeCell ref="I26:L26"/>
    <mergeCell ref="A1:L1"/>
    <mergeCell ref="B2:L2"/>
    <mergeCell ref="C3:L3"/>
    <mergeCell ref="B7:F7"/>
    <mergeCell ref="I8:L8"/>
    <mergeCell ref="A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Cálculo contenedor Concentrado</vt:lpstr>
      <vt:lpstr>Cálculo contenedor CC</vt:lpstr>
      <vt:lpstr>Calculo tolva romana</vt:lpstr>
      <vt:lpstr>Calculo de esfuerzos tolva</vt:lpstr>
      <vt:lpstr>Dimensionado tolva mineral</vt:lpstr>
      <vt:lpstr>Dimensionado tolva levadura</vt:lpstr>
      <vt:lpstr>Tolva Levadura Geometria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2019-05-11T00:28:46Z</dcterms:modified>
</cp:coreProperties>
</file>