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romana'!$S$26,'Calculo tolva romana'!$U$26,'Calculo tolva romana'!$V$26</definedName>
    <definedName name="solver_adj" localSheetId="7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romana'!$S$26:$W$26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romana'!$S$32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romana'!$U$26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romana'!$V$26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romana'!$S$29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3" l="1"/>
  <c r="O29" i="3"/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8" i="3" l="1"/>
  <c r="X11" i="1" l="1"/>
  <c r="X9" i="1"/>
  <c r="Q30" i="3" l="1"/>
  <c r="P29" i="3" l="1"/>
  <c r="W26" i="3" l="1"/>
  <c r="Q13" i="8" l="1"/>
  <c r="Q19" i="8" s="1"/>
  <c r="P25" i="8" s="1"/>
  <c r="L16" i="8"/>
  <c r="W18" i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29" i="3"/>
  <c r="Z26" i="3"/>
  <c r="Y26" i="3"/>
  <c r="S32" i="3" s="1"/>
  <c r="T22" i="3"/>
  <c r="J26" i="1"/>
  <c r="G14" i="3"/>
  <c r="Q27" i="3"/>
  <c r="O23" i="3"/>
  <c r="Q28" i="3" l="1"/>
  <c r="Q29" i="3" s="1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3" i="3" l="1"/>
  <c r="B37" i="3"/>
  <c r="E26" i="3"/>
  <c r="H18" i="3"/>
  <c r="K7" i="3"/>
  <c r="H15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1" i="3"/>
  <c r="B18" i="3"/>
  <c r="C14" i="3"/>
  <c r="B14" i="3"/>
  <c r="A14" i="3"/>
  <c r="E7" i="3"/>
  <c r="B34" i="3" l="1"/>
  <c r="D14" i="4"/>
  <c r="B15" i="4" s="1"/>
  <c r="D14" i="3"/>
  <c r="B15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<sst xmlns="http://schemas.openxmlformats.org/spreadsheetml/2006/main" count="664" uniqueCount="229">
  <si>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</si>
  <si>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</si>
  <si>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</si>
  <si>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</si>
  <si>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</si>
  <si>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</si>
  <si>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</si>
  <si>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</si>
  <si>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</si>
  <si>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</si>
  <si>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</si>
  <si>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</si>
  <si>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</si>
  <si>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</si>
  <si>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</si>
  <si>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</si>
  <si>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</si>
  <si>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</si>
  <si>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</si>
  <si>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</si>
  <si>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</si>
  <si>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</si>
  <si>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</si>
  <si>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</si>
  <si>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</si>
  <si>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</si>
  <si>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</si>
  <si>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</si>
  <si>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</si>
  <si>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</si>
  <si>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</si>
  <si>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</si>
  <si>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</si>
  <si>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</si>
  <si>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</si>
  <si>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</si>
  <si>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</si>
  <si>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</si>
  <si>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</si>
  <si>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</si>
  <si>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</si>
  <si>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</si>
  <si>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</si>
  <si>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</si>
  <si>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</si>
  <si>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</si>
  <si>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</si>
  <si>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</si>
  <si>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</si>
  <si>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</si>
  <si>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</si>
  <si>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</si>
  <si>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</si>
  <si>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</si>
  <si>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</si>
  <si>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</si>
  <si>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</si>
  <si>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</si>
  <si>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</si>
  <si>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</si>
  <si>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</si>
  <si>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</si>
  <si>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</si>
  <si>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</si>
  <si>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</si>
  <si>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</si>
  <si>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</si>
  <si>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</si>
  <si>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</si>
  <si>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</si>
  <si>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</si>
  <si>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</si>
  <si>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</si>
  <si>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</si>
  <si>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</si>
  <si>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</si>
  <si>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</si>
  <si>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</si>
  <si>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</si>
  <si>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</si>
  <si>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</si>
  <si>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</si>
  <si>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</si>
  <si>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</si>
  <si>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</si>
  <si>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</si>
  <si>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</si>
  <si>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</si>
  <si>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</si>
  <si>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</si>
  <si>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</si>
  <si>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</si>
  <si>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</si>
  <si>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</si>
  <si>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</si>
  <si>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</si>
  <si>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Esta parte de la hoja de calculo pretende es para hacer el diseño de la tolva con las modificaciones pertinentes.</t>
  </si>
  <si>
    <t>Tolva que recoge todos los puntos</t>
  </si>
  <si>
    <t>2. Debe alojar 4 celdas de carga</t>
  </si>
  <si>
    <t>3. Debe minizar la cantidad de material necesario.</t>
  </si>
  <si>
    <t>5. El actuador debe estar a 90°</t>
  </si>
  <si>
    <t>6. Debe ser simétrico.</t>
  </si>
  <si>
    <t>Espeficicaciones de diseño</t>
  </si>
  <si>
    <t>7. La apertura debe ser de 10 cm. Para entrar en un tubo de 5 in sanitario.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</si>
  <si>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</si>
  <si>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</si>
  <si>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</si>
  <si>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</si>
  <si>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</si>
  <si>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</si>
  <si>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</si>
  <si>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</si>
  <si>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</si>
  <si>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</si>
  <si>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</si>
  <si>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</si>
  <si>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del concentrado a contener</t>
  </si>
  <si>
    <t>Masa adicional (g)</t>
  </si>
  <si>
    <t>Masa del adicional</t>
  </si>
  <si>
    <t>Menor Densidad del adicional según Evelio</t>
  </si>
  <si>
    <t>Menor Densidad del concentrado menos denso según los datos de DP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</si>
  <si>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</si>
  <si>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</si>
  <si>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</si>
  <si>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</si>
  <si>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</si>
  <si>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Determinar el volumen máximo y la masa de cada uno de los alimentos guardando una proporción entre el adicional y el concentrado</t>
  </si>
  <si>
    <t>Relación (con./adic.)</t>
  </si>
  <si>
    <t>Entrada</t>
  </si>
  <si>
    <t>Tabla con resultados</t>
  </si>
  <si>
    <t>Conc.</t>
  </si>
  <si>
    <t>Adic.</t>
  </si>
  <si>
    <t>Densidad (g/cm3)</t>
  </si>
  <si>
    <t>Se aplicó SOLVER PARA DETERMINAR LA MASA MÁXIMA DE CADA ALIMENTO.</t>
  </si>
  <si>
    <t>Se fijó la masa total como ecuación y se fue variando la cantidad de concentrado</t>
  </si>
  <si>
    <t>el volumen final se tomó como citerio de diseño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</si>
  <si>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</si>
  <si>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</si>
  <si>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</si>
  <si>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</si>
  <si>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</si>
  <si>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</si>
  <si>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</si>
  <si>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</si>
  <si>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</si>
  <si>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</si>
  <si>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</si>
  <si>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</si>
  <si>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</si>
  <si>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</si>
  <si>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</si>
  <si>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</si>
  <si>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</si>
  <si>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</si>
  <si>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</si>
  <si>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1. La tolva tiene que sostener hasta 15 kg del alimento más ligero.</t>
  </si>
  <si>
    <t>8. El factor de seguridad es de 1,5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</si>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</sst>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N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166</v>
      </c>
    </row>
    <row r="5" spans="1:26" x14ac:dyDescent="0.25">
      <c r="O5" s="5">
        <v>43503</v>
      </c>
      <c r="P5" t="s">
        <v>170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169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151</v>
      </c>
      <c r="B21">
        <v>6000</v>
      </c>
      <c r="O21" t="s">
        <v>151</v>
      </c>
      <c r="P21">
        <v>6000</v>
      </c>
    </row>
    <row r="22" spans="1:27" x14ac:dyDescent="0.25">
      <c r="A22" t="s">
        <v>153</v>
      </c>
      <c r="B22">
        <v>50</v>
      </c>
      <c r="I22" t="s">
        <v>94</v>
      </c>
      <c r="O22" t="s">
        <v>153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B1"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167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400000.00000000006</v>
      </c>
      <c r="O9">
        <v>1</v>
      </c>
      <c r="P9" t="s">
        <v>71</v>
      </c>
      <c r="W9" s="1" t="s">
        <v>84</v>
      </c>
      <c r="X9">
        <f>P19/P18</f>
        <v>400000.00000000006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520000.00000000012</v>
      </c>
      <c r="O11">
        <v>3</v>
      </c>
      <c r="P11" t="s">
        <v>73</v>
      </c>
      <c r="W11" s="1" t="s">
        <v>84</v>
      </c>
      <c r="X11">
        <f>X9*P20</f>
        <v>480000.00000000006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79</v>
      </c>
      <c r="B19">
        <v>138000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79322.381128682755</v>
      </c>
      <c r="O20" t="s">
        <v>83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151</v>
      </c>
      <c r="B21">
        <v>2000</v>
      </c>
      <c r="O21" t="s">
        <v>151</v>
      </c>
      <c r="P21">
        <v>2000</v>
      </c>
    </row>
    <row r="22" spans="1:27" x14ac:dyDescent="0.25">
      <c r="A22" t="s">
        <v>152</v>
      </c>
      <c r="B22">
        <v>50</v>
      </c>
      <c r="I22" t="s">
        <v>94</v>
      </c>
      <c r="O22" t="s">
        <v>152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M1" workbookViewId="0">
      <selection activeCell="R22" sqref="R22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13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96</v>
      </c>
    </row>
    <row r="3" spans="1:22" x14ac:dyDescent="0.25">
      <c r="A3" t="s">
        <v>40</v>
      </c>
      <c r="N3" s="5">
        <v>43391</v>
      </c>
    </row>
    <row r="5" spans="1:22" x14ac:dyDescent="0.25">
      <c r="A5" t="s">
        <v>63</v>
      </c>
      <c r="G5" t="s">
        <v>64</v>
      </c>
      <c r="N5" t="s">
        <v>97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102</v>
      </c>
      <c r="P6" t="s">
        <v>137</v>
      </c>
      <c r="Q6" s="1" t="s">
        <v>104</v>
      </c>
      <c r="T6" s="1" t="s">
        <v>113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155</v>
      </c>
      <c r="P7" t="s">
        <v>137</v>
      </c>
      <c r="Q7" t="s">
        <v>108</v>
      </c>
      <c r="R7" t="s">
        <v>109</v>
      </c>
      <c r="S7" t="s">
        <v>137</v>
      </c>
      <c r="T7" t="s">
        <v>115</v>
      </c>
      <c r="U7" t="s">
        <v>116</v>
      </c>
      <c r="V7" t="s">
        <v>137</v>
      </c>
    </row>
    <row r="8" spans="1:22" x14ac:dyDescent="0.25">
      <c r="N8" t="s">
        <v>98</v>
      </c>
      <c r="P8" t="s">
        <v>137</v>
      </c>
      <c r="Q8" t="s">
        <v>106</v>
      </c>
      <c r="R8" t="s">
        <v>110</v>
      </c>
      <c r="S8" t="s">
        <v>137</v>
      </c>
      <c r="T8" t="s">
        <v>117</v>
      </c>
      <c r="U8" t="s">
        <v>118</v>
      </c>
      <c r="V8" t="s">
        <v>137</v>
      </c>
    </row>
    <row r="9" spans="1:22" x14ac:dyDescent="0.25">
      <c r="A9" t="s">
        <v>45</v>
      </c>
      <c r="G9" t="s">
        <v>45</v>
      </c>
      <c r="N9" t="s">
        <v>99</v>
      </c>
      <c r="P9" t="s">
        <v>137</v>
      </c>
      <c r="Q9" t="s">
        <v>107</v>
      </c>
      <c r="R9" t="s">
        <v>111</v>
      </c>
      <c r="S9" t="s">
        <v>137</v>
      </c>
      <c r="T9" t="s">
        <v>122</v>
      </c>
      <c r="U9" t="s">
        <v>120</v>
      </c>
      <c r="V9" t="s">
        <v>137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154</v>
      </c>
      <c r="P10" t="s">
        <v>137</v>
      </c>
      <c r="Q10" t="s">
        <v>105</v>
      </c>
      <c r="R10" t="s">
        <v>112</v>
      </c>
      <c r="S10" t="s">
        <v>137</v>
      </c>
      <c r="T10" t="s">
        <v>121</v>
      </c>
      <c r="U10" t="s">
        <v>119</v>
      </c>
      <c r="V10" t="s">
        <v>137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100</v>
      </c>
      <c r="P11" t="s">
        <v>137</v>
      </c>
      <c r="S11" t="s">
        <v>137</v>
      </c>
      <c r="T11" t="s">
        <v>123</v>
      </c>
      <c r="U11" t="s">
        <v>124</v>
      </c>
      <c r="V11" t="s">
        <v>137</v>
      </c>
    </row>
    <row r="12" spans="1:22" x14ac:dyDescent="0.25">
      <c r="A12" s="1" t="s">
        <v>41</v>
      </c>
      <c r="G12" s="1" t="s">
        <v>41</v>
      </c>
      <c r="N12" t="s">
        <v>101</v>
      </c>
      <c r="Q12" t="s">
        <v>145</v>
      </c>
      <c r="R12" t="s">
        <v>146</v>
      </c>
      <c r="S12" t="s">
        <v>137</v>
      </c>
      <c r="T12" t="s">
        <v>141</v>
      </c>
      <c r="V12" t="s">
        <v>137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103</v>
      </c>
      <c r="P13" t="s">
        <v>137</v>
      </c>
      <c r="Q13" t="s">
        <v>137</v>
      </c>
      <c r="T13" t="s">
        <v>137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156</v>
      </c>
    </row>
    <row r="15" spans="1:22" x14ac:dyDescent="0.25">
      <c r="A15" t="s">
        <v>54</v>
      </c>
      <c r="B15">
        <f>E7-D14-A14</f>
        <v>5.1152937885490246E-8</v>
      </c>
      <c r="G15" t="s">
        <v>54</v>
      </c>
      <c r="H15">
        <f>K7-J14-G14</f>
        <v>2.1905525799866155E-2</v>
      </c>
      <c r="N15" s="1" t="s">
        <v>81</v>
      </c>
    </row>
    <row r="16" spans="1:22" x14ac:dyDescent="0.25">
      <c r="N16" s="1" t="s">
        <v>125</v>
      </c>
      <c r="S16" s="1" t="s">
        <v>136</v>
      </c>
    </row>
    <row r="17" spans="1:26" x14ac:dyDescent="0.25">
      <c r="A17" s="1" t="s">
        <v>42</v>
      </c>
      <c r="G17" s="1" t="s">
        <v>42</v>
      </c>
      <c r="N17" t="s">
        <v>126</v>
      </c>
      <c r="P17" t="s">
        <v>137</v>
      </c>
      <c r="R17" t="s">
        <v>137</v>
      </c>
      <c r="S17" t="s">
        <v>138</v>
      </c>
      <c r="U17" t="s">
        <v>137</v>
      </c>
    </row>
    <row r="18" spans="1:26" x14ac:dyDescent="0.25">
      <c r="A18" t="s">
        <v>54</v>
      </c>
      <c r="B18">
        <f>2*B11*TAN(35*PI()/180)+C11-A11</f>
        <v>0</v>
      </c>
      <c r="G18" t="s">
        <v>54</v>
      </c>
      <c r="H18">
        <f>1.62*G11-H11</f>
        <v>3.8031799931559362E-12</v>
      </c>
      <c r="N18" t="s">
        <v>133</v>
      </c>
      <c r="P18" t="s">
        <v>137</v>
      </c>
      <c r="R18" t="s">
        <v>137</v>
      </c>
      <c r="S18" t="s">
        <v>139</v>
      </c>
      <c r="U18" t="s">
        <v>137</v>
      </c>
    </row>
    <row r="19" spans="1:26" x14ac:dyDescent="0.25">
      <c r="N19" t="s">
        <v>134</v>
      </c>
      <c r="P19" t="s">
        <v>137</v>
      </c>
      <c r="R19" t="s">
        <v>137</v>
      </c>
      <c r="S19" t="s">
        <v>142</v>
      </c>
      <c r="U19" t="s">
        <v>137</v>
      </c>
    </row>
    <row r="20" spans="1:26" x14ac:dyDescent="0.25">
      <c r="A20" s="1" t="s">
        <v>43</v>
      </c>
      <c r="N20" t="s">
        <v>135</v>
      </c>
      <c r="P20" t="s">
        <v>137</v>
      </c>
      <c r="S20" t="s">
        <v>143</v>
      </c>
      <c r="U20" t="s">
        <v>137</v>
      </c>
    </row>
    <row r="21" spans="1:26" x14ac:dyDescent="0.25">
      <c r="A21" t="s">
        <v>54</v>
      </c>
      <c r="B21">
        <f>2*D11-B11</f>
        <v>0</v>
      </c>
      <c r="S21" s="1" t="s">
        <v>141</v>
      </c>
      <c r="T21">
        <v>30</v>
      </c>
    </row>
    <row r="22" spans="1:26" x14ac:dyDescent="0.25">
      <c r="N22" s="1" t="s">
        <v>128</v>
      </c>
      <c r="S22" t="s">
        <v>144</v>
      </c>
      <c r="T22">
        <f>30*PI()/180</f>
        <v>0.52359877559829882</v>
      </c>
    </row>
    <row r="23" spans="1:26" x14ac:dyDescent="0.25">
      <c r="N23" t="s">
        <v>127</v>
      </c>
      <c r="O23">
        <f>6000/2000</f>
        <v>3</v>
      </c>
    </row>
    <row r="24" spans="1:26" x14ac:dyDescent="0.25">
      <c r="A24" t="s">
        <v>65</v>
      </c>
      <c r="S24" t="s">
        <v>74</v>
      </c>
    </row>
    <row r="25" spans="1:26" x14ac:dyDescent="0.25">
      <c r="A25" t="s">
        <v>1</v>
      </c>
      <c r="C25" t="s">
        <v>44</v>
      </c>
      <c r="E25" t="s">
        <v>10</v>
      </c>
      <c r="N25" t="s">
        <v>129</v>
      </c>
      <c r="S25" t="s">
        <v>108</v>
      </c>
      <c r="T25" t="s">
        <v>106</v>
      </c>
      <c r="U25" t="s">
        <v>107</v>
      </c>
      <c r="V25" t="s">
        <v>140</v>
      </c>
      <c r="W25" t="s">
        <v>145</v>
      </c>
      <c r="Y25" t="s">
        <v>147</v>
      </c>
      <c r="Z25" t="s">
        <v>148</v>
      </c>
    </row>
    <row r="26" spans="1:26" x14ac:dyDescent="0.25">
      <c r="A26">
        <v>28.16</v>
      </c>
      <c r="B26" t="s">
        <v>2</v>
      </c>
      <c r="C26">
        <v>1.3</v>
      </c>
      <c r="E26">
        <f>A26*C26</f>
        <v>36.608000000000004</v>
      </c>
      <c r="O26" t="s">
        <v>114</v>
      </c>
      <c r="P26" t="s">
        <v>132</v>
      </c>
      <c r="Q26" t="s">
        <v>84</v>
      </c>
      <c r="S26">
        <v>58.792234391009401</v>
      </c>
      <c r="T26">
        <v>10</v>
      </c>
      <c r="U26">
        <v>7.8768082220043922</v>
      </c>
      <c r="V26">
        <v>5</v>
      </c>
      <c r="W26">
        <f>(S26-T26)/(2*TAN(T22))</f>
        <v>42.25531449001889</v>
      </c>
      <c r="Y26">
        <f>S26*S26</f>
        <v>3456.5268246873884</v>
      </c>
      <c r="Z26">
        <f>T26*T26</f>
        <v>100</v>
      </c>
    </row>
    <row r="27" spans="1:26" x14ac:dyDescent="0.25">
      <c r="N27" t="s">
        <v>130</v>
      </c>
      <c r="O27">
        <v>11250.005999999999</v>
      </c>
      <c r="P27">
        <v>0.44022</v>
      </c>
      <c r="Q27">
        <f>O27/P27</f>
        <v>25555.417745672617</v>
      </c>
    </row>
    <row r="28" spans="1:26" x14ac:dyDescent="0.25">
      <c r="A28" t="s">
        <v>45</v>
      </c>
      <c r="N28" t="s">
        <v>131</v>
      </c>
      <c r="O28">
        <f>O27/O23</f>
        <v>3750.002</v>
      </c>
      <c r="P28">
        <v>0.29499999999999998</v>
      </c>
      <c r="Q28">
        <f>O28/P28</f>
        <v>12711.871186440678</v>
      </c>
      <c r="S28" s="1" t="s">
        <v>150</v>
      </c>
    </row>
    <row r="29" spans="1:26" x14ac:dyDescent="0.25">
      <c r="A29" t="s">
        <v>46</v>
      </c>
      <c r="B29" t="s">
        <v>47</v>
      </c>
      <c r="N29" t="s">
        <v>31</v>
      </c>
      <c r="O29">
        <f>SUM(O27:O28)</f>
        <v>15000.008</v>
      </c>
      <c r="P29">
        <f>(P27*O23+P28)/4</f>
        <v>0.40391499999999997</v>
      </c>
      <c r="Q29">
        <f>SUM(Q27:Q28)</f>
        <v>38267.288932113297</v>
      </c>
      <c r="S29">
        <f>4*(T26*V26)+(4/2)*(S26+T26)*(W26/COS(T22))+4*S26*U26</f>
        <v>8765.4342703392249</v>
      </c>
    </row>
    <row r="30" spans="1:26" x14ac:dyDescent="0.25">
      <c r="A30">
        <v>2.8271785049016125</v>
      </c>
      <c r="B30">
        <v>4.5800291779406122</v>
      </c>
      <c r="N30" t="s">
        <v>157</v>
      </c>
      <c r="O30">
        <f>1.5*O29</f>
        <v>22500.011999999999</v>
      </c>
      <c r="Q30">
        <f>1.5*Q29</f>
        <v>57400.933398169946</v>
      </c>
    </row>
    <row r="31" spans="1:26" x14ac:dyDescent="0.25">
      <c r="A31" t="s">
        <v>41</v>
      </c>
      <c r="N31" t="s">
        <v>168</v>
      </c>
      <c r="O31">
        <v>1.5</v>
      </c>
      <c r="S31" t="s">
        <v>149</v>
      </c>
    </row>
    <row r="32" spans="1:26" x14ac:dyDescent="0.25">
      <c r="A32" t="s">
        <v>50</v>
      </c>
      <c r="S32">
        <f>Q30*O31-(Y26*U26+(Z26*V26)+(W26/3*(Y26+Z26+SQRT(Y26*Z26))))</f>
        <v>1.8265059043187648E-4</v>
      </c>
    </row>
    <row r="33" spans="1:14" x14ac:dyDescent="0.25">
      <c r="A33">
        <f>A30*A30*B30</f>
        <v>36.607890624964938</v>
      </c>
    </row>
    <row r="34" spans="1:14" x14ac:dyDescent="0.25">
      <c r="A34" t="s">
        <v>54</v>
      </c>
      <c r="B34">
        <f>E26-D33-A33</f>
        <v>1.0937503506625035E-4</v>
      </c>
    </row>
    <row r="36" spans="1:14" x14ac:dyDescent="0.25">
      <c r="A36" t="s">
        <v>42</v>
      </c>
    </row>
    <row r="37" spans="1:14" x14ac:dyDescent="0.25">
      <c r="A37" t="s">
        <v>54</v>
      </c>
      <c r="B37">
        <f>1.62*A30-B30</f>
        <v>0</v>
      </c>
      <c r="N3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171</v>
      </c>
    </row>
    <row r="2" spans="1:18" x14ac:dyDescent="0.25">
      <c r="A2" t="s">
        <v>172</v>
      </c>
    </row>
    <row r="3" spans="1:18" x14ac:dyDescent="0.25">
      <c r="A3" t="s">
        <v>173</v>
      </c>
    </row>
    <row r="4" spans="1:18" x14ac:dyDescent="0.25">
      <c r="A4" s="7">
        <v>43516</v>
      </c>
    </row>
    <row r="6" spans="1:18" x14ac:dyDescent="0.25">
      <c r="A6" t="s">
        <v>174</v>
      </c>
    </row>
    <row r="7" spans="1:18" x14ac:dyDescent="0.25">
      <c r="A7" t="s">
        <v>175</v>
      </c>
      <c r="B7" t="s">
        <v>176</v>
      </c>
    </row>
    <row r="8" spans="1:18" x14ac:dyDescent="0.25">
      <c r="A8" t="s">
        <v>177</v>
      </c>
      <c r="B8" s="8" t="s">
        <v>178</v>
      </c>
    </row>
    <row r="11" spans="1:18" x14ac:dyDescent="0.25">
      <c r="A11" s="1" t="s">
        <v>179</v>
      </c>
      <c r="K11" s="1" t="s">
        <v>202</v>
      </c>
      <c r="P11" s="1" t="s">
        <v>216</v>
      </c>
    </row>
    <row r="12" spans="1:18" x14ac:dyDescent="0.25">
      <c r="A12" t="s">
        <v>180</v>
      </c>
      <c r="K12" t="s">
        <v>180</v>
      </c>
      <c r="P12" t="s">
        <v>180</v>
      </c>
    </row>
    <row r="13" spans="1:18" x14ac:dyDescent="0.25">
      <c r="A13" t="s">
        <v>182</v>
      </c>
      <c r="B13" t="s">
        <v>183</v>
      </c>
      <c r="C13" t="s">
        <v>184</v>
      </c>
      <c r="K13" t="s">
        <v>205</v>
      </c>
      <c r="L13">
        <v>1.2</v>
      </c>
      <c r="P13" t="s">
        <v>217</v>
      </c>
      <c r="Q13">
        <f>'Calculo tolva romana'!W26/COS('Calculo de esfuerzos tolva'!L14)/100</f>
        <v>0.48803543514169417</v>
      </c>
      <c r="R13" t="s">
        <v>22</v>
      </c>
    </row>
    <row r="14" spans="1:18" x14ac:dyDescent="0.25">
      <c r="A14" t="s">
        <v>181</v>
      </c>
      <c r="B14">
        <v>9.81</v>
      </c>
      <c r="C14" t="s">
        <v>201</v>
      </c>
      <c r="K14" t="s">
        <v>206</v>
      </c>
      <c r="L14">
        <v>0.52400000000000002</v>
      </c>
      <c r="M14" t="s">
        <v>67</v>
      </c>
      <c r="N14" t="s">
        <v>208</v>
      </c>
      <c r="P14" t="s">
        <v>218</v>
      </c>
      <c r="Q14">
        <f>0.1</f>
        <v>0.1</v>
      </c>
      <c r="R14" t="s">
        <v>22</v>
      </c>
    </row>
    <row r="15" spans="1:18" x14ac:dyDescent="0.25">
      <c r="A15" t="s">
        <v>185</v>
      </c>
      <c r="B15">
        <v>529.86</v>
      </c>
      <c r="C15" t="s">
        <v>17</v>
      </c>
      <c r="D15" t="s">
        <v>186</v>
      </c>
      <c r="K15" t="s">
        <v>207</v>
      </c>
      <c r="L15">
        <f>A31/B19</f>
        <v>398.75749863804339</v>
      </c>
      <c r="M15" t="s">
        <v>35</v>
      </c>
      <c r="P15" t="s">
        <v>219</v>
      </c>
      <c r="Q15">
        <f>'Calculo tolva romana'!S26/100</f>
        <v>0.58792234391009401</v>
      </c>
      <c r="R15" t="s">
        <v>22</v>
      </c>
    </row>
    <row r="16" spans="1:18" x14ac:dyDescent="0.25">
      <c r="A16" t="s">
        <v>187</v>
      </c>
      <c r="B16">
        <f>(58.6/100)^2</f>
        <v>0.34339599999999998</v>
      </c>
      <c r="C16" t="s">
        <v>200</v>
      </c>
      <c r="D16" t="s">
        <v>188</v>
      </c>
      <c r="K16" t="s">
        <v>211</v>
      </c>
      <c r="L16">
        <f>'Calculo tolva romana'!W26/COS('Calculo de esfuerzos tolva'!L14)</f>
        <v>48.803543514169419</v>
      </c>
      <c r="P16" t="s">
        <v>224</v>
      </c>
      <c r="Q16">
        <f>200*1000^3</f>
        <v>200000000000</v>
      </c>
    </row>
    <row r="17" spans="1:17" x14ac:dyDescent="0.25">
      <c r="A17" t="s">
        <v>189</v>
      </c>
      <c r="B17">
        <f>4*58.6/100</f>
        <v>2.3439999999999999</v>
      </c>
      <c r="C17" t="s">
        <v>190</v>
      </c>
      <c r="P17" t="s">
        <v>223</v>
      </c>
      <c r="Q17">
        <v>1</v>
      </c>
    </row>
    <row r="18" spans="1:17" x14ac:dyDescent="0.25">
      <c r="A18" t="s">
        <v>191</v>
      </c>
      <c r="B18">
        <v>0.3</v>
      </c>
      <c r="D18" t="s">
        <v>193</v>
      </c>
      <c r="P18" t="s">
        <v>220</v>
      </c>
    </row>
    <row r="19" spans="1:17" x14ac:dyDescent="0.25">
      <c r="A19" t="s">
        <v>192</v>
      </c>
      <c r="B19">
        <v>0.5</v>
      </c>
      <c r="D19" t="s">
        <v>194</v>
      </c>
      <c r="E19" t="s">
        <v>176</v>
      </c>
      <c r="K19" t="s">
        <v>209</v>
      </c>
      <c r="N19" t="s">
        <v>215</v>
      </c>
      <c r="P19" t="s">
        <v>221</v>
      </c>
      <c r="Q19">
        <f>Q13-(Q15)*(Q15-Q14)/(6*Q14+Q15)</f>
        <v>0.24655462661214267</v>
      </c>
    </row>
    <row r="20" spans="1:17" x14ac:dyDescent="0.25">
      <c r="A20" t="s">
        <v>195</v>
      </c>
      <c r="B20">
        <v>0.08</v>
      </c>
      <c r="C20" t="s">
        <v>3</v>
      </c>
      <c r="K20" t="s">
        <v>210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212</v>
      </c>
      <c r="L21">
        <f>L13*L15*(COS(L14)^2)</f>
        <v>358.71544250401558</v>
      </c>
      <c r="M21" t="s">
        <v>35</v>
      </c>
      <c r="P21" t="s">
        <v>222</v>
      </c>
    </row>
    <row r="22" spans="1:17" x14ac:dyDescent="0.25">
      <c r="K22" t="s">
        <v>213</v>
      </c>
      <c r="L22">
        <f>3*((B16/B17)*(B14*B15*B19)/(SQRT(B18)))*(SIN(L14)^2)</f>
        <v>522.08563773183255</v>
      </c>
      <c r="M22" t="s">
        <v>35</v>
      </c>
      <c r="N22" t="s">
        <v>225</v>
      </c>
      <c r="P22">
        <f>(Q17*PI()^2*Q16)/(12*(1-0.3^3)*N26)</f>
        <v>72784293.430552989</v>
      </c>
    </row>
    <row r="23" spans="1:17" x14ac:dyDescent="0.25">
      <c r="A23" s="1" t="s">
        <v>203</v>
      </c>
      <c r="D23" s="1" t="s">
        <v>204</v>
      </c>
      <c r="K23" t="s">
        <v>214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196</v>
      </c>
      <c r="D24">
        <f>A31*TAN(B18)</f>
        <v>61.675074566203399</v>
      </c>
      <c r="E24" t="s">
        <v>35</v>
      </c>
      <c r="P24" t="s">
        <v>226</v>
      </c>
    </row>
    <row r="25" spans="1:17" x14ac:dyDescent="0.25">
      <c r="A25">
        <f>(B14*B15*B16)/(TAN(B18)*B17)</f>
        <v>2461.7103487256813</v>
      </c>
      <c r="B25" t="s">
        <v>35</v>
      </c>
      <c r="N25" t="s">
        <v>227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197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198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199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151</v>
      </c>
      <c r="B21">
        <v>100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41.435296439663965</v>
      </c>
    </row>
    <row r="29" spans="1:13" x14ac:dyDescent="0.25">
      <c r="I29" t="s">
        <v>164</v>
      </c>
      <c r="J29">
        <f>PI()*(0.5*I15+0.5*L15)*J26</f>
        <v>3027.5137226549482</v>
      </c>
    </row>
    <row r="30" spans="1:13" x14ac:dyDescent="0.25">
      <c r="I30" t="s">
        <v>163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workbookViewId="0">
      <selection activeCell="K21" sqref="K21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704.22535211267609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1408.4507042253522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1.3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0.71</v>
      </c>
      <c r="C18" t="s">
        <v>228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79</v>
      </c>
      <c r="B19">
        <f>B21*B22</f>
        <v>500</v>
      </c>
      <c r="I19" t="s">
        <v>92</v>
      </c>
    </row>
    <row r="20" spans="1:13" x14ac:dyDescent="0.25">
      <c r="A20" t="s">
        <v>83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151</v>
      </c>
      <c r="B21">
        <v>10</v>
      </c>
      <c r="C21" t="s">
        <v>228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17.085069549951005</v>
      </c>
    </row>
    <row r="29" spans="1:13" x14ac:dyDescent="0.25">
      <c r="I29" t="s">
        <v>164</v>
      </c>
      <c r="J29">
        <f>PI()*(0.5*I15+0.5*L15)*J26</f>
        <v>528.29144955043387</v>
      </c>
    </row>
    <row r="30" spans="1:13" x14ac:dyDescent="0.25">
      <c r="I30" t="s">
        <v>163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2019-03-14T02:31:14Z</dcterms:modified>
</cp:coreProperties>
</file>