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CC'!$W$15:$X$15</definedName>
    <definedName name="solver_adj" localSheetId="0" hidden="1">'Cálculo contenedor Concentrado'!$W$15:$Y$15</definedName>
    <definedName name="solver_adj" localSheetId="3" hidden="1">'Calculo tolva romana'!$S$26,'Calculo tolva romana'!$U$26,'Calculo tolva romana'!$V$26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romana'!$S$26:$W$26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romana'!$S$32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romana'!$U$26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romana'!$V$26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romana'!$S$29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P25" i="8" l="1"/>
  <c r="N23" i="8"/>
  <c r="Q16" i="8"/>
  <c r="Q15" i="8"/>
  <c r="Q14" i="8"/>
  <c r="Q13" i="8"/>
  <c r="Q19" i="8" s="1"/>
  <c r="L16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8" i="3" l="1"/>
  <c r="X11" i="1" l="1"/>
  <c r="X9" i="1"/>
  <c r="Q30" i="3" l="1"/>
  <c r="O30" i="3"/>
  <c r="P29" i="3" l="1"/>
  <c r="W26" i="3" l="1"/>
  <c r="W18" i="1" l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29" i="3"/>
  <c r="Z26" i="3"/>
  <c r="Y26" i="3"/>
  <c r="T22" i="3"/>
  <c r="J26" i="1"/>
  <c r="G14" i="3"/>
  <c r="Q27" i="3"/>
  <c r="O23" i="3"/>
  <c r="S32" i="3" l="1"/>
  <c r="Q28" i="3"/>
  <c r="Q29" i="3" s="1"/>
  <c r="O29" i="3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B19" i="5" l="1"/>
  <c r="J9" i="5" s="1"/>
  <c r="J11" i="5" s="1"/>
  <c r="J20" i="5" s="1"/>
</calcChain>
</file>

<file path=xl/sharedStrings.xml><?xml version="1.0" encoding="utf-8"?>
<sst xmlns="http://schemas.openxmlformats.org/spreadsheetml/2006/main" count="664" uniqueCount="229">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</sst>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O1" zoomScale="90" zoomScaleNormal="90" workbookViewId="0">
      <selection activeCell="X20" sqref="X20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4" width="0" hidden="1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166</v>
      </c>
    </row>
    <row r="5" spans="1:26" x14ac:dyDescent="0.25">
      <c r="O5" s="5">
        <v>43503</v>
      </c>
      <c r="P5" t="s">
        <v>170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169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151</v>
      </c>
      <c r="B21">
        <v>6000</v>
      </c>
      <c r="O21" t="s">
        <v>151</v>
      </c>
      <c r="P21">
        <v>6000</v>
      </c>
    </row>
    <row r="22" spans="1:27" x14ac:dyDescent="0.25">
      <c r="A22" t="s">
        <v>153</v>
      </c>
      <c r="B22">
        <v>50</v>
      </c>
      <c r="I22" t="s">
        <v>94</v>
      </c>
      <c r="O22" t="s">
        <v>153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167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338983.05084745766</v>
      </c>
      <c r="O9">
        <v>1</v>
      </c>
      <c r="P9" t="s">
        <v>71</v>
      </c>
      <c r="W9" s="1" t="s">
        <v>84</v>
      </c>
      <c r="X9">
        <f>P19/P18</f>
        <v>467796.61016949156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440677.96610169497</v>
      </c>
      <c r="O11">
        <v>3</v>
      </c>
      <c r="P11" t="s">
        <v>73</v>
      </c>
      <c r="W11" s="1" t="s">
        <v>84</v>
      </c>
      <c r="X11">
        <f>X9*P20</f>
        <v>561355.93220338982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125.13049797382367</v>
      </c>
      <c r="X15">
        <v>101.76707645669109</v>
      </c>
      <c r="Y15">
        <v>0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0.29499999999999998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0.29499999999999998</v>
      </c>
      <c r="W18">
        <f>(W15*W15)*Y15</f>
        <v>0</v>
      </c>
      <c r="X18">
        <f>(W15*W15)</f>
        <v>15657.641523177088</v>
      </c>
      <c r="Y18">
        <f>PI()*(Z15/2)^2</f>
        <v>45.603673118774793</v>
      </c>
      <c r="Z18">
        <f>(X15/3)*(X18+Y18+SQRT(X18*Y18))</f>
        <v>561355.93220338796</v>
      </c>
      <c r="AA18">
        <f>W18+Z18</f>
        <v>561355.93220338796</v>
      </c>
    </row>
    <row r="19" spans="1:27" x14ac:dyDescent="0.25">
      <c r="A19" t="s">
        <v>79</v>
      </c>
      <c r="B19">
        <f>B21*B22</f>
        <v>100000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0.34723037760704756</v>
      </c>
      <c r="O20" t="s">
        <v>83</v>
      </c>
      <c r="P20">
        <v>1.2</v>
      </c>
      <c r="W20" t="s">
        <v>54</v>
      </c>
      <c r="X20">
        <f>X11-AA18</f>
        <v>1.862645149230957E-9</v>
      </c>
    </row>
    <row r="21" spans="1:27" x14ac:dyDescent="0.25">
      <c r="A21" t="s">
        <v>151</v>
      </c>
      <c r="B21">
        <v>2000</v>
      </c>
      <c r="O21" t="s">
        <v>151</v>
      </c>
      <c r="P21">
        <v>2000</v>
      </c>
    </row>
    <row r="22" spans="1:27" x14ac:dyDescent="0.25">
      <c r="A22" t="s">
        <v>152</v>
      </c>
      <c r="B22">
        <v>50</v>
      </c>
      <c r="I22" t="s">
        <v>94</v>
      </c>
      <c r="O22" t="s">
        <v>152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31199.154246354166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M17" workbookViewId="0">
      <selection activeCell="Q21" sqref="Q2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156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58.6</v>
      </c>
      <c r="T26">
        <v>10</v>
      </c>
      <c r="U26">
        <v>7.8718644343080637</v>
      </c>
      <c r="V26">
        <v>5</v>
      </c>
      <c r="W26">
        <f>(S26-T26)/(2*TAN(T22))</f>
        <v>42.088834623923724</v>
      </c>
      <c r="Y26">
        <f>S26*S26</f>
        <v>3433.96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P29">
        <f>(P27*O23+P28)/4</f>
        <v>0.40391499999999997</v>
      </c>
      <c r="Q29">
        <f>SUM(Q27:Q28)</f>
        <v>38267.288932113297</v>
      </c>
      <c r="S29">
        <f>4*(T26*V26)+(4/2)*(S26+T26)*(W26/COS(T22))+4*S26*U26</f>
        <v>8713.0850234018108</v>
      </c>
    </row>
    <row r="30" spans="1:26" x14ac:dyDescent="0.25">
      <c r="A30">
        <v>2.8271785049016125</v>
      </c>
      <c r="B30">
        <v>4.5800291779406122</v>
      </c>
      <c r="N30" t="s">
        <v>157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N31" t="s">
        <v>168</v>
      </c>
      <c r="O31">
        <v>1.5</v>
      </c>
      <c r="S31" t="s">
        <v>149</v>
      </c>
    </row>
    <row r="32" spans="1:26" x14ac:dyDescent="0.25">
      <c r="A32" t="s">
        <v>50</v>
      </c>
      <c r="S32">
        <f>Q30*O31-(Y26*U26+(Z26*V26)+(W26/3*(Y26+Z26+SQRT(Y26*Z26))))</f>
        <v>768.29413869147538</v>
      </c>
    </row>
    <row r="33" spans="1:14" x14ac:dyDescent="0.25">
      <c r="A33">
        <f>A30*A30*B30</f>
        <v>36.607890624964938</v>
      </c>
    </row>
    <row r="34" spans="1:14" x14ac:dyDescent="0.25">
      <c r="A34" t="s">
        <v>54</v>
      </c>
      <c r="B34">
        <f>E26-D33-A33</f>
        <v>1.0937503506625035E-4</v>
      </c>
    </row>
    <row r="36" spans="1:14" x14ac:dyDescent="0.25">
      <c r="A36" t="s">
        <v>42</v>
      </c>
    </row>
    <row r="37" spans="1:14" x14ac:dyDescent="0.25">
      <c r="A37" t="s">
        <v>54</v>
      </c>
      <c r="B37">
        <f>1.62*A30-B30</f>
        <v>0</v>
      </c>
      <c r="N3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F1"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171</v>
      </c>
    </row>
    <row r="2" spans="1:18" x14ac:dyDescent="0.25">
      <c r="A2" t="s">
        <v>172</v>
      </c>
    </row>
    <row r="3" spans="1:18" x14ac:dyDescent="0.25">
      <c r="A3" t="s">
        <v>173</v>
      </c>
    </row>
    <row r="4" spans="1:18" x14ac:dyDescent="0.25">
      <c r="A4" s="7">
        <v>43516</v>
      </c>
    </row>
    <row r="6" spans="1:18" x14ac:dyDescent="0.25">
      <c r="A6" t="s">
        <v>174</v>
      </c>
    </row>
    <row r="7" spans="1:18" x14ac:dyDescent="0.25">
      <c r="A7" t="s">
        <v>175</v>
      </c>
      <c r="B7" t="s">
        <v>176</v>
      </c>
    </row>
    <row r="8" spans="1:18" x14ac:dyDescent="0.25">
      <c r="A8" t="s">
        <v>177</v>
      </c>
      <c r="B8" s="8" t="s">
        <v>178</v>
      </c>
    </row>
    <row r="11" spans="1:18" x14ac:dyDescent="0.25">
      <c r="A11" s="1" t="s">
        <v>179</v>
      </c>
      <c r="K11" s="1" t="s">
        <v>202</v>
      </c>
      <c r="P11" s="1" t="s">
        <v>216</v>
      </c>
    </row>
    <row r="12" spans="1:18" x14ac:dyDescent="0.25">
      <c r="A12" t="s">
        <v>180</v>
      </c>
      <c r="K12" t="s">
        <v>180</v>
      </c>
      <c r="P12" t="s">
        <v>180</v>
      </c>
    </row>
    <row r="13" spans="1:18" x14ac:dyDescent="0.25">
      <c r="A13" t="s">
        <v>182</v>
      </c>
      <c r="B13" t="s">
        <v>183</v>
      </c>
      <c r="C13" t="s">
        <v>184</v>
      </c>
      <c r="K13" t="s">
        <v>205</v>
      </c>
      <c r="L13">
        <v>1.2</v>
      </c>
      <c r="P13" t="s">
        <v>217</v>
      </c>
      <c r="Q13">
        <f>'Calculo tolva romana'!W26/COS('Calculo de esfuerzos tolva'!L14)/100</f>
        <v>0.4861126456684014</v>
      </c>
      <c r="R13" t="s">
        <v>22</v>
      </c>
    </row>
    <row r="14" spans="1:18" x14ac:dyDescent="0.25">
      <c r="A14" t="s">
        <v>181</v>
      </c>
      <c r="B14">
        <v>9.81</v>
      </c>
      <c r="C14" t="s">
        <v>201</v>
      </c>
      <c r="K14" t="s">
        <v>206</v>
      </c>
      <c r="L14">
        <v>0.52400000000000002</v>
      </c>
      <c r="M14" t="s">
        <v>67</v>
      </c>
      <c r="N14" t="s">
        <v>208</v>
      </c>
      <c r="P14" t="s">
        <v>218</v>
      </c>
      <c r="Q14">
        <f>0.1</f>
        <v>0.1</v>
      </c>
      <c r="R14" t="s">
        <v>22</v>
      </c>
    </row>
    <row r="15" spans="1:18" x14ac:dyDescent="0.25">
      <c r="A15" t="s">
        <v>185</v>
      </c>
      <c r="B15">
        <v>529.86</v>
      </c>
      <c r="C15" t="s">
        <v>17</v>
      </c>
      <c r="D15" t="s">
        <v>186</v>
      </c>
      <c r="K15" t="s">
        <v>207</v>
      </c>
      <c r="L15">
        <f>A31/B19</f>
        <v>398.75749863804339</v>
      </c>
      <c r="M15" t="s">
        <v>35</v>
      </c>
      <c r="P15" t="s">
        <v>219</v>
      </c>
      <c r="Q15">
        <f>'Calculo tolva romana'!S26/100</f>
        <v>0.58599999999999997</v>
      </c>
      <c r="R15" t="s">
        <v>22</v>
      </c>
    </row>
    <row r="16" spans="1:18" x14ac:dyDescent="0.25">
      <c r="A16" t="s">
        <v>187</v>
      </c>
      <c r="B16">
        <f>(58.6/100)^2</f>
        <v>0.34339599999999998</v>
      </c>
      <c r="C16" t="s">
        <v>200</v>
      </c>
      <c r="D16" t="s">
        <v>188</v>
      </c>
      <c r="K16" t="s">
        <v>211</v>
      </c>
      <c r="L16">
        <f>'Calculo tolva romana'!W26/COS('Calculo de esfuerzos tolva'!L14)</f>
        <v>48.611264566840141</v>
      </c>
      <c r="P16" t="s">
        <v>224</v>
      </c>
      <c r="Q16">
        <f>200*1000^3</f>
        <v>200000000000</v>
      </c>
    </row>
    <row r="17" spans="1:17" x14ac:dyDescent="0.25">
      <c r="A17" t="s">
        <v>189</v>
      </c>
      <c r="B17">
        <f>4*58.6/100</f>
        <v>2.3439999999999999</v>
      </c>
      <c r="C17" t="s">
        <v>190</v>
      </c>
      <c r="P17" t="s">
        <v>223</v>
      </c>
      <c r="Q17">
        <v>1</v>
      </c>
    </row>
    <row r="18" spans="1:17" x14ac:dyDescent="0.25">
      <c r="A18" t="s">
        <v>191</v>
      </c>
      <c r="B18">
        <v>0.3</v>
      </c>
      <c r="D18" t="s">
        <v>193</v>
      </c>
      <c r="P18" t="s">
        <v>220</v>
      </c>
    </row>
    <row r="19" spans="1:17" x14ac:dyDescent="0.25">
      <c r="A19" t="s">
        <v>192</v>
      </c>
      <c r="B19">
        <v>0.5</v>
      </c>
      <c r="D19" t="s">
        <v>194</v>
      </c>
      <c r="E19" t="s">
        <v>176</v>
      </c>
      <c r="K19" t="s">
        <v>209</v>
      </c>
      <c r="N19" t="s">
        <v>215</v>
      </c>
      <c r="P19" t="s">
        <v>221</v>
      </c>
      <c r="Q19">
        <f>Q13-(Q15)*(Q15-Q14)/(6*Q14+Q15)</f>
        <v>0.24598111109841825</v>
      </c>
    </row>
    <row r="20" spans="1:17" x14ac:dyDescent="0.25">
      <c r="A20" t="s">
        <v>195</v>
      </c>
      <c r="B20">
        <v>0.08</v>
      </c>
      <c r="C20" t="s">
        <v>3</v>
      </c>
      <c r="K20" t="s">
        <v>210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212</v>
      </c>
      <c r="L21">
        <f>L13*L15*(COS(L14)^2)</f>
        <v>358.71544250401558</v>
      </c>
      <c r="M21" t="s">
        <v>35</v>
      </c>
      <c r="P21" t="s">
        <v>222</v>
      </c>
    </row>
    <row r="22" spans="1:17" x14ac:dyDescent="0.25">
      <c r="K22" t="s">
        <v>213</v>
      </c>
      <c r="L22">
        <f>3*((B16/B17)*(B14*B15*B19)/(SQRT(B18)))*(SIN(L14)^2)</f>
        <v>522.08563773183255</v>
      </c>
      <c r="M22" t="s">
        <v>35</v>
      </c>
      <c r="N22" t="s">
        <v>225</v>
      </c>
      <c r="P22">
        <f>(Q17*PI()^2*Q16)/(12*(1-0.3^3)*N26)</f>
        <v>72784293.430552989</v>
      </c>
    </row>
    <row r="23" spans="1:17" x14ac:dyDescent="0.25">
      <c r="A23" s="1" t="s">
        <v>203</v>
      </c>
      <c r="D23" s="1" t="s">
        <v>204</v>
      </c>
      <c r="K23" t="s">
        <v>214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196</v>
      </c>
      <c r="D24">
        <f>A31*TAN(B18)</f>
        <v>61.675074566203399</v>
      </c>
      <c r="E24" t="s">
        <v>35</v>
      </c>
      <c r="P24" t="s">
        <v>226</v>
      </c>
    </row>
    <row r="25" spans="1:17" x14ac:dyDescent="0.25">
      <c r="A25">
        <f>(B14*B15*B16)/(TAN(B18)*B17)</f>
        <v>2461.7103487256813</v>
      </c>
      <c r="B25" t="s">
        <v>35</v>
      </c>
      <c r="N25" t="s">
        <v>227</v>
      </c>
      <c r="P25">
        <f>Q19/(SQRT(P22))</f>
        <v>2.8832541361434868E-5</v>
      </c>
    </row>
    <row r="26" spans="1:17" x14ac:dyDescent="0.25">
      <c r="N26">
        <f>N23*2</f>
        <v>2322.7260162682473</v>
      </c>
    </row>
    <row r="27" spans="1:17" x14ac:dyDescent="0.25">
      <c r="A27" t="s">
        <v>197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198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199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151</v>
      </c>
      <c r="B21">
        <v>100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41.435296439663965</v>
      </c>
    </row>
    <row r="29" spans="1:13" x14ac:dyDescent="0.25">
      <c r="I29" t="s">
        <v>164</v>
      </c>
      <c r="J29">
        <f>PI()*(0.5*I15+0.5*L15)*J26</f>
        <v>3027.5137226549482</v>
      </c>
    </row>
    <row r="30" spans="1:13" x14ac:dyDescent="0.25">
      <c r="I30" t="s">
        <v>163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0.71</v>
      </c>
      <c r="C18" t="s">
        <v>228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151</v>
      </c>
      <c r="B21">
        <v>10</v>
      </c>
      <c r="C21" t="s">
        <v>228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17.085069549951005</v>
      </c>
    </row>
    <row r="29" spans="1:13" x14ac:dyDescent="0.25">
      <c r="I29" t="s">
        <v>164</v>
      </c>
      <c r="J29">
        <f>PI()*(0.5*I15+0.5*L15)*J26</f>
        <v>528.29144955043387</v>
      </c>
    </row>
    <row r="30" spans="1:13" x14ac:dyDescent="0.25">
      <c r="I30" t="s">
        <v>163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2019-03-11T23:24:11Z</dcterms:modified>
</cp:coreProperties>
</file>