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4"/>
  </bookViews>
  <sheets>
    <sheet name="Cálculo contenedor Concentrado" sheetId="1" r:id="rId1"/>
    <sheet name="Cálculo contenedor CC" sheetId="5" r:id="rId2"/>
    <sheet name="Cálculo de fuerza" sheetId="2" r:id="rId3"/>
    <sheet name="Calculo tolva romana" sheetId="3" r:id="rId4"/>
    <sheet name="Calculo de esfuerzos tolva" sheetId="8" r:id="rId5"/>
    <sheet name="Cálculo contenedor" sheetId="4" r:id="rId6"/>
    <sheet name="Dimensionado tolva mineral" sheetId="6" r:id="rId7"/>
    <sheet name="Dimensionado tolva levadura" sheetId="7" r:id="rId8"/>
  </sheets>
  <definedNames>
    <definedName name="solver_adj" localSheetId="5" hidden="1">'Cálculo contenedor'!$A$11,'Cálculo contenedor'!$B$11,'Cálculo contenedor'!$C$11</definedName>
    <definedName name="solver_adj" localSheetId="1" hidden="1">'Cálculo contenedor CC'!$W$15:$X$15</definedName>
    <definedName name="solver_adj" localSheetId="0" hidden="1">'Cálculo contenedor Concentrado'!$W$15:$Y$15</definedName>
    <definedName name="solver_adj" localSheetId="3" hidden="1">'Calculo tolva romana'!$S$26,'Calculo tolva romana'!$U$26,'Calculo tolva romana'!$V$26</definedName>
    <definedName name="solver_adj" localSheetId="7" hidden="1">'Dimensionado tolva levadura'!$I$15:$K$15</definedName>
    <definedName name="solver_adj" localSheetId="6" hidden="1">'Dimensionado tolva mineral'!$I$15:$J$15</definedName>
    <definedName name="solver_cvg" localSheetId="5" hidden="1">0.0001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cvg" localSheetId="6" hidden="1">0.0001</definedName>
    <definedName name="solver_drv" localSheetId="5" hidden="1">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drv" localSheetId="6" hidden="1">1</definedName>
    <definedName name="solver_eng" localSheetId="5" hidden="1">1</definedName>
    <definedName name="solver_eng" localSheetId="1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ng" localSheetId="6" hidden="1">1</definedName>
    <definedName name="solver_est" localSheetId="5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est" localSheetId="6" hidden="1">1</definedName>
    <definedName name="solver_itr" localSheetId="5" hidden="1">2147483647</definedName>
    <definedName name="solver_itr" localSheetId="1" hidden="1">2147483647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itr" localSheetId="6" hidden="1">2147483647</definedName>
    <definedName name="solver_lhs1" localSheetId="5" hidden="1">'Cálculo contenedor'!$A$11</definedName>
    <definedName name="solver_lhs1" localSheetId="1" hidden="1">'Cálculo contenedor CC'!$X$20</definedName>
    <definedName name="solver_lhs1" localSheetId="0" hidden="1">'Cálculo contenedor Concentrado'!$X$20</definedName>
    <definedName name="solver_lhs1" localSheetId="3" hidden="1">'Calculo tolva romana'!$S$26:$W$26</definedName>
    <definedName name="solver_lhs1" localSheetId="7" hidden="1">'Dimensionado tolva levadura'!$J$20</definedName>
    <definedName name="solver_lhs1" localSheetId="6" hidden="1">'Dimensionado tolva mineral'!$J$20</definedName>
    <definedName name="solver_lhs2" localSheetId="5" hidden="1">'Cálculo contenedor'!$B$11</definedName>
    <definedName name="solver_lhs2" localSheetId="1" hidden="1">'Cálculo contenedor CC'!$X$23</definedName>
    <definedName name="solver_lhs2" localSheetId="0" hidden="1">'Cálculo contenedor Concentrado'!$X$23</definedName>
    <definedName name="solver_lhs2" localSheetId="3" hidden="1">'Calculo tolva romana'!$S$32</definedName>
    <definedName name="solver_lhs2" localSheetId="7" hidden="1">'Dimensionado tolva levadura'!$J$23</definedName>
    <definedName name="solver_lhs2" localSheetId="6" hidden="1">'Dimensionado tolva mineral'!$J$23</definedName>
    <definedName name="solver_lhs3" localSheetId="5" hidden="1">'Cálculo contenedor'!$B$15</definedName>
    <definedName name="solver_lhs3" localSheetId="1" hidden="1">'Cálculo contenedor CC'!$J$23</definedName>
    <definedName name="solver_lhs3" localSheetId="0" hidden="1">'Cálculo contenedor Concentrado'!$X$23</definedName>
    <definedName name="solver_lhs3" localSheetId="3" hidden="1">'Calculo tolva romana'!$U$26</definedName>
    <definedName name="solver_lhs4" localSheetId="5" hidden="1">'Cálculo contenedor'!$B$18</definedName>
    <definedName name="solver_lhs4" localSheetId="1" hidden="1">'Cálculo contenedor CC'!$J$23</definedName>
    <definedName name="solver_lhs4" localSheetId="0" hidden="1">'Cálculo contenedor Concentrado'!$X$23</definedName>
    <definedName name="solver_lhs4" localSheetId="3" hidden="1">'Calculo tolva romana'!$V$26</definedName>
    <definedName name="solver_lhs5" localSheetId="5" hidden="1">'Cálculo contenedor'!$C$11</definedName>
    <definedName name="solver_lhs5" localSheetId="0" hidden="1">'Cálculo contenedor Concentrado'!$X$23</definedName>
    <definedName name="solver_lhs5" localSheetId="3" hidden="1">'Calculo tolva romana'!$D$11</definedName>
    <definedName name="solver_lhs6" localSheetId="3" hidden="1">'Calculo tolva romana'!$G$11</definedName>
    <definedName name="solver_mip" localSheetId="5" hidden="1">2147483647</definedName>
    <definedName name="solver_mip" localSheetId="1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ip" localSheetId="6" hidden="1">2147483647</definedName>
    <definedName name="solver_mni" localSheetId="5" hidden="1">30</definedName>
    <definedName name="solver_mni" localSheetId="1" hidden="1">30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ni" localSheetId="6" hidden="1">30</definedName>
    <definedName name="solver_mrt" localSheetId="5" hidden="1">0.075</definedName>
    <definedName name="solver_mrt" localSheetId="1" hidden="1">0.075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rt" localSheetId="6" hidden="1">0.075</definedName>
    <definedName name="solver_msl" localSheetId="5" hidden="1">2</definedName>
    <definedName name="solver_msl" localSheetId="1" hidden="1">2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msl" localSheetId="6" hidden="1">2</definedName>
    <definedName name="solver_neg" localSheetId="5" hidden="1">2</definedName>
    <definedName name="solver_neg" localSheetId="1" hidden="1">2</definedName>
    <definedName name="solver_neg" localSheetId="0" hidden="1">2</definedName>
    <definedName name="solver_neg" localSheetId="3" hidden="1">1</definedName>
    <definedName name="solver_neg" localSheetId="7" hidden="1">1</definedName>
    <definedName name="solver_neg" localSheetId="6" hidden="1">1</definedName>
    <definedName name="solver_nod" localSheetId="5" hidden="1">2147483647</definedName>
    <definedName name="solver_nod" localSheetId="1" hidden="1">2147483647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od" localSheetId="6" hidden="1">2147483647</definedName>
    <definedName name="solver_num" localSheetId="5" hidden="1">5</definedName>
    <definedName name="solver_num" localSheetId="1" hidden="1">2</definedName>
    <definedName name="solver_num" localSheetId="0" hidden="1">2</definedName>
    <definedName name="solver_num" localSheetId="3" hidden="1">4</definedName>
    <definedName name="solver_num" localSheetId="7" hidden="1">2</definedName>
    <definedName name="solver_num" localSheetId="6" hidden="1">2</definedName>
    <definedName name="solver_nwt" localSheetId="5" hidden="1">1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nwt" localSheetId="6" hidden="1">1</definedName>
    <definedName name="solver_opt" localSheetId="5" hidden="1">'Cálculo contenedor'!$B$21</definedName>
    <definedName name="solver_opt" localSheetId="1" hidden="1">'Cálculo contenedor CC'!$X$26</definedName>
    <definedName name="solver_opt" localSheetId="0" hidden="1">'Cálculo contenedor Concentrado'!$X$26</definedName>
    <definedName name="solver_opt" localSheetId="3" hidden="1">'Calculo tolva romana'!$S$29</definedName>
    <definedName name="solver_opt" localSheetId="7" hidden="1">'Dimensionado tolva levadura'!$J$30</definedName>
    <definedName name="solver_opt" localSheetId="6" hidden="1">'Dimensionado tolva mineral'!$J$30</definedName>
    <definedName name="solver_pre" localSheetId="5" hidden="1">0.000001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pre" localSheetId="6" hidden="1">0.000001</definedName>
    <definedName name="solver_rbv" localSheetId="5" hidden="1">2</definedName>
    <definedName name="solver_rbv" localSheetId="1" hidden="1">2</definedName>
    <definedName name="solver_rbv" localSheetId="0" hidden="1">2</definedName>
    <definedName name="solver_rbv" localSheetId="3" hidden="1">1</definedName>
    <definedName name="solver_rbv" localSheetId="7" hidden="1">1</definedName>
    <definedName name="solver_rbv" localSheetId="6" hidden="1">1</definedName>
    <definedName name="solver_rel1" localSheetId="5" hidden="1">3</definedName>
    <definedName name="solver_rel1" localSheetId="1" hidden="1">2</definedName>
    <definedName name="solver_rel1" localSheetId="0" hidden="1">2</definedName>
    <definedName name="solver_rel1" localSheetId="3" hidden="1">3</definedName>
    <definedName name="solver_rel1" localSheetId="7" hidden="1">2</definedName>
    <definedName name="solver_rel1" localSheetId="6" hidden="1">2</definedName>
    <definedName name="solver_rel2" localSheetId="5" hidden="1">3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7" hidden="1">2</definedName>
    <definedName name="solver_rel2" localSheetId="6" hidden="1">2</definedName>
    <definedName name="solver_rel3" localSheetId="5" hidden="1">2</definedName>
    <definedName name="solver_rel3" localSheetId="1" hidden="1">2</definedName>
    <definedName name="solver_rel3" localSheetId="0" hidden="1">2</definedName>
    <definedName name="solver_rel3" localSheetId="3" hidden="1">3</definedName>
    <definedName name="solver_rel4" localSheetId="5" hidden="1">2</definedName>
    <definedName name="solver_rel4" localSheetId="1" hidden="1">2</definedName>
    <definedName name="solver_rel4" localSheetId="0" hidden="1">2</definedName>
    <definedName name="solver_rel4" localSheetId="3" hidden="1">3</definedName>
    <definedName name="solver_rel5" localSheetId="5" hidden="1">3</definedName>
    <definedName name="solver_rel5" localSheetId="0" hidden="1">2</definedName>
    <definedName name="solver_rel5" localSheetId="3" hidden="1">3</definedName>
    <definedName name="solver_rel6" localSheetId="3" hidden="1">3</definedName>
    <definedName name="solver_rhs1" localSheetId="5" hidden="1">0</definedName>
    <definedName name="solver_rhs1" localSheetId="1" hidden="1">0</definedName>
    <definedName name="solver_rhs1" localSheetId="0" hidden="1">0</definedName>
    <definedName name="solver_rhs1" localSheetId="3" hidden="1">0</definedName>
    <definedName name="solver_rhs1" localSheetId="7" hidden="1">0</definedName>
    <definedName name="solver_rhs1" localSheetId="6" hidden="1">0</definedName>
    <definedName name="solver_rhs2" localSheetId="5" hidden="1">0</definedName>
    <definedName name="solver_rhs2" localSheetId="1" hidden="1">0</definedName>
    <definedName name="solver_rhs2" localSheetId="0" hidden="1">0</definedName>
    <definedName name="solver_rhs2" localSheetId="3" hidden="1">0</definedName>
    <definedName name="solver_rhs2" localSheetId="7" hidden="1">0</definedName>
    <definedName name="solver_rhs2" localSheetId="6" hidden="1">0</definedName>
    <definedName name="solver_rhs3" localSheetId="5" hidden="1">0</definedName>
    <definedName name="solver_rhs3" localSheetId="1" hidden="1">0</definedName>
    <definedName name="solver_rhs3" localSheetId="0" hidden="1">0</definedName>
    <definedName name="solver_rhs3" localSheetId="3" hidden="1">5</definedName>
    <definedName name="solver_rhs4" localSheetId="5" hidden="1">0</definedName>
    <definedName name="solver_rhs4" localSheetId="1" hidden="1">0</definedName>
    <definedName name="solver_rhs4" localSheetId="0" hidden="1">0</definedName>
    <definedName name="solver_rhs4" localSheetId="3" hidden="1">5</definedName>
    <definedName name="solver_rhs5" localSheetId="5" hidden="1">30</definedName>
    <definedName name="solver_rhs5" localSheetId="0" hidden="1">0</definedName>
    <definedName name="solver_rhs5" localSheetId="3" hidden="1">0</definedName>
    <definedName name="solver_rhs6" localSheetId="3" hidden="1">0</definedName>
    <definedName name="solver_rlx" localSheetId="5" hidden="1">2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lx" localSheetId="6" hidden="1">2</definedName>
    <definedName name="solver_rsd" localSheetId="5" hidden="1">0</definedName>
    <definedName name="solver_rsd" localSheetId="1" hidden="1">0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rsd" localSheetId="6" hidden="1">0</definedName>
    <definedName name="solver_scl" localSheetId="5" hidden="1">1</definedName>
    <definedName name="solver_scl" localSheetId="1" hidden="1">1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cl" localSheetId="6" hidden="1">1</definedName>
    <definedName name="solver_sho" localSheetId="5" hidden="1">2</definedName>
    <definedName name="solver_sho" localSheetId="1" hidden="1">2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ho" localSheetId="6" hidden="1">2</definedName>
    <definedName name="solver_ssz" localSheetId="5" hidden="1">100</definedName>
    <definedName name="solver_ssz" localSheetId="1" hidden="1">100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ssz" localSheetId="6" hidden="1">100</definedName>
    <definedName name="solver_tim" localSheetId="5" hidden="1">2147483647</definedName>
    <definedName name="solver_tim" localSheetId="1" hidden="1">2147483647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im" localSheetId="6" hidden="1">2147483647</definedName>
    <definedName name="solver_tol" localSheetId="5" hidden="1">0.01</definedName>
    <definedName name="solver_tol" localSheetId="1" hidden="1">0.01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ol" localSheetId="6" hidden="1">0.01</definedName>
    <definedName name="solver_typ" localSheetId="5" hidden="1">2</definedName>
    <definedName name="solver_typ" localSheetId="1" hidden="1">2</definedName>
    <definedName name="solver_typ" localSheetId="0" hidden="1">2</definedName>
    <definedName name="solver_typ" localSheetId="3" hidden="1">2</definedName>
    <definedName name="solver_typ" localSheetId="7" hidden="1">2</definedName>
    <definedName name="solver_typ" localSheetId="6" hidden="1">2</definedName>
    <definedName name="solver_val" localSheetId="5" hidden="1">0</definedName>
    <definedName name="solver_val" localSheetId="1" hidden="1">0</definedName>
    <definedName name="solver_val" localSheetId="0" hidden="1">0</definedName>
    <definedName name="solver_val" localSheetId="3" hidden="1">15000</definedName>
    <definedName name="solver_val" localSheetId="7" hidden="1">0</definedName>
    <definedName name="solver_val" localSheetId="6" hidden="1">0</definedName>
    <definedName name="solver_ver" localSheetId="5" hidden="1">3</definedName>
    <definedName name="solver_ver" localSheetId="1" hidden="1">3</definedName>
    <definedName name="solver_ver" localSheetId="0" hidden="1">3</definedName>
    <definedName name="solver_ver" localSheetId="3" hidden="1">3</definedName>
    <definedName name="solver_ver" localSheetId="7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8" l="1"/>
  <c r="P22" i="8"/>
  <c r="N26" i="8"/>
  <c r="D24" i="8"/>
  <c r="P25" i="8" l="1"/>
  <c r="N23" i="8"/>
  <c r="Q16" i="8"/>
  <c r="Q15" i="8"/>
  <c r="Q14" i="8"/>
  <c r="Q13" i="8"/>
  <c r="Q19" i="8" s="1"/>
  <c r="L16" i="8"/>
  <c r="B17" i="8"/>
  <c r="B16" i="8"/>
  <c r="A25" i="8" l="1"/>
  <c r="A28" i="8"/>
  <c r="A31" i="8" l="1"/>
  <c r="L15" i="8" l="1"/>
  <c r="A32" i="8"/>
  <c r="L20" i="8" l="1"/>
  <c r="L23" i="8" s="1"/>
  <c r="N20" i="8" s="1"/>
  <c r="L21" i="8"/>
  <c r="O28" i="3" l="1"/>
  <c r="X11" i="1" l="1"/>
  <c r="X9" i="1"/>
  <c r="Q30" i="3" l="1"/>
  <c r="O30" i="3"/>
  <c r="P29" i="3" l="1"/>
  <c r="W26" i="3" l="1"/>
  <c r="W18" i="1" l="1"/>
  <c r="Y18" i="1"/>
  <c r="B16" i="7" l="1"/>
  <c r="X18" i="5"/>
  <c r="X9" i="5"/>
  <c r="X11" i="5" s="1"/>
  <c r="W18" i="5"/>
  <c r="P16" i="5"/>
  <c r="Z15" i="5"/>
  <c r="X26" i="5" s="1"/>
  <c r="X26" i="1"/>
  <c r="Z15" i="1"/>
  <c r="X18" i="1"/>
  <c r="Z18" i="1" s="1"/>
  <c r="P16" i="1"/>
  <c r="L15" i="7"/>
  <c r="K18" i="7" s="1"/>
  <c r="J18" i="7"/>
  <c r="J26" i="7"/>
  <c r="J9" i="7"/>
  <c r="J11" i="7" s="1"/>
  <c r="K18" i="6"/>
  <c r="J18" i="6"/>
  <c r="I18" i="6" s="1"/>
  <c r="J11" i="6"/>
  <c r="J9" i="6"/>
  <c r="X23" i="5" l="1"/>
  <c r="Y18" i="5"/>
  <c r="Z18" i="5" s="1"/>
  <c r="AA18" i="5" s="1"/>
  <c r="X20" i="5" s="1"/>
  <c r="J29" i="7"/>
  <c r="J30" i="7" s="1"/>
  <c r="AA18" i="1"/>
  <c r="X20" i="1" s="1"/>
  <c r="X23" i="1"/>
  <c r="L18" i="7"/>
  <c r="I18" i="7"/>
  <c r="J23" i="7"/>
  <c r="L18" i="6"/>
  <c r="M18" i="6" s="1"/>
  <c r="J20" i="6" s="1"/>
  <c r="M18" i="7" l="1"/>
  <c r="J20" i="7" s="1"/>
  <c r="G45" i="6" l="1"/>
  <c r="F45" i="6"/>
  <c r="H45" i="6" s="1"/>
  <c r="I45" i="6" s="1"/>
  <c r="A45" i="6"/>
  <c r="C45" i="6" s="1"/>
  <c r="D45" i="6" s="1"/>
  <c r="F43" i="6"/>
  <c r="F39" i="6"/>
  <c r="A39" i="6"/>
  <c r="B45" i="6" s="1"/>
  <c r="B16" i="6"/>
  <c r="J23" i="6" l="1"/>
  <c r="J26" i="6"/>
  <c r="J29" i="6" s="1"/>
  <c r="J30" i="6" s="1"/>
  <c r="L15" i="5" l="1"/>
  <c r="B19" i="1"/>
  <c r="F45" i="5" l="1"/>
  <c r="A45" i="5"/>
  <c r="C45" i="5" s="1"/>
  <c r="D45" i="5" s="1"/>
  <c r="F43" i="5"/>
  <c r="F39" i="5"/>
  <c r="G45" i="5" s="1"/>
  <c r="A39" i="5"/>
  <c r="B45" i="5" s="1"/>
  <c r="K18" i="5"/>
  <c r="J18" i="5"/>
  <c r="I18" i="5"/>
  <c r="B16" i="5"/>
  <c r="J23" i="5" s="1"/>
  <c r="J9" i="1"/>
  <c r="J26" i="5" l="1"/>
  <c r="L18" i="5"/>
  <c r="M18" i="5" s="1"/>
  <c r="H45" i="5"/>
  <c r="I45" i="5" s="1"/>
  <c r="S29" i="3"/>
  <c r="Z26" i="3"/>
  <c r="Y26" i="3"/>
  <c r="T22" i="3"/>
  <c r="J26" i="1"/>
  <c r="G14" i="3"/>
  <c r="Q27" i="3"/>
  <c r="O23" i="3"/>
  <c r="S32" i="3" l="1"/>
  <c r="Q28" i="3"/>
  <c r="Q29" i="3" s="1"/>
  <c r="O29" i="3"/>
  <c r="J23" i="1" l="1"/>
  <c r="K18" i="1"/>
  <c r="J18" i="1"/>
  <c r="I18" i="1"/>
  <c r="B14" i="4"/>
  <c r="C14" i="4"/>
  <c r="A14" i="4"/>
  <c r="J11" i="1"/>
  <c r="L18" i="1" l="1"/>
  <c r="M18" i="1" s="1"/>
  <c r="J20" i="1" s="1"/>
  <c r="B16" i="1" l="1"/>
  <c r="A39" i="1"/>
  <c r="A45" i="1"/>
  <c r="B21" i="4" l="1"/>
  <c r="A33" i="3" l="1"/>
  <c r="B37" i="3"/>
  <c r="E26" i="3"/>
  <c r="H18" i="3"/>
  <c r="K7" i="3"/>
  <c r="H15" i="3" s="1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B21" i="3"/>
  <c r="B18" i="3"/>
  <c r="C14" i="3"/>
  <c r="B14" i="3"/>
  <c r="A14" i="3"/>
  <c r="E7" i="3"/>
  <c r="B34" i="3" l="1"/>
  <c r="D14" i="4"/>
  <c r="B15" i="4" s="1"/>
  <c r="D14" i="3"/>
  <c r="B15" i="3" s="1"/>
  <c r="F43" i="1" l="1"/>
  <c r="A15" i="2" l="1"/>
  <c r="A9" i="2"/>
  <c r="F45" i="1" l="1"/>
  <c r="F39" i="1"/>
  <c r="B45" i="1"/>
  <c r="C45" i="1" s="1"/>
  <c r="G45" i="1" l="1"/>
  <c r="H45" i="1" s="1"/>
  <c r="I45" i="1" s="1"/>
  <c r="A11" i="2"/>
  <c r="D45" i="1"/>
  <c r="D3" i="2" l="1"/>
  <c r="E3" i="2" s="1"/>
  <c r="F3" i="2"/>
  <c r="C11" i="2"/>
  <c r="D6" i="2" l="1"/>
  <c r="D8" i="2" s="1"/>
  <c r="D9" i="2" s="1"/>
  <c r="B19" i="5" l="1"/>
  <c r="J9" i="5" s="1"/>
  <c r="J11" i="5" s="1"/>
  <c r="J20" i="5" s="1"/>
</calcChain>
</file>

<file path=xl/sharedStrings.xml><?xml version="1.0" encoding="utf-8"?>
<sst xmlns="http://schemas.openxmlformats.org/spreadsheetml/2006/main" count="690" uniqueCount="228">
  <si>
    <t>Altura deseada</t>
  </si>
  <si>
    <t>Volumen deseado</t>
  </si>
  <si>
    <t>cm3</t>
  </si>
  <si>
    <t>cm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</si>
  <si>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</si>
  <si>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</si>
  <si>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</si>
  <si>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</si>
  <si>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</si>
  <si>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</si>
  <si>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</si>
  <si>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</si>
  <si>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</si>
  <si>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</si>
  <si>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</si>
  <si>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</si>
  <si>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</si>
  <si>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</si>
  <si>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</si>
  <si>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</si>
  <si>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</si>
  <si>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</si>
  <si>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</si>
  <si>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</si>
  <si>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</si>
  <si>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</si>
  <si>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</si>
  <si>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</si>
  <si>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</si>
  <si>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</si>
  <si>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</si>
  <si>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</si>
  <si>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</si>
  <si>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</si>
  <si>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</si>
  <si>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</si>
  <si>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</si>
  <si>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</si>
  <si>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</si>
  <si>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</si>
  <si>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</si>
  <si>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</si>
  <si>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</si>
  <si>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</si>
  <si>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</si>
  <si>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</si>
  <si>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</si>
  <si>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</si>
  <si>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</si>
  <si>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</si>
  <si>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</si>
  <si>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</si>
  <si>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</si>
  <si>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</si>
  <si>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</si>
  <si>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</si>
  <si>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</si>
  <si>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</si>
  <si>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</si>
  <si>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</si>
  <si>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</si>
  <si>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</si>
  <si>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</si>
  <si>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</si>
  <si>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</si>
  <si>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</si>
  <si>
    <t>Angulo deseado (respecto a la vertical)</t>
  </si>
  <si>
    <t>rad</t>
  </si>
  <si>
    <t>Hoja de excel requerida para calcular los tamaños de las tolvas contenedoras de alimento</t>
  </si>
  <si>
    <t>Steve Mena Navarro</t>
  </si>
  <si>
    <t>Se va a calcular el tamaño de la tolva, con las restricciones de:</t>
  </si>
  <si>
    <t>El volumen debe ser el requerido por un factor de seguridad</t>
  </si>
  <si>
    <t>La cantida de material debe minizarse.</t>
  </si>
  <si>
    <t>Se va a variar la altura del cuadrado, y el lado del cuadrado</t>
  </si>
  <si>
    <t>Parámetros</t>
  </si>
  <si>
    <t>Angulo (°)</t>
  </si>
  <si>
    <t>Ángulo (rad)</t>
  </si>
  <si>
    <t>Apertura del tubo (cm)</t>
  </si>
  <si>
    <t>Densidad del material (g/cm3)</t>
  </si>
  <si>
    <t>Masa requerida (g)</t>
  </si>
  <si>
    <t>El calculo se realizó con la densidad del material más pequeña encontrada.</t>
  </si>
  <si>
    <t>Proceso de cálculo</t>
  </si>
  <si>
    <t>Calcular volumen requerido</t>
  </si>
  <si>
    <t>FS</t>
  </si>
  <si>
    <t>Volumen (cm3)</t>
  </si>
  <si>
    <t>Calcular volumen con FS</t>
  </si>
  <si>
    <t>Realizar todo el proceso de cálculo tolva contenedora</t>
  </si>
  <si>
    <t>Volumen prisma</t>
  </si>
  <si>
    <t>(a) Lado Mayor</t>
  </si>
  <si>
    <t>(b) Altura del cono</t>
  </si>
  <si>
    <t>© Altura del prisma</t>
  </si>
  <si>
    <t>(d) Apertura de salida</t>
  </si>
  <si>
    <t>Ecuación de volumen</t>
  </si>
  <si>
    <t>Minimizar la cantidad de material</t>
  </si>
  <si>
    <t>Mantener el ángulo deseado°</t>
  </si>
  <si>
    <t>Cálculo de tolva romana versión 2</t>
  </si>
  <si>
    <t>Esta parte de la hoja de calculo pretende es para hacer el diseño de la tolva con las modificaciones pertinentes.</t>
  </si>
  <si>
    <t>Tolva que recoge todos los puntos</t>
  </si>
  <si>
    <t>2. Debe alojar 4 celdas de carga</t>
  </si>
  <si>
    <t>3. Debe minizar la cantidad de material necesario.</t>
  </si>
  <si>
    <t>5. El actuador debe estar a 90°</t>
  </si>
  <si>
    <t>6. Debe ser simétrico.</t>
  </si>
  <si>
    <t>Espeficicaciones de diseño</t>
  </si>
  <si>
    <t>7. La apertura debe ser de 10 cm. Para entrar en un tubo de 5 in sanitario.</t>
  </si>
  <si>
    <t>Parámetros a determinar</t>
  </si>
  <si>
    <t>d (mm)</t>
  </si>
  <si>
    <t>b (cm)</t>
  </si>
  <si>
    <t>c (cm)</t>
  </si>
  <si>
    <t>a (cm)</t>
  </si>
  <si>
    <t>Largo de la boca de ingreso</t>
  </si>
  <si>
    <t>Largo de la boca de salida</t>
  </si>
  <si>
    <t>Altura de la parte recta</t>
  </si>
  <si>
    <t>Altura de la parte menor</t>
  </si>
  <si>
    <t>Parámetros de diseño</t>
  </si>
  <si>
    <t>Masa (g)</t>
  </si>
  <si>
    <t>Masa concentrado (g)</t>
  </si>
  <si>
    <t>Masa del concentrado a contener</t>
  </si>
  <si>
    <t>Masa adicional (g)</t>
  </si>
  <si>
    <t>Masa del adicional</t>
  </si>
  <si>
    <t>Menor Densidad del adicional según Evelio</t>
  </si>
  <si>
    <t>Menor Densidad del concentrado menos denso según los datos de DP</t>
  </si>
  <si>
    <t>Densidad adic. (g/cm3)</t>
  </si>
  <si>
    <t>Densidad conc. (g/cm3)</t>
  </si>
  <si>
    <t>Masa total permitida (g)</t>
  </si>
  <si>
    <t>Masa máxima que es capaz de soportar la tolva</t>
  </si>
  <si>
    <t>Paso 1</t>
  </si>
  <si>
    <t>Determinar el volumen máximo y la masa de cada uno de los alimentos guardando una proporción entre el adicional y el concentrado</t>
  </si>
  <si>
    <t>Relación (con./adic.)</t>
  </si>
  <si>
    <t>Entrada</t>
  </si>
  <si>
    <t>Tabla con resultados</t>
  </si>
  <si>
    <t>Conc.</t>
  </si>
  <si>
    <t>Adic.</t>
  </si>
  <si>
    <t>Densidad (g/cm3)</t>
  </si>
  <si>
    <t>Se aplicó SOLVER PARA DETERMINAR LA MASA MÁXIMA DE CADA ALIMENTO.</t>
  </si>
  <si>
    <t>Se fijó la masa total como ecuación y se fue variando la cantidad de concentrado</t>
  </si>
  <si>
    <t>el volumen final se tomó como citerio de diseño</t>
  </si>
  <si>
    <t>Paso 2</t>
  </si>
  <si>
    <t xml:space="preserve"> </t>
  </si>
  <si>
    <t>Determinar los parámetros de diseño.</t>
  </si>
  <si>
    <t>Determinar las ecuaciones de diseño</t>
  </si>
  <si>
    <t>d (cm)</t>
  </si>
  <si>
    <t>Angulo vertical (°)</t>
  </si>
  <si>
    <t>Paso 2.1</t>
  </si>
  <si>
    <t>Convertir el ángulo a radianes</t>
  </si>
  <si>
    <t>Angulo vertidal (rad)</t>
  </si>
  <si>
    <t>h (cm)</t>
  </si>
  <si>
    <t>Altura de la parte cónica de la tolva</t>
  </si>
  <si>
    <t>Area mayor (cm2)</t>
  </si>
  <si>
    <t>Area Menor (cm2)</t>
  </si>
  <si>
    <t>Volumen requerido (cm3)</t>
  </si>
  <si>
    <t>Minimización de material (ecuación objetivo) (cm2)</t>
  </si>
  <si>
    <t>Alimento por vaca (g/vaca)</t>
  </si>
  <si>
    <t>Vacas totales</t>
  </si>
  <si>
    <t>Vacas totales (vaca)</t>
  </si>
  <si>
    <t>4. El ángulo de reposo del material debe ser de 60° con las paredes</t>
  </si>
  <si>
    <t>1. La tolva tiene que sostener hasta 15 kg del alimento más ligero.</t>
  </si>
  <si>
    <t>8. El factor de seguridad es de 1,5</t>
  </si>
  <si>
    <t>Volumen de diseño</t>
  </si>
  <si>
    <t>Se eligió utilizar tolvas con forma circular en acero inoxidable</t>
  </si>
  <si>
    <t>Medido repecto a la vertical</t>
  </si>
  <si>
    <t>Realizar todo el proceso de cálculo tolva contenedora en este caso será una tolva cónica</t>
  </si>
  <si>
    <t>(a) Diámetro mayor</t>
  </si>
  <si>
    <t>Volumen cono</t>
  </si>
  <si>
    <t>Area total</t>
  </si>
  <si>
    <t>Area cónica</t>
  </si>
  <si>
    <t>Generatriz</t>
  </si>
  <si>
    <t>Esta es una nueva versión con  unos requerimientos nuevos para el concetrado</t>
  </si>
  <si>
    <t>Esta nueva versión se realizó con las nuevas especificaciones dadas</t>
  </si>
  <si>
    <t>F.S.</t>
  </si>
  <si>
    <t>Esto es 10 qq + 10%</t>
  </si>
  <si>
    <t>Se realizón una revisión de los requerimientos para la tesis de graduación. Se adjunta la foto de la pizarra en el cual se tomó el diseño de esta tolva</t>
  </si>
  <si>
    <t>Objetivo: Calcula espesor de pared para la tolva romana.</t>
  </si>
  <si>
    <t>Calculo de esfuerzos en la tolva asumir concentrado como material, despreciar el resto.</t>
  </si>
  <si>
    <t xml:space="preserve">Steve Mena Navarro </t>
  </si>
  <si>
    <t>Comentario: Se utilizó el método de Jannsen para cálculo de esfuero en Parte A y C, mientras que el código europeo para el esfuero en B</t>
  </si>
  <si>
    <t>Método Jannsen</t>
  </si>
  <si>
    <t>http://www.dietmar-schulze.de/spanne.html</t>
  </si>
  <si>
    <t>Norma Europea:</t>
  </si>
  <si>
    <t>http://fgg-web.fgg.uni-lj.si/~/pmoze/esdep/master/wg15c/l0200.htm</t>
  </si>
  <si>
    <t>Parte A:</t>
  </si>
  <si>
    <t>Constantes del sistema</t>
  </si>
  <si>
    <t>g</t>
  </si>
  <si>
    <t>Constante</t>
  </si>
  <si>
    <t>Valor</t>
  </si>
  <si>
    <t>Unidad</t>
  </si>
  <si>
    <t>densidad</t>
  </si>
  <si>
    <t>Se utilizó el promedio mayor de los datos de DT y MP, concentrado Lechera NPP</t>
  </si>
  <si>
    <t>Área</t>
  </si>
  <si>
    <t>Primero se diseñó por volumen y luego se verificó.</t>
  </si>
  <si>
    <t>Perímetro</t>
  </si>
  <si>
    <t xml:space="preserve">cm </t>
  </si>
  <si>
    <t>angulo fricción</t>
  </si>
  <si>
    <t>lambda</t>
  </si>
  <si>
    <t>http://citeseerx.ist.psu.edu/viewdoc/download?doi=10.1.1.1033.4612&amp;rep=rep1&amp;type=pdf</t>
  </si>
  <si>
    <t>Asumido</t>
  </si>
  <si>
    <t>z</t>
  </si>
  <si>
    <t>1 Calcular factores</t>
  </si>
  <si>
    <t>Calcular exponencial</t>
  </si>
  <si>
    <t>Calcular esfuerzo</t>
  </si>
  <si>
    <t>Mpa</t>
  </si>
  <si>
    <t>m2</t>
  </si>
  <si>
    <t>N/kg</t>
  </si>
  <si>
    <t>Parte b</t>
  </si>
  <si>
    <t>Cálculo de esfuerzo horizontal</t>
  </si>
  <si>
    <t>Calculo esfuerzo cortante</t>
  </si>
  <si>
    <t>Cb</t>
  </si>
  <si>
    <t>alfa</t>
  </si>
  <si>
    <t>pv0</t>
  </si>
  <si>
    <t>Equivale a 30°</t>
  </si>
  <si>
    <t>Calculo de presiones</t>
  </si>
  <si>
    <t>p1</t>
  </si>
  <si>
    <t>L</t>
  </si>
  <si>
    <t>p2</t>
  </si>
  <si>
    <t>p3</t>
  </si>
  <si>
    <t>Pperpendiular</t>
  </si>
  <si>
    <t>Cortante</t>
  </si>
  <si>
    <t>Cálculo de pandeo</t>
  </si>
  <si>
    <t>h</t>
  </si>
  <si>
    <t>a1</t>
  </si>
  <si>
    <t>a2</t>
  </si>
  <si>
    <t>Cálculo de b eq</t>
  </si>
  <si>
    <t>b eq</t>
  </si>
  <si>
    <t>Calculo de t</t>
  </si>
  <si>
    <t>k</t>
  </si>
  <si>
    <t>E</t>
  </si>
  <si>
    <t>Esfuerzo von Mises</t>
  </si>
  <si>
    <t>Espesor</t>
  </si>
  <si>
    <t>Esfuerzo de descarga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</si>
</sst>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4" fontId="0" fillId="0" borderId="0" xfId="0" applyNumberFormat="1"/>
    <xf numFmtId="0" fontId="0" fillId="2" borderId="0" xfId="0" applyFill="1"/>
    <xf numFmtId="15" fontId="0" fillId="0" borderId="0" xfId="0" applyNumberFormat="1"/>
    <xf numFmtId="0" fontId="4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4</xdr:row>
      <xdr:rowOff>0</xdr:rowOff>
    </xdr:from>
    <xdr:to>
      <xdr:col>47</xdr:col>
      <xdr:colOff>304800</xdr:colOff>
      <xdr:row>33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7975" y="76200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152400</xdr:rowOff>
    </xdr:from>
    <xdr:to>
      <xdr:col>8</xdr:col>
      <xdr:colOff>628650</xdr:colOff>
      <xdr:row>14</xdr:row>
      <xdr:rowOff>88529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8775" y="1295400"/>
          <a:ext cx="1285875" cy="1460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704850</xdr:colOff>
      <xdr:row>19</xdr:row>
      <xdr:rowOff>171450</xdr:rowOff>
    </xdr:from>
    <xdr:to>
      <xdr:col>20</xdr:col>
      <xdr:colOff>514350</xdr:colOff>
      <xdr:row>31</xdr:row>
      <xdr:rowOff>171450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8763000" y="3790950"/>
          <a:ext cx="8039100" cy="228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12</xdr:row>
      <xdr:rowOff>104775</xdr:rowOff>
    </xdr:from>
    <xdr:to>
      <xdr:col>24</xdr:col>
      <xdr:colOff>247650</xdr:colOff>
      <xdr:row>24</xdr:row>
      <xdr:rowOff>104775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977" b="9079"/>
        <a:stretch/>
      </xdr:blipFill>
      <xdr:spPr>
        <a:xfrm>
          <a:off x="10496550" y="2390775"/>
          <a:ext cx="8039100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opLeftCell="O4" zoomScale="90" zoomScaleNormal="90" workbookViewId="0">
      <selection activeCell="Q14" sqref="Q14"/>
    </sheetView>
  </sheetViews>
  <sheetFormatPr baseColWidth="10" defaultColWidth="9.140625" defaultRowHeight="15" x14ac:dyDescent="0.25"/>
  <cols>
    <col min="1" max="1" width="10.7109375" hidden="1" customWidth="1"/>
    <col min="2" max="7" width="0" hidden="1" customWidth="1"/>
    <col min="8" max="8" width="13.7109375" hidden="1" customWidth="1"/>
    <col min="9" max="14" width="0" hidden="1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166</v>
      </c>
    </row>
    <row r="5" spans="1:26" x14ac:dyDescent="0.25">
      <c r="O5" s="5">
        <v>43503</v>
      </c>
      <c r="P5" t="s">
        <v>170</v>
      </c>
    </row>
    <row r="7" spans="1:26" x14ac:dyDescent="0.25">
      <c r="A7" s="1" t="s">
        <v>58</v>
      </c>
      <c r="H7" s="1" t="s">
        <v>81</v>
      </c>
      <c r="O7" s="1" t="s">
        <v>58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681818.18181818177</v>
      </c>
      <c r="O9">
        <v>1</v>
      </c>
      <c r="P9" t="s">
        <v>71</v>
      </c>
      <c r="W9" s="1" t="s">
        <v>84</v>
      </c>
      <c r="X9">
        <f>P19/P18</f>
        <v>1150000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886363.63636363635</v>
      </c>
      <c r="O11">
        <v>3</v>
      </c>
      <c r="P11" t="s">
        <v>73</v>
      </c>
      <c r="W11" s="1" t="s">
        <v>84</v>
      </c>
      <c r="X11">
        <f>X9*P20</f>
        <v>1380000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127.69436939057958</v>
      </c>
      <c r="J15">
        <v>99.588045184413559</v>
      </c>
      <c r="K15">
        <v>17.978790520014051</v>
      </c>
      <c r="L15">
        <v>12.7</v>
      </c>
      <c r="O15" t="s">
        <v>75</v>
      </c>
      <c r="P15">
        <v>30</v>
      </c>
      <c r="W15">
        <v>148.12594604766292</v>
      </c>
      <c r="X15">
        <v>119.48201413451379</v>
      </c>
      <c r="Y15">
        <v>20.499638015148467</v>
      </c>
      <c r="Z15">
        <f>P17</f>
        <v>10.16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12.7</v>
      </c>
      <c r="C17" t="s">
        <v>3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10.16</v>
      </c>
      <c r="Q17" t="s">
        <v>3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0.44</v>
      </c>
      <c r="I18">
        <f>(I15*I15)*K15</f>
        <v>293159.49689194252</v>
      </c>
      <c r="J18">
        <f>(I15*I15)</f>
        <v>16305.851974057787</v>
      </c>
      <c r="K18">
        <f>PI()*(L15/2)^2</f>
        <v>126.67686977437442</v>
      </c>
      <c r="L18">
        <f>(J15/3)*(J18+K18+SQRT(J18*K18))</f>
        <v>593204.13947170554</v>
      </c>
      <c r="M18">
        <f>I18+L18</f>
        <v>886363.63636364811</v>
      </c>
      <c r="O18" t="s">
        <v>78</v>
      </c>
      <c r="P18">
        <v>0.44</v>
      </c>
      <c r="W18">
        <f>(W15*W15)*Y15</f>
        <v>449788.62337982439</v>
      </c>
      <c r="X18">
        <f>(W15*W15)</f>
        <v>21941.295892515147</v>
      </c>
      <c r="Y18">
        <f>PI()*(Z15/2)^2</f>
        <v>81.073196655599631</v>
      </c>
      <c r="Z18">
        <f>(X15/3)*(X18+Y18+SQRT(X18*Y18))</f>
        <v>930211.48203323979</v>
      </c>
      <c r="AA18">
        <f>W18+Z18</f>
        <v>1380000.1054130641</v>
      </c>
    </row>
    <row r="19" spans="1:27" x14ac:dyDescent="0.25">
      <c r="A19" t="s">
        <v>79</v>
      </c>
      <c r="B19">
        <f>B22*B21</f>
        <v>300000</v>
      </c>
      <c r="I19" t="s">
        <v>92</v>
      </c>
      <c r="O19" t="s">
        <v>79</v>
      </c>
      <c r="P19">
        <v>506000</v>
      </c>
      <c r="Q19" t="s">
        <v>169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-1.1757947504520416E-8</v>
      </c>
      <c r="O20" t="s">
        <v>83</v>
      </c>
      <c r="P20">
        <v>1.2</v>
      </c>
      <c r="W20" t="s">
        <v>54</v>
      </c>
      <c r="X20">
        <f>X11-AA18</f>
        <v>-0.10541306412778795</v>
      </c>
    </row>
    <row r="21" spans="1:27" x14ac:dyDescent="0.25">
      <c r="A21" t="s">
        <v>151</v>
      </c>
      <c r="B21">
        <v>6000</v>
      </c>
      <c r="O21" t="s">
        <v>151</v>
      </c>
      <c r="P21">
        <v>6000</v>
      </c>
    </row>
    <row r="22" spans="1:27" x14ac:dyDescent="0.25">
      <c r="A22" t="s">
        <v>153</v>
      </c>
      <c r="B22">
        <v>50</v>
      </c>
      <c r="I22" t="s">
        <v>94</v>
      </c>
      <c r="O22" t="s">
        <v>153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0</v>
      </c>
      <c r="W23" t="s">
        <v>54</v>
      </c>
      <c r="X23">
        <f>2*X15*TAN(P16)+Z15-W15</f>
        <v>9.7486463346285746E-11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41472.285219549667</v>
      </c>
      <c r="W26" t="s">
        <v>54</v>
      </c>
      <c r="X26">
        <f>4*W15*Y15+4/2*(W15+Z15)*X15/COS(P16)</f>
        <v>55822.253683575153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J20" sqref="J20"/>
    </sheetView>
  </sheetViews>
  <sheetFormatPr baseColWidth="10" defaultColWidth="9.140625" defaultRowHeight="15" x14ac:dyDescent="0.25"/>
  <cols>
    <col min="1" max="1" width="12" customWidth="1"/>
    <col min="2" max="2" width="13.42578125" customWidth="1"/>
    <col min="3" max="3" width="12.42578125" customWidth="1"/>
    <col min="4" max="4" width="10.7109375" customWidth="1"/>
    <col min="5" max="5" width="11.42578125" customWidth="1"/>
    <col min="6" max="6" width="9.42578125" customWidth="1"/>
    <col min="7" max="7" width="11.42578125" customWidth="1"/>
    <col min="8" max="8" width="11.5703125" customWidth="1"/>
    <col min="9" max="9" width="11" customWidth="1"/>
    <col min="10" max="10" width="6.140625" customWidth="1"/>
    <col min="11" max="11" width="8" customWidth="1"/>
    <col min="12" max="12" width="9.85546875" customWidth="1"/>
    <col min="13" max="13" width="10" customWidth="1"/>
    <col min="14" max="14" width="17.42578125" customWidth="1"/>
    <col min="15" max="15" width="10.7109375" bestFit="1" customWidth="1"/>
  </cols>
  <sheetData>
    <row r="1" spans="1:26" x14ac:dyDescent="0.25">
      <c r="A1" t="s">
        <v>68</v>
      </c>
      <c r="O1" t="s">
        <v>68</v>
      </c>
    </row>
    <row r="2" spans="1:26" x14ac:dyDescent="0.25">
      <c r="A2" t="s">
        <v>80</v>
      </c>
      <c r="O2" t="s">
        <v>80</v>
      </c>
    </row>
    <row r="3" spans="1:26" x14ac:dyDescent="0.25">
      <c r="A3" t="s">
        <v>69</v>
      </c>
      <c r="O3" t="s">
        <v>69</v>
      </c>
    </row>
    <row r="4" spans="1:26" x14ac:dyDescent="0.25">
      <c r="A4" s="5">
        <v>43388</v>
      </c>
      <c r="O4" s="5">
        <v>43433</v>
      </c>
      <c r="P4" t="s">
        <v>167</v>
      </c>
    </row>
    <row r="7" spans="1:26" x14ac:dyDescent="0.25">
      <c r="A7" s="1" t="s">
        <v>60</v>
      </c>
      <c r="H7" s="1" t="s">
        <v>81</v>
      </c>
      <c r="O7" s="1" t="s">
        <v>60</v>
      </c>
      <c r="V7" s="1" t="s">
        <v>81</v>
      </c>
    </row>
    <row r="8" spans="1:26" x14ac:dyDescent="0.25">
      <c r="A8" t="s">
        <v>70</v>
      </c>
      <c r="H8">
        <v>1</v>
      </c>
      <c r="I8" t="s">
        <v>82</v>
      </c>
      <c r="O8" t="s">
        <v>70</v>
      </c>
      <c r="V8">
        <v>1</v>
      </c>
      <c r="W8" t="s">
        <v>82</v>
      </c>
    </row>
    <row r="9" spans="1:26" x14ac:dyDescent="0.25">
      <c r="A9">
        <v>1</v>
      </c>
      <c r="B9" t="s">
        <v>71</v>
      </c>
      <c r="I9" s="1" t="s">
        <v>84</v>
      </c>
      <c r="J9">
        <f>B19/B18</f>
        <v>338983.05084745766</v>
      </c>
      <c r="O9">
        <v>1</v>
      </c>
      <c r="P9" t="s">
        <v>71</v>
      </c>
      <c r="W9" s="1" t="s">
        <v>84</v>
      </c>
      <c r="X9">
        <f>P19/P18</f>
        <v>467796.61016949156</v>
      </c>
    </row>
    <row r="10" spans="1:26" x14ac:dyDescent="0.25">
      <c r="A10">
        <v>2</v>
      </c>
      <c r="B10" t="s">
        <v>72</v>
      </c>
      <c r="H10">
        <v>2</v>
      </c>
      <c r="I10" t="s">
        <v>85</v>
      </c>
      <c r="O10">
        <v>2</v>
      </c>
      <c r="P10" t="s">
        <v>72</v>
      </c>
      <c r="V10">
        <v>2</v>
      </c>
      <c r="W10" t="s">
        <v>85</v>
      </c>
    </row>
    <row r="11" spans="1:26" x14ac:dyDescent="0.25">
      <c r="A11">
        <v>3</v>
      </c>
      <c r="B11" t="s">
        <v>73</v>
      </c>
      <c r="I11" s="1" t="s">
        <v>84</v>
      </c>
      <c r="J11">
        <f>J9*B20</f>
        <v>440677.96610169497</v>
      </c>
      <c r="O11">
        <v>3</v>
      </c>
      <c r="P11" t="s">
        <v>73</v>
      </c>
      <c r="W11" s="1" t="s">
        <v>84</v>
      </c>
      <c r="X11">
        <f>X9*P20</f>
        <v>561355.93220338982</v>
      </c>
    </row>
    <row r="12" spans="1:26" x14ac:dyDescent="0.25">
      <c r="H12">
        <v>3</v>
      </c>
      <c r="I12" t="s">
        <v>86</v>
      </c>
      <c r="V12">
        <v>3</v>
      </c>
      <c r="W12" t="s">
        <v>86</v>
      </c>
    </row>
    <row r="13" spans="1:26" x14ac:dyDescent="0.25">
      <c r="I13" t="s">
        <v>45</v>
      </c>
      <c r="W13" t="s">
        <v>45</v>
      </c>
    </row>
    <row r="14" spans="1:26" x14ac:dyDescent="0.25">
      <c r="A14" s="1" t="s">
        <v>74</v>
      </c>
      <c r="I14" t="s">
        <v>88</v>
      </c>
      <c r="J14" t="s">
        <v>89</v>
      </c>
      <c r="K14" t="s">
        <v>90</v>
      </c>
      <c r="L14" t="s">
        <v>91</v>
      </c>
      <c r="O14" s="1" t="s">
        <v>74</v>
      </c>
      <c r="W14" t="s">
        <v>88</v>
      </c>
      <c r="X14" t="s">
        <v>89</v>
      </c>
      <c r="Y14" t="s">
        <v>90</v>
      </c>
      <c r="Z14" t="s">
        <v>91</v>
      </c>
    </row>
    <row r="15" spans="1:26" x14ac:dyDescent="0.25">
      <c r="A15" t="s">
        <v>75</v>
      </c>
      <c r="B15">
        <v>30</v>
      </c>
      <c r="I15">
        <v>101.18738727881232</v>
      </c>
      <c r="J15">
        <v>81.031734349189861</v>
      </c>
      <c r="K15">
        <v>14.106084565208093</v>
      </c>
      <c r="L15">
        <f>B17</f>
        <v>7.62</v>
      </c>
      <c r="O15" t="s">
        <v>75</v>
      </c>
      <c r="P15">
        <v>30</v>
      </c>
      <c r="W15">
        <v>125.13049797382367</v>
      </c>
      <c r="X15">
        <v>101.76707645669109</v>
      </c>
      <c r="Y15">
        <v>0</v>
      </c>
      <c r="Z15">
        <f>P17</f>
        <v>7.62</v>
      </c>
    </row>
    <row r="16" spans="1:26" x14ac:dyDescent="0.25">
      <c r="A16" t="s">
        <v>76</v>
      </c>
      <c r="B16">
        <f>(PI()/180)*B15</f>
        <v>0.52359877559829882</v>
      </c>
      <c r="I16" t="s">
        <v>41</v>
      </c>
      <c r="O16" t="s">
        <v>76</v>
      </c>
      <c r="P16">
        <f>(PI()/180)*P15</f>
        <v>0.52359877559829882</v>
      </c>
      <c r="W16" t="s">
        <v>41</v>
      </c>
    </row>
    <row r="17" spans="1:27" x14ac:dyDescent="0.25">
      <c r="A17" t="s">
        <v>77</v>
      </c>
      <c r="B17">
        <v>7.62</v>
      </c>
      <c r="I17" t="s">
        <v>87</v>
      </c>
      <c r="J17" t="s">
        <v>51</v>
      </c>
      <c r="K17" t="s">
        <v>52</v>
      </c>
      <c r="L17" t="s">
        <v>53</v>
      </c>
      <c r="M17" t="s">
        <v>10</v>
      </c>
      <c r="O17" t="s">
        <v>77</v>
      </c>
      <c r="P17">
        <v>7.62</v>
      </c>
      <c r="W17" t="s">
        <v>87</v>
      </c>
      <c r="X17" t="s">
        <v>51</v>
      </c>
      <c r="Y17" t="s">
        <v>52</v>
      </c>
      <c r="Z17" t="s">
        <v>53</v>
      </c>
      <c r="AA17" t="s">
        <v>10</v>
      </c>
    </row>
    <row r="18" spans="1:27" x14ac:dyDescent="0.25">
      <c r="A18" t="s">
        <v>78</v>
      </c>
      <c r="B18">
        <v>0.29499999999999998</v>
      </c>
      <c r="I18">
        <f>(I15*I15)*K15</f>
        <v>144430.61073250891</v>
      </c>
      <c r="J18">
        <f>(I15*I15)</f>
        <v>10238.88734431235</v>
      </c>
      <c r="K18">
        <f>PI()*(L15/2)^2</f>
        <v>45.603673118774793</v>
      </c>
      <c r="L18">
        <f>(J15/3)*(J18+K18+SQRT(J18*K18))</f>
        <v>296247.00813880848</v>
      </c>
      <c r="M18">
        <f>I18+L18</f>
        <v>440677.61887131736</v>
      </c>
      <c r="O18" t="s">
        <v>78</v>
      </c>
      <c r="P18">
        <v>0.29499999999999998</v>
      </c>
      <c r="W18">
        <f>(W15*W15)*Y15</f>
        <v>0</v>
      </c>
      <c r="X18">
        <f>(W15*W15)</f>
        <v>15657.641523177088</v>
      </c>
      <c r="Y18">
        <f>PI()*(Z15/2)^2</f>
        <v>45.603673118774793</v>
      </c>
      <c r="Z18">
        <f>(X15/3)*(X18+Y18+SQRT(X18*Y18))</f>
        <v>561355.93220338796</v>
      </c>
      <c r="AA18">
        <f>W18+Z18</f>
        <v>561355.93220338796</v>
      </c>
    </row>
    <row r="19" spans="1:27" x14ac:dyDescent="0.25">
      <c r="A19" t="s">
        <v>79</v>
      </c>
      <c r="B19">
        <f>B21*B22</f>
        <v>100000</v>
      </c>
      <c r="I19" t="s">
        <v>92</v>
      </c>
      <c r="O19" t="s">
        <v>79</v>
      </c>
      <c r="P19">
        <v>138000</v>
      </c>
      <c r="W19" t="s">
        <v>92</v>
      </c>
    </row>
    <row r="20" spans="1:27" x14ac:dyDescent="0.25">
      <c r="A20" t="s">
        <v>83</v>
      </c>
      <c r="B20">
        <v>1.3</v>
      </c>
      <c r="I20" t="s">
        <v>54</v>
      </c>
      <c r="J20">
        <f>J11-M18</f>
        <v>0.34723037760704756</v>
      </c>
      <c r="O20" t="s">
        <v>83</v>
      </c>
      <c r="P20">
        <v>1.2</v>
      </c>
      <c r="W20" t="s">
        <v>54</v>
      </c>
      <c r="X20">
        <f>X11-AA18</f>
        <v>1.862645149230957E-9</v>
      </c>
    </row>
    <row r="21" spans="1:27" x14ac:dyDescent="0.25">
      <c r="A21" t="s">
        <v>151</v>
      </c>
      <c r="B21">
        <v>2000</v>
      </c>
      <c r="O21" t="s">
        <v>151</v>
      </c>
      <c r="P21">
        <v>2000</v>
      </c>
    </row>
    <row r="22" spans="1:27" x14ac:dyDescent="0.25">
      <c r="A22" t="s">
        <v>152</v>
      </c>
      <c r="B22">
        <v>50</v>
      </c>
      <c r="I22" t="s">
        <v>94</v>
      </c>
      <c r="O22" t="s">
        <v>152</v>
      </c>
      <c r="P22">
        <v>50</v>
      </c>
      <c r="W22" t="s">
        <v>94</v>
      </c>
    </row>
    <row r="23" spans="1:27" x14ac:dyDescent="0.25">
      <c r="I23" t="s">
        <v>54</v>
      </c>
      <c r="J23">
        <f>2*J15*TAN(B16)+L15-I15</f>
        <v>1.6910917111090384E-12</v>
      </c>
      <c r="W23" t="s">
        <v>54</v>
      </c>
      <c r="X23">
        <f>2*X15*TAN(P16)+Z15-W15</f>
        <v>0</v>
      </c>
    </row>
    <row r="25" spans="1:27" x14ac:dyDescent="0.25">
      <c r="I25" t="s">
        <v>93</v>
      </c>
      <c r="W25" t="s">
        <v>93</v>
      </c>
    </row>
    <row r="26" spans="1:27" x14ac:dyDescent="0.25">
      <c r="I26" t="s">
        <v>54</v>
      </c>
      <c r="J26">
        <f>4*I15*K15+4/2*(I15+L15)*J15/COS(B16)</f>
        <v>26071.077256174623</v>
      </c>
      <c r="W26" t="s">
        <v>54</v>
      </c>
      <c r="X26">
        <f>4*W15*Y15+4/2*(W15+Z15)*X15/COS(P16)</f>
        <v>31199.154246354166</v>
      </c>
    </row>
    <row r="32" spans="1:27" ht="19.5" customHeight="1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baseColWidth="10" defaultRowHeight="15" x14ac:dyDescent="0.25"/>
  <sheetData>
    <row r="1" spans="1:6" x14ac:dyDescent="0.25">
      <c r="A1" s="1" t="s">
        <v>14</v>
      </c>
      <c r="B1" t="s">
        <v>15</v>
      </c>
      <c r="D1" s="1" t="s">
        <v>26</v>
      </c>
    </row>
    <row r="2" spans="1:6" x14ac:dyDescent="0.25">
      <c r="A2" s="1" t="s">
        <v>16</v>
      </c>
      <c r="D2" s="1" t="s">
        <v>28</v>
      </c>
      <c r="E2" s="1" t="s">
        <v>29</v>
      </c>
      <c r="F2" s="1" t="s">
        <v>30</v>
      </c>
    </row>
    <row r="3" spans="1:6" x14ac:dyDescent="0.25">
      <c r="A3">
        <v>533</v>
      </c>
      <c r="B3" t="s">
        <v>17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18</v>
      </c>
    </row>
    <row r="5" spans="1:6" x14ac:dyDescent="0.25">
      <c r="A5">
        <v>0.25</v>
      </c>
      <c r="B5" t="s">
        <v>25</v>
      </c>
      <c r="D5" s="1" t="s">
        <v>31</v>
      </c>
    </row>
    <row r="6" spans="1:6" x14ac:dyDescent="0.25">
      <c r="A6" s="1" t="s">
        <v>19</v>
      </c>
      <c r="D6">
        <f>E3*F3</f>
        <v>751.8458984235275</v>
      </c>
      <c r="E6" t="s">
        <v>35</v>
      </c>
    </row>
    <row r="7" spans="1:6" x14ac:dyDescent="0.25">
      <c r="A7">
        <v>9.7200000000000006</v>
      </c>
      <c r="B7" t="s">
        <v>20</v>
      </c>
      <c r="D7" s="1" t="s">
        <v>32</v>
      </c>
    </row>
    <row r="8" spans="1:6" x14ac:dyDescent="0.25">
      <c r="A8" s="1" t="s">
        <v>21</v>
      </c>
      <c r="D8">
        <f>D6*A15^2</f>
        <v>7.8588166774970825</v>
      </c>
      <c r="E8" t="s">
        <v>34</v>
      </c>
    </row>
    <row r="9" spans="1:6" x14ac:dyDescent="0.25">
      <c r="A9">
        <f>'Cálculo contenedor Concentrado'!F34/100</f>
        <v>0.16460386847464101</v>
      </c>
      <c r="B9" t="s">
        <v>22</v>
      </c>
      <c r="D9">
        <f>D8/9.81</f>
        <v>0.80110261748186362</v>
      </c>
      <c r="E9" t="s">
        <v>36</v>
      </c>
    </row>
    <row r="10" spans="1:6" x14ac:dyDescent="0.25">
      <c r="A10" s="1" t="s">
        <v>23</v>
      </c>
      <c r="C10" s="1" t="s">
        <v>27</v>
      </c>
    </row>
    <row r="11" spans="1:6" x14ac:dyDescent="0.25">
      <c r="A11">
        <f>('Cálculo contenedor Concentrado'!F41+2*'Cálculo contenedor Concentrado'!F34*TAN('Cálculo contenedor Concentrado'!F39))/100</f>
        <v>0.25575051648735836</v>
      </c>
      <c r="B11" t="s">
        <v>22</v>
      </c>
      <c r="C11">
        <f>A11</f>
        <v>0.25575051648735836</v>
      </c>
    </row>
    <row r="12" spans="1:6" x14ac:dyDescent="0.25">
      <c r="A12" t="s">
        <v>24</v>
      </c>
    </row>
    <row r="13" spans="1:6" x14ac:dyDescent="0.25">
      <c r="A13">
        <v>0.4</v>
      </c>
      <c r="B13" t="s">
        <v>25</v>
      </c>
    </row>
    <row r="14" spans="1:6" x14ac:dyDescent="0.25">
      <c r="A14" s="1" t="s">
        <v>33</v>
      </c>
    </row>
    <row r="15" spans="1:6" x14ac:dyDescent="0.25">
      <c r="A15">
        <f>'Cálculo contenedor Concentrado'!F41/100</f>
        <v>0.10223842762403183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opLeftCell="O5" workbookViewId="0">
      <selection activeCell="R9" sqref="R9"/>
    </sheetView>
  </sheetViews>
  <sheetFormatPr baseColWidth="10" defaultRowHeight="15" x14ac:dyDescent="0.25"/>
  <cols>
    <col min="14" max="14" width="16.28515625" customWidth="1"/>
    <col min="15" max="15" width="15.42578125" customWidth="1"/>
    <col min="19" max="19" width="12" bestFit="1" customWidth="1"/>
    <col min="20" max="20" width="13.85546875" customWidth="1"/>
  </cols>
  <sheetData>
    <row r="1" spans="1:22" x14ac:dyDescent="0.25">
      <c r="A1" t="s">
        <v>38</v>
      </c>
      <c r="N1" s="1" t="s">
        <v>95</v>
      </c>
    </row>
    <row r="2" spans="1:22" x14ac:dyDescent="0.25">
      <c r="A2" t="s">
        <v>39</v>
      </c>
      <c r="N2" t="s">
        <v>96</v>
      </c>
    </row>
    <row r="3" spans="1:22" x14ac:dyDescent="0.25">
      <c r="A3" t="s">
        <v>40</v>
      </c>
      <c r="N3" s="5">
        <v>43391</v>
      </c>
    </row>
    <row r="5" spans="1:22" x14ac:dyDescent="0.25">
      <c r="A5" t="s">
        <v>63</v>
      </c>
      <c r="G5" t="s">
        <v>64</v>
      </c>
      <c r="N5" t="s">
        <v>97</v>
      </c>
    </row>
    <row r="6" spans="1:22" x14ac:dyDescent="0.25">
      <c r="A6" s="1" t="s">
        <v>1</v>
      </c>
      <c r="C6" s="1" t="s">
        <v>44</v>
      </c>
      <c r="E6" t="s">
        <v>10</v>
      </c>
      <c r="G6" t="s">
        <v>1</v>
      </c>
      <c r="I6" t="s">
        <v>44</v>
      </c>
      <c r="K6" t="s">
        <v>10</v>
      </c>
      <c r="N6" s="1" t="s">
        <v>102</v>
      </c>
      <c r="P6" t="s">
        <v>137</v>
      </c>
      <c r="Q6" s="1" t="s">
        <v>104</v>
      </c>
      <c r="T6" s="1" t="s">
        <v>113</v>
      </c>
    </row>
    <row r="7" spans="1:22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  <c r="N7" t="s">
        <v>155</v>
      </c>
      <c r="P7" t="s">
        <v>137</v>
      </c>
      <c r="Q7" t="s">
        <v>108</v>
      </c>
      <c r="R7" t="s">
        <v>109</v>
      </c>
      <c r="S7" t="s">
        <v>137</v>
      </c>
      <c r="T7" t="s">
        <v>115</v>
      </c>
      <c r="U7" t="s">
        <v>116</v>
      </c>
      <c r="V7" t="s">
        <v>137</v>
      </c>
    </row>
    <row r="8" spans="1:22" x14ac:dyDescent="0.25">
      <c r="N8" t="s">
        <v>98</v>
      </c>
      <c r="P8" t="s">
        <v>137</v>
      </c>
      <c r="Q8" t="s">
        <v>106</v>
      </c>
      <c r="R8" t="s">
        <v>110</v>
      </c>
      <c r="S8" t="s">
        <v>137</v>
      </c>
      <c r="T8" t="s">
        <v>117</v>
      </c>
      <c r="U8" t="s">
        <v>118</v>
      </c>
      <c r="V8" t="s">
        <v>137</v>
      </c>
    </row>
    <row r="9" spans="1:22" x14ac:dyDescent="0.25">
      <c r="A9" t="s">
        <v>45</v>
      </c>
      <c r="G9" t="s">
        <v>45</v>
      </c>
      <c r="N9" t="s">
        <v>99</v>
      </c>
      <c r="P9" t="s">
        <v>137</v>
      </c>
      <c r="Q9" t="s">
        <v>107</v>
      </c>
      <c r="R9" t="s">
        <v>111</v>
      </c>
      <c r="S9" t="s">
        <v>137</v>
      </c>
      <c r="T9" t="s">
        <v>122</v>
      </c>
      <c r="U9" t="s">
        <v>120</v>
      </c>
      <c r="V9" t="s">
        <v>137</v>
      </c>
    </row>
    <row r="10" spans="1:22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N10" t="s">
        <v>154</v>
      </c>
      <c r="P10" t="s">
        <v>137</v>
      </c>
      <c r="Q10" t="s">
        <v>105</v>
      </c>
      <c r="R10" t="s">
        <v>112</v>
      </c>
      <c r="S10" t="s">
        <v>137</v>
      </c>
      <c r="T10" t="s">
        <v>121</v>
      </c>
      <c r="U10" t="s">
        <v>119</v>
      </c>
      <c r="V10" t="s">
        <v>137</v>
      </c>
    </row>
    <row r="11" spans="1:22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  <c r="N11" t="s">
        <v>100</v>
      </c>
      <c r="P11" t="s">
        <v>137</v>
      </c>
      <c r="S11" t="s">
        <v>137</v>
      </c>
      <c r="T11" t="s">
        <v>123</v>
      </c>
      <c r="U11" t="s">
        <v>124</v>
      </c>
      <c r="V11" t="s">
        <v>137</v>
      </c>
    </row>
    <row r="12" spans="1:22" x14ac:dyDescent="0.25">
      <c r="A12" s="1" t="s">
        <v>41</v>
      </c>
      <c r="G12" s="1" t="s">
        <v>41</v>
      </c>
      <c r="N12" t="s">
        <v>101</v>
      </c>
      <c r="Q12" t="s">
        <v>145</v>
      </c>
      <c r="R12" t="s">
        <v>146</v>
      </c>
      <c r="S12" t="s">
        <v>137</v>
      </c>
      <c r="T12" t="s">
        <v>141</v>
      </c>
      <c r="V12" t="s">
        <v>137</v>
      </c>
    </row>
    <row r="13" spans="1:22" x14ac:dyDescent="0.25">
      <c r="A13" t="s">
        <v>50</v>
      </c>
      <c r="B13" t="s">
        <v>51</v>
      </c>
      <c r="C13" t="s">
        <v>52</v>
      </c>
      <c r="D13" t="s">
        <v>53</v>
      </c>
      <c r="G13" t="s">
        <v>50</v>
      </c>
      <c r="N13" t="s">
        <v>103</v>
      </c>
      <c r="P13" t="s">
        <v>137</v>
      </c>
      <c r="Q13" t="s">
        <v>137</v>
      </c>
      <c r="T13" t="s">
        <v>137</v>
      </c>
    </row>
    <row r="14" spans="1:22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  <c r="N14" t="s">
        <v>156</v>
      </c>
    </row>
    <row r="15" spans="1:22" x14ac:dyDescent="0.25">
      <c r="A15" t="s">
        <v>54</v>
      </c>
      <c r="B15">
        <f>E7-D14-A14</f>
        <v>5.1152937885490246E-8</v>
      </c>
      <c r="G15" t="s">
        <v>54</v>
      </c>
      <c r="H15">
        <f>K7-J14-G14</f>
        <v>2.1905525799866155E-2</v>
      </c>
      <c r="N15" s="1" t="s">
        <v>81</v>
      </c>
    </row>
    <row r="16" spans="1:22" x14ac:dyDescent="0.25">
      <c r="N16" s="1" t="s">
        <v>125</v>
      </c>
      <c r="S16" s="1" t="s">
        <v>136</v>
      </c>
    </row>
    <row r="17" spans="1:26" x14ac:dyDescent="0.25">
      <c r="A17" s="1" t="s">
        <v>42</v>
      </c>
      <c r="G17" s="1" t="s">
        <v>42</v>
      </c>
      <c r="N17" t="s">
        <v>126</v>
      </c>
      <c r="P17" t="s">
        <v>137</v>
      </c>
      <c r="R17" t="s">
        <v>137</v>
      </c>
      <c r="S17" t="s">
        <v>138</v>
      </c>
      <c r="U17" t="s">
        <v>137</v>
      </c>
    </row>
    <row r="18" spans="1:26" x14ac:dyDescent="0.25">
      <c r="A18" t="s">
        <v>54</v>
      </c>
      <c r="B18">
        <f>2*B11*TAN(35*PI()/180)+C11-A11</f>
        <v>0</v>
      </c>
      <c r="G18" t="s">
        <v>54</v>
      </c>
      <c r="H18">
        <f>1.62*G11-H11</f>
        <v>3.8031799931559362E-12</v>
      </c>
      <c r="N18" t="s">
        <v>133</v>
      </c>
      <c r="P18" t="s">
        <v>137</v>
      </c>
      <c r="R18" t="s">
        <v>137</v>
      </c>
      <c r="S18" t="s">
        <v>139</v>
      </c>
      <c r="U18" t="s">
        <v>137</v>
      </c>
    </row>
    <row r="19" spans="1:26" x14ac:dyDescent="0.25">
      <c r="N19" t="s">
        <v>134</v>
      </c>
      <c r="P19" t="s">
        <v>137</v>
      </c>
      <c r="R19" t="s">
        <v>137</v>
      </c>
      <c r="S19" t="s">
        <v>142</v>
      </c>
      <c r="U19" t="s">
        <v>137</v>
      </c>
    </row>
    <row r="20" spans="1:26" x14ac:dyDescent="0.25">
      <c r="A20" s="1" t="s">
        <v>43</v>
      </c>
      <c r="N20" t="s">
        <v>135</v>
      </c>
      <c r="P20" t="s">
        <v>137</v>
      </c>
      <c r="S20" t="s">
        <v>143</v>
      </c>
      <c r="U20" t="s">
        <v>137</v>
      </c>
    </row>
    <row r="21" spans="1:26" x14ac:dyDescent="0.25">
      <c r="A21" t="s">
        <v>54</v>
      </c>
      <c r="B21">
        <f>2*D11-B11</f>
        <v>0</v>
      </c>
      <c r="S21" s="1" t="s">
        <v>141</v>
      </c>
      <c r="T21">
        <v>30</v>
      </c>
    </row>
    <row r="22" spans="1:26" x14ac:dyDescent="0.25">
      <c r="N22" s="1" t="s">
        <v>128</v>
      </c>
      <c r="S22" t="s">
        <v>144</v>
      </c>
      <c r="T22">
        <f>30*PI()/180</f>
        <v>0.52359877559829882</v>
      </c>
    </row>
    <row r="23" spans="1:26" x14ac:dyDescent="0.25">
      <c r="N23" t="s">
        <v>127</v>
      </c>
      <c r="O23">
        <f>6000/2000</f>
        <v>3</v>
      </c>
    </row>
    <row r="24" spans="1:26" x14ac:dyDescent="0.25">
      <c r="A24" t="s">
        <v>65</v>
      </c>
      <c r="S24" t="s">
        <v>74</v>
      </c>
    </row>
    <row r="25" spans="1:26" x14ac:dyDescent="0.25">
      <c r="A25" t="s">
        <v>1</v>
      </c>
      <c r="C25" t="s">
        <v>44</v>
      </c>
      <c r="E25" t="s">
        <v>10</v>
      </c>
      <c r="N25" t="s">
        <v>129</v>
      </c>
      <c r="S25" t="s">
        <v>108</v>
      </c>
      <c r="T25" t="s">
        <v>106</v>
      </c>
      <c r="U25" t="s">
        <v>107</v>
      </c>
      <c r="V25" t="s">
        <v>140</v>
      </c>
      <c r="W25" t="s">
        <v>145</v>
      </c>
      <c r="Y25" t="s">
        <v>147</v>
      </c>
      <c r="Z25" t="s">
        <v>148</v>
      </c>
    </row>
    <row r="26" spans="1:26" x14ac:dyDescent="0.25">
      <c r="A26">
        <v>28.16</v>
      </c>
      <c r="B26" t="s">
        <v>2</v>
      </c>
      <c r="C26">
        <v>1.3</v>
      </c>
      <c r="E26">
        <f>A26*C26</f>
        <v>36.608000000000004</v>
      </c>
      <c r="O26" t="s">
        <v>114</v>
      </c>
      <c r="P26" t="s">
        <v>132</v>
      </c>
      <c r="Q26" t="s">
        <v>84</v>
      </c>
      <c r="S26">
        <v>58.6</v>
      </c>
      <c r="T26">
        <v>10</v>
      </c>
      <c r="U26">
        <v>7.8718644343080637</v>
      </c>
      <c r="V26">
        <v>5</v>
      </c>
      <c r="W26">
        <f>(S26-T26)/(2*TAN(T22))</f>
        <v>42.088834623923724</v>
      </c>
      <c r="Y26">
        <f>S26*S26</f>
        <v>3433.96</v>
      </c>
      <c r="Z26">
        <f>T26*T26</f>
        <v>100</v>
      </c>
    </row>
    <row r="27" spans="1:26" x14ac:dyDescent="0.25">
      <c r="N27" t="s">
        <v>130</v>
      </c>
      <c r="O27">
        <v>11250.005999999999</v>
      </c>
      <c r="P27">
        <v>0.44022</v>
      </c>
      <c r="Q27">
        <f>O27/P27</f>
        <v>25555.417745672617</v>
      </c>
    </row>
    <row r="28" spans="1:26" x14ac:dyDescent="0.25">
      <c r="A28" t="s">
        <v>45</v>
      </c>
      <c r="N28" t="s">
        <v>131</v>
      </c>
      <c r="O28">
        <f>O27/O23</f>
        <v>3750.002</v>
      </c>
      <c r="P28">
        <v>0.29499999999999998</v>
      </c>
      <c r="Q28">
        <f>O28/P28</f>
        <v>12711.871186440678</v>
      </c>
      <c r="S28" s="1" t="s">
        <v>150</v>
      </c>
    </row>
    <row r="29" spans="1:26" x14ac:dyDescent="0.25">
      <c r="A29" t="s">
        <v>46</v>
      </c>
      <c r="B29" t="s">
        <v>47</v>
      </c>
      <c r="N29" t="s">
        <v>31</v>
      </c>
      <c r="O29">
        <f>SUM(O27:O28)</f>
        <v>15000.008</v>
      </c>
      <c r="P29">
        <f>(P27*O23+P28)/4</f>
        <v>0.40391499999999997</v>
      </c>
      <c r="Q29">
        <f>SUM(Q27:Q28)</f>
        <v>38267.288932113297</v>
      </c>
      <c r="S29">
        <f>4*(T26*V26)+(4/2)*(S26+T26)*(W26/COS(T22))+4*S26*U26</f>
        <v>8713.0850234018108</v>
      </c>
    </row>
    <row r="30" spans="1:26" x14ac:dyDescent="0.25">
      <c r="A30">
        <v>2.8271785049016125</v>
      </c>
      <c r="B30">
        <v>4.5800291779406122</v>
      </c>
      <c r="N30" t="s">
        <v>157</v>
      </c>
      <c r="O30">
        <f>1.5*O29</f>
        <v>22500.011999999999</v>
      </c>
      <c r="Q30">
        <f>1.5*Q29</f>
        <v>57400.933398169946</v>
      </c>
    </row>
    <row r="31" spans="1:26" x14ac:dyDescent="0.25">
      <c r="A31" t="s">
        <v>41</v>
      </c>
      <c r="N31" t="s">
        <v>168</v>
      </c>
      <c r="O31">
        <v>1.5</v>
      </c>
      <c r="S31" t="s">
        <v>149</v>
      </c>
    </row>
    <row r="32" spans="1:26" x14ac:dyDescent="0.25">
      <c r="A32" t="s">
        <v>50</v>
      </c>
      <c r="S32">
        <f>Q30*O31-(Y26*U26+(Z26*V26)+(W26/3*(Y26+Z26+SQRT(Y26*Z26))))</f>
        <v>768.29413869147538</v>
      </c>
    </row>
    <row r="33" spans="1:14" x14ac:dyDescent="0.25">
      <c r="A33">
        <f>A30*A30*B30</f>
        <v>36.607890624964938</v>
      </c>
    </row>
    <row r="34" spans="1:14" x14ac:dyDescent="0.25">
      <c r="A34" t="s">
        <v>54</v>
      </c>
      <c r="B34">
        <f>E26-D33-A33</f>
        <v>1.0937503506625035E-4</v>
      </c>
    </row>
    <row r="36" spans="1:14" x14ac:dyDescent="0.25">
      <c r="A36" t="s">
        <v>42</v>
      </c>
    </row>
    <row r="37" spans="1:14" x14ac:dyDescent="0.25">
      <c r="A37" t="s">
        <v>54</v>
      </c>
      <c r="B37">
        <f>1.62*A30-B30</f>
        <v>0</v>
      </c>
      <c r="N3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workbookViewId="0">
      <selection activeCell="A7" sqref="A7"/>
    </sheetView>
  </sheetViews>
  <sheetFormatPr baseColWidth="10" defaultRowHeight="15" x14ac:dyDescent="0.25"/>
  <cols>
    <col min="16" max="16" width="12" bestFit="1" customWidth="1"/>
  </cols>
  <sheetData>
    <row r="1" spans="1:18" x14ac:dyDescent="0.25">
      <c r="A1" t="s">
        <v>171</v>
      </c>
    </row>
    <row r="2" spans="1:18" x14ac:dyDescent="0.25">
      <c r="A2" t="s">
        <v>172</v>
      </c>
    </row>
    <row r="3" spans="1:18" x14ac:dyDescent="0.25">
      <c r="A3" t="s">
        <v>173</v>
      </c>
    </row>
    <row r="4" spans="1:18" x14ac:dyDescent="0.25">
      <c r="A4" s="7">
        <v>43516</v>
      </c>
    </row>
    <row r="6" spans="1:18" x14ac:dyDescent="0.25">
      <c r="A6" t="s">
        <v>174</v>
      </c>
    </row>
    <row r="7" spans="1:18" x14ac:dyDescent="0.25">
      <c r="A7" t="s">
        <v>175</v>
      </c>
      <c r="B7" t="s">
        <v>176</v>
      </c>
    </row>
    <row r="8" spans="1:18" x14ac:dyDescent="0.25">
      <c r="A8" t="s">
        <v>177</v>
      </c>
      <c r="B8" s="8" t="s">
        <v>178</v>
      </c>
    </row>
    <row r="11" spans="1:18" x14ac:dyDescent="0.25">
      <c r="A11" s="1" t="s">
        <v>179</v>
      </c>
      <c r="K11" s="1" t="s">
        <v>202</v>
      </c>
      <c r="P11" s="1" t="s">
        <v>216</v>
      </c>
    </row>
    <row r="12" spans="1:18" x14ac:dyDescent="0.25">
      <c r="A12" t="s">
        <v>180</v>
      </c>
      <c r="K12" t="s">
        <v>180</v>
      </c>
      <c r="P12" t="s">
        <v>180</v>
      </c>
    </row>
    <row r="13" spans="1:18" x14ac:dyDescent="0.25">
      <c r="A13" t="s">
        <v>182</v>
      </c>
      <c r="B13" t="s">
        <v>183</v>
      </c>
      <c r="C13" t="s">
        <v>184</v>
      </c>
      <c r="K13" t="s">
        <v>205</v>
      </c>
      <c r="L13">
        <v>1.2</v>
      </c>
      <c r="P13" t="s">
        <v>217</v>
      </c>
      <c r="Q13">
        <f>'Calculo tolva romana'!W26/COS('Calculo de esfuerzos tolva'!L14)/100</f>
        <v>0.4861126456684014</v>
      </c>
      <c r="R13" t="s">
        <v>22</v>
      </c>
    </row>
    <row r="14" spans="1:18" x14ac:dyDescent="0.25">
      <c r="A14" t="s">
        <v>181</v>
      </c>
      <c r="B14">
        <v>9.81</v>
      </c>
      <c r="C14" t="s">
        <v>201</v>
      </c>
      <c r="K14" t="s">
        <v>206</v>
      </c>
      <c r="L14">
        <v>0.52400000000000002</v>
      </c>
      <c r="M14" t="s">
        <v>67</v>
      </c>
      <c r="N14" t="s">
        <v>208</v>
      </c>
      <c r="P14" t="s">
        <v>218</v>
      </c>
      <c r="Q14">
        <f>0.1</f>
        <v>0.1</v>
      </c>
      <c r="R14" t="s">
        <v>22</v>
      </c>
    </row>
    <row r="15" spans="1:18" x14ac:dyDescent="0.25">
      <c r="A15" t="s">
        <v>185</v>
      </c>
      <c r="B15">
        <v>529.86</v>
      </c>
      <c r="C15" t="s">
        <v>17</v>
      </c>
      <c r="D15" t="s">
        <v>186</v>
      </c>
      <c r="K15" t="s">
        <v>207</v>
      </c>
      <c r="L15">
        <f>A31/B19</f>
        <v>398.75749863804339</v>
      </c>
      <c r="M15" t="s">
        <v>35</v>
      </c>
      <c r="P15" t="s">
        <v>219</v>
      </c>
      <c r="Q15">
        <f>'Calculo tolva romana'!S26/100</f>
        <v>0.58599999999999997</v>
      </c>
      <c r="R15" t="s">
        <v>22</v>
      </c>
    </row>
    <row r="16" spans="1:18" x14ac:dyDescent="0.25">
      <c r="A16" t="s">
        <v>187</v>
      </c>
      <c r="B16">
        <f>(58.6/100)^2</f>
        <v>0.34339599999999998</v>
      </c>
      <c r="C16" t="s">
        <v>200</v>
      </c>
      <c r="D16" t="s">
        <v>188</v>
      </c>
      <c r="K16" t="s">
        <v>211</v>
      </c>
      <c r="L16">
        <f>'Calculo tolva romana'!W26/COS('Calculo de esfuerzos tolva'!L14)</f>
        <v>48.611264566840141</v>
      </c>
      <c r="P16" t="s">
        <v>224</v>
      </c>
      <c r="Q16">
        <f>200*1000^3</f>
        <v>200000000000</v>
      </c>
    </row>
    <row r="17" spans="1:17" x14ac:dyDescent="0.25">
      <c r="A17" t="s">
        <v>189</v>
      </c>
      <c r="B17">
        <f>4*58.6/100</f>
        <v>2.3439999999999999</v>
      </c>
      <c r="C17" t="s">
        <v>190</v>
      </c>
      <c r="P17" t="s">
        <v>223</v>
      </c>
      <c r="Q17">
        <v>1</v>
      </c>
    </row>
    <row r="18" spans="1:17" x14ac:dyDescent="0.25">
      <c r="A18" t="s">
        <v>191</v>
      </c>
      <c r="B18">
        <v>0.3</v>
      </c>
      <c r="D18" t="s">
        <v>193</v>
      </c>
      <c r="P18" t="s">
        <v>220</v>
      </c>
    </row>
    <row r="19" spans="1:17" x14ac:dyDescent="0.25">
      <c r="A19" t="s">
        <v>192</v>
      </c>
      <c r="B19">
        <v>0.5</v>
      </c>
      <c r="D19" t="s">
        <v>194</v>
      </c>
      <c r="E19" t="s">
        <v>176</v>
      </c>
      <c r="K19" t="s">
        <v>209</v>
      </c>
      <c r="N19" t="s">
        <v>215</v>
      </c>
      <c r="P19" t="s">
        <v>221</v>
      </c>
      <c r="Q19">
        <f>Q13-(Q15)*(Q15-Q14)/(6*Q14+Q15)</f>
        <v>0.24598111109841825</v>
      </c>
    </row>
    <row r="20" spans="1:17" x14ac:dyDescent="0.25">
      <c r="A20" t="s">
        <v>195</v>
      </c>
      <c r="B20">
        <v>0.08</v>
      </c>
      <c r="C20" t="s">
        <v>3</v>
      </c>
      <c r="K20" t="s">
        <v>210</v>
      </c>
      <c r="L20">
        <f>L15*(L13*COS(L14)^2+1.5*SIN(L14)^2)</f>
        <v>508.45738733106111</v>
      </c>
      <c r="M20" t="s">
        <v>35</v>
      </c>
      <c r="N20">
        <f>L23*0.3</f>
        <v>309.16290751886811</v>
      </c>
      <c r="O20" t="s">
        <v>35</v>
      </c>
    </row>
    <row r="21" spans="1:17" x14ac:dyDescent="0.25">
      <c r="K21" t="s">
        <v>212</v>
      </c>
      <c r="L21">
        <f>L13*L15*(COS(L14)^2)</f>
        <v>358.71544250401558</v>
      </c>
      <c r="M21" t="s">
        <v>35</v>
      </c>
      <c r="P21" t="s">
        <v>222</v>
      </c>
    </row>
    <row r="22" spans="1:17" x14ac:dyDescent="0.25">
      <c r="K22" t="s">
        <v>213</v>
      </c>
      <c r="L22">
        <f>3*((B16/B17)*(B14*B15*B19)/(SQRT(B18)))*(SIN(L14)^2)</f>
        <v>522.08563773183255</v>
      </c>
      <c r="M22" t="s">
        <v>35</v>
      </c>
      <c r="N22" t="s">
        <v>225</v>
      </c>
      <c r="P22">
        <f>(Q17*PI()^2*Q16)/(12*(1-0.3^3)*N26)</f>
        <v>72784293.430552989</v>
      </c>
    </row>
    <row r="23" spans="1:17" x14ac:dyDescent="0.25">
      <c r="A23" s="1" t="s">
        <v>203</v>
      </c>
      <c r="D23" s="1" t="s">
        <v>204</v>
      </c>
      <c r="K23" t="s">
        <v>214</v>
      </c>
      <c r="L23">
        <f>(L20-L21)+L21+L22</f>
        <v>1030.5430250628938</v>
      </c>
      <c r="M23" t="s">
        <v>35</v>
      </c>
      <c r="N23">
        <f>SQRT(L23^2+3*N20^2)</f>
        <v>1161.3630081341237</v>
      </c>
    </row>
    <row r="24" spans="1:17" x14ac:dyDescent="0.25">
      <c r="A24" t="s">
        <v>196</v>
      </c>
      <c r="D24">
        <f>A31*TAN(B18)</f>
        <v>61.675074566203399</v>
      </c>
      <c r="E24" t="s">
        <v>35</v>
      </c>
      <c r="P24" t="s">
        <v>226</v>
      </c>
    </row>
    <row r="25" spans="1:17" x14ac:dyDescent="0.25">
      <c r="A25">
        <f>(B14*B15*B16)/(TAN(B18)*B17)</f>
        <v>2461.7103487256813</v>
      </c>
      <c r="B25" t="s">
        <v>35</v>
      </c>
      <c r="N25" t="s">
        <v>227</v>
      </c>
      <c r="P25">
        <f>Q19/(SQRT(P22))</f>
        <v>2.8832541361434868E-5</v>
      </c>
    </row>
    <row r="26" spans="1:17" x14ac:dyDescent="0.25">
      <c r="N26">
        <f>N23*2</f>
        <v>2322.7260162682473</v>
      </c>
    </row>
    <row r="27" spans="1:17" x14ac:dyDescent="0.25">
      <c r="A27" t="s">
        <v>197</v>
      </c>
    </row>
    <row r="28" spans="1:17" x14ac:dyDescent="0.25">
      <c r="A28">
        <f>EXP(-(B19*TAN(B18)*B17*B20)/B16)</f>
        <v>0.9190080386905668</v>
      </c>
    </row>
    <row r="30" spans="1:17" x14ac:dyDescent="0.25">
      <c r="A30" t="s">
        <v>198</v>
      </c>
    </row>
    <row r="31" spans="1:17" x14ac:dyDescent="0.25">
      <c r="A31">
        <f>A25*(1-A28)</f>
        <v>199.37874931902169</v>
      </c>
      <c r="B31" t="s">
        <v>35</v>
      </c>
    </row>
    <row r="32" spans="1:17" x14ac:dyDescent="0.25">
      <c r="A32">
        <f>A31/1000000</f>
        <v>1.9937874931902168E-4</v>
      </c>
      <c r="B32" t="s">
        <v>199</v>
      </c>
    </row>
  </sheetData>
  <hyperlinks>
    <hyperlink ref="B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A7" sqref="A7"/>
    </sheetView>
  </sheetViews>
  <sheetFormatPr baseColWidth="10" defaultRowHeight="15" x14ac:dyDescent="0.25"/>
  <sheetData>
    <row r="1" spans="1:17" x14ac:dyDescent="0.25">
      <c r="A1" t="s">
        <v>55</v>
      </c>
    </row>
    <row r="2" spans="1:17" x14ac:dyDescent="0.25">
      <c r="A2" t="s">
        <v>56</v>
      </c>
    </row>
    <row r="3" spans="1:17" x14ac:dyDescent="0.25">
      <c r="A3" t="s">
        <v>57</v>
      </c>
    </row>
    <row r="5" spans="1:17" x14ac:dyDescent="0.25">
      <c r="A5" t="s">
        <v>58</v>
      </c>
      <c r="G5" t="s">
        <v>60</v>
      </c>
    </row>
    <row r="6" spans="1:17" x14ac:dyDescent="0.25">
      <c r="A6" s="1" t="s">
        <v>1</v>
      </c>
      <c r="C6" s="1" t="s">
        <v>44</v>
      </c>
      <c r="E6" t="s">
        <v>10</v>
      </c>
      <c r="G6" s="1" t="s">
        <v>1</v>
      </c>
      <c r="I6" s="1" t="s">
        <v>44</v>
      </c>
      <c r="K6" t="s">
        <v>10</v>
      </c>
      <c r="M6" t="s">
        <v>1</v>
      </c>
      <c r="O6" t="s">
        <v>44</v>
      </c>
      <c r="Q6" t="s">
        <v>10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45</v>
      </c>
      <c r="G9" t="s">
        <v>45</v>
      </c>
      <c r="M9" t="s">
        <v>45</v>
      </c>
    </row>
    <row r="10" spans="1:17" x14ac:dyDescent="0.25">
      <c r="A10" t="s">
        <v>46</v>
      </c>
      <c r="B10" t="s">
        <v>47</v>
      </c>
      <c r="C10" t="s">
        <v>48</v>
      </c>
      <c r="D10" t="s">
        <v>49</v>
      </c>
      <c r="G10" t="s">
        <v>46</v>
      </c>
      <c r="H10" t="s">
        <v>47</v>
      </c>
      <c r="I10" t="s">
        <v>48</v>
      </c>
      <c r="J10" t="s">
        <v>49</v>
      </c>
      <c r="M10" t="s">
        <v>46</v>
      </c>
      <c r="N10" t="s">
        <v>47</v>
      </c>
      <c r="O10" t="s">
        <v>48</v>
      </c>
      <c r="P10" t="s">
        <v>49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41</v>
      </c>
      <c r="G12" t="s">
        <v>41</v>
      </c>
      <c r="M12" t="s">
        <v>41</v>
      </c>
    </row>
    <row r="13" spans="1:17" x14ac:dyDescent="0.25">
      <c r="A13" t="s">
        <v>59</v>
      </c>
      <c r="B13" t="s">
        <v>51</v>
      </c>
      <c r="C13" t="s">
        <v>52</v>
      </c>
      <c r="D13" t="s">
        <v>53</v>
      </c>
      <c r="G13" t="s">
        <v>59</v>
      </c>
      <c r="H13" t="s">
        <v>51</v>
      </c>
      <c r="I13" t="s">
        <v>52</v>
      </c>
      <c r="J13" t="s">
        <v>53</v>
      </c>
      <c r="M13" t="s">
        <v>59</v>
      </c>
      <c r="N13" t="s">
        <v>51</v>
      </c>
      <c r="O13" t="s">
        <v>52</v>
      </c>
      <c r="P13" t="s">
        <v>53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54</v>
      </c>
      <c r="B15">
        <f>E7-D14-A14</f>
        <v>-4.7138645430095494E-2</v>
      </c>
      <c r="G15" t="s">
        <v>54</v>
      </c>
      <c r="H15">
        <f>K7-J14-G14</f>
        <v>2.9895722545916215E-2</v>
      </c>
      <c r="M15" t="s">
        <v>54</v>
      </c>
      <c r="N15">
        <f>Q7-P14-M14</f>
        <v>-3.6388236912898719E-4</v>
      </c>
    </row>
    <row r="17" spans="1:14" x14ac:dyDescent="0.25">
      <c r="A17" t="s">
        <v>42</v>
      </c>
      <c r="G17" t="s">
        <v>42</v>
      </c>
      <c r="M17" t="s">
        <v>42</v>
      </c>
    </row>
    <row r="18" spans="1:14" x14ac:dyDescent="0.25">
      <c r="A18" t="s">
        <v>54</v>
      </c>
      <c r="B18">
        <f>2*B11*TAN(45*PI()/180)+D11-A11</f>
        <v>0</v>
      </c>
      <c r="G18" t="s">
        <v>54</v>
      </c>
      <c r="H18">
        <f>2*H11*TAN(45*PI()/180)+J11-G11</f>
        <v>0</v>
      </c>
      <c r="M18" t="s">
        <v>54</v>
      </c>
      <c r="N18">
        <f>2*N11*TAN(45*PI()/180)+P11-M11</f>
        <v>-6.3948846218409017E-13</v>
      </c>
    </row>
    <row r="20" spans="1:14" x14ac:dyDescent="0.25">
      <c r="A20" t="s">
        <v>43</v>
      </c>
      <c r="G20" t="s">
        <v>43</v>
      </c>
      <c r="M20" t="s">
        <v>43</v>
      </c>
    </row>
    <row r="21" spans="1:14" x14ac:dyDescent="0.25">
      <c r="A21" t="s">
        <v>54</v>
      </c>
      <c r="B21">
        <f>B11+C11</f>
        <v>71.02024913091654</v>
      </c>
      <c r="G21" t="s">
        <v>54</v>
      </c>
      <c r="H21">
        <f>1.62*H11-I11</f>
        <v>0</v>
      </c>
      <c r="M21" t="s">
        <v>54</v>
      </c>
      <c r="N21">
        <f>1.62*N11-O11</f>
        <v>0</v>
      </c>
    </row>
    <row r="24" spans="1:14" x14ac:dyDescent="0.25">
      <c r="A24" t="s">
        <v>61</v>
      </c>
      <c r="G24" t="s">
        <v>62</v>
      </c>
    </row>
    <row r="25" spans="1:14" x14ac:dyDescent="0.25">
      <c r="A25" s="1" t="s">
        <v>1</v>
      </c>
      <c r="C25" s="1" t="s">
        <v>44</v>
      </c>
      <c r="E25" t="s">
        <v>10</v>
      </c>
      <c r="G25" s="2" t="s">
        <v>1</v>
      </c>
      <c r="H25" s="2"/>
      <c r="I25" s="2" t="s">
        <v>44</v>
      </c>
      <c r="J25" s="2"/>
      <c r="K25" s="3" t="s">
        <v>10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45</v>
      </c>
      <c r="G28" s="3" t="s">
        <v>45</v>
      </c>
      <c r="H28" s="3"/>
      <c r="I28" s="3"/>
      <c r="J28" s="3"/>
      <c r="K28" s="3"/>
    </row>
    <row r="29" spans="1:14" x14ac:dyDescent="0.25">
      <c r="A29" t="s">
        <v>46</v>
      </c>
      <c r="B29" t="s">
        <v>47</v>
      </c>
      <c r="C29" t="s">
        <v>48</v>
      </c>
      <c r="D29" t="s">
        <v>49</v>
      </c>
      <c r="G29" s="3" t="s">
        <v>46</v>
      </c>
      <c r="H29" s="3" t="s">
        <v>47</v>
      </c>
      <c r="I29" s="3" t="s">
        <v>48</v>
      </c>
      <c r="J29" s="3" t="s">
        <v>49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41</v>
      </c>
      <c r="G31" s="3" t="s">
        <v>41</v>
      </c>
      <c r="H31" s="3"/>
      <c r="I31" s="3"/>
      <c r="J31" s="3"/>
      <c r="K31" s="3"/>
    </row>
    <row r="32" spans="1:14" x14ac:dyDescent="0.25">
      <c r="A32" t="s">
        <v>59</v>
      </c>
      <c r="B32" t="s">
        <v>51</v>
      </c>
      <c r="C32" t="s">
        <v>52</v>
      </c>
      <c r="D32" t="s">
        <v>53</v>
      </c>
      <c r="G32" s="3" t="s">
        <v>59</v>
      </c>
      <c r="H32" s="3" t="s">
        <v>51</v>
      </c>
      <c r="I32" s="3" t="s">
        <v>52</v>
      </c>
      <c r="J32" s="3" t="s">
        <v>53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54</v>
      </c>
      <c r="B34">
        <f>E26-D33-A33</f>
        <v>299462.13935250934</v>
      </c>
      <c r="G34" s="3" t="s">
        <v>54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42</v>
      </c>
      <c r="G36" s="3" t="s">
        <v>42</v>
      </c>
      <c r="H36" s="3"/>
      <c r="I36" s="3"/>
      <c r="J36" s="3"/>
      <c r="K36" s="3"/>
    </row>
    <row r="37" spans="1:11" x14ac:dyDescent="0.25">
      <c r="A37" t="s">
        <v>54</v>
      </c>
      <c r="B37">
        <f>2*B30*TAN(35*PI()/180)+D30-A30</f>
        <v>-8.4269396744912797</v>
      </c>
      <c r="G37" s="3" t="s">
        <v>54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43</v>
      </c>
      <c r="G39" s="3" t="s">
        <v>43</v>
      </c>
      <c r="H39" s="3"/>
      <c r="I39" s="3"/>
      <c r="J39" s="3"/>
      <c r="K39" s="3"/>
    </row>
    <row r="40" spans="1:11" x14ac:dyDescent="0.25">
      <c r="A40" t="s">
        <v>54</v>
      </c>
      <c r="B40">
        <f>1.62*B30-C30</f>
        <v>21.170598967476614</v>
      </c>
      <c r="G40" s="3" t="s">
        <v>54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I22" sqref="I22"/>
    </sheetView>
  </sheetViews>
  <sheetFormatPr baseColWidth="10" defaultRowHeight="15" x14ac:dyDescent="0.25"/>
  <cols>
    <col min="10" max="10" width="18" customWidth="1"/>
    <col min="11" max="11" width="20.5703125" customWidth="1"/>
  </cols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58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16064.257028112448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19277.108433734938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45</v>
      </c>
      <c r="C15" t="s">
        <v>159</v>
      </c>
      <c r="I15" s="6">
        <v>52.810124854227624</v>
      </c>
      <c r="J15" s="6">
        <v>25.135062427113816</v>
      </c>
      <c r="K15" s="6">
        <v>0</v>
      </c>
      <c r="L15" s="6">
        <v>2.54</v>
      </c>
    </row>
    <row r="16" spans="1:12" x14ac:dyDescent="0.25">
      <c r="A16" t="s">
        <v>76</v>
      </c>
      <c r="B16">
        <f>(PI()/180)*B15</f>
        <v>0.78539816339744828</v>
      </c>
      <c r="I16" t="s">
        <v>41</v>
      </c>
    </row>
    <row r="17" spans="1:13" x14ac:dyDescent="0.25">
      <c r="A17" t="s">
        <v>77</v>
      </c>
      <c r="B17">
        <v>2.54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1.2450000000000001</v>
      </c>
      <c r="I18">
        <f>J18*K15</f>
        <v>0</v>
      </c>
      <c r="J18">
        <f>(PI()*(I15^2)/4)</f>
        <v>2190.4042319854357</v>
      </c>
      <c r="K18">
        <f>PI()*(L15/2)^2</f>
        <v>5.0670747909749769</v>
      </c>
      <c r="L18">
        <f>(J15/3)*(J18+K18+SQRT(J18*K18))</f>
        <v>19277.108433735058</v>
      </c>
      <c r="M18">
        <f>I18+L18</f>
        <v>19277.108433735058</v>
      </c>
    </row>
    <row r="19" spans="1:13" x14ac:dyDescent="0.25">
      <c r="A19" t="s">
        <v>79</v>
      </c>
      <c r="B19">
        <v>20000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-1.2005330063402653E-10</v>
      </c>
    </row>
    <row r="21" spans="1:13" x14ac:dyDescent="0.25">
      <c r="A21" t="s">
        <v>151</v>
      </c>
      <c r="B21">
        <v>100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0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35.546346175518757</v>
      </c>
    </row>
    <row r="29" spans="1:13" x14ac:dyDescent="0.25">
      <c r="I29" t="s">
        <v>164</v>
      </c>
      <c r="J29">
        <f>PI()*(0.5*I15+0.5*L15)*J26</f>
        <v>3090.5334460622707</v>
      </c>
    </row>
    <row r="30" spans="1:13" x14ac:dyDescent="0.25">
      <c r="I30" t="s">
        <v>163</v>
      </c>
      <c r="J30">
        <f>I15*PI()*K15+J29</f>
        <v>3090.5334460622707</v>
      </c>
    </row>
    <row r="32" spans="1:13" x14ac:dyDescent="0.25">
      <c r="A32" s="1" t="s">
        <v>6</v>
      </c>
      <c r="F32" s="1" t="s">
        <v>11</v>
      </c>
    </row>
    <row r="33" spans="1:9" x14ac:dyDescent="0.25">
      <c r="A33" t="s">
        <v>0</v>
      </c>
      <c r="F33" s="1" t="s">
        <v>12</v>
      </c>
    </row>
    <row r="34" spans="1:9" x14ac:dyDescent="0.25">
      <c r="A34">
        <v>9</v>
      </c>
      <c r="B34" t="s">
        <v>3</v>
      </c>
      <c r="F34">
        <v>16.4603868474641</v>
      </c>
      <c r="G34" t="s">
        <v>3</v>
      </c>
    </row>
    <row r="35" spans="1:9" x14ac:dyDescent="0.25">
      <c r="A35" t="s">
        <v>1</v>
      </c>
      <c r="F35" t="s">
        <v>1</v>
      </c>
    </row>
    <row r="36" spans="1:9" x14ac:dyDescent="0.25">
      <c r="A36">
        <v>5597</v>
      </c>
      <c r="B36" t="s">
        <v>2</v>
      </c>
      <c r="F36">
        <v>5597</v>
      </c>
      <c r="G36" t="s">
        <v>2</v>
      </c>
    </row>
    <row r="37" spans="1:9" x14ac:dyDescent="0.25">
      <c r="A37" t="s">
        <v>66</v>
      </c>
      <c r="F37" t="s">
        <v>66</v>
      </c>
    </row>
    <row r="38" spans="1:9" x14ac:dyDescent="0.25">
      <c r="A38">
        <v>30</v>
      </c>
      <c r="B38" t="s">
        <v>4</v>
      </c>
      <c r="F38">
        <v>25</v>
      </c>
      <c r="G38" t="s">
        <v>4</v>
      </c>
    </row>
    <row r="39" spans="1:9" x14ac:dyDescent="0.25">
      <c r="A39">
        <f>(PI()/180)*A38</f>
        <v>0.52359877559829882</v>
      </c>
      <c r="B39" t="s">
        <v>67</v>
      </c>
      <c r="F39">
        <f>(PI()/180)*F38</f>
        <v>0.43633231299858238</v>
      </c>
    </row>
    <row r="40" spans="1:9" x14ac:dyDescent="0.25">
      <c r="A40" s="1" t="s">
        <v>7</v>
      </c>
      <c r="F40" t="s">
        <v>5</v>
      </c>
    </row>
    <row r="41" spans="1:9" x14ac:dyDescent="0.25">
      <c r="A41">
        <v>7.6684929431280304</v>
      </c>
      <c r="B41" t="s">
        <v>3</v>
      </c>
      <c r="F41">
        <v>10.223842762403184</v>
      </c>
      <c r="G41" t="s">
        <v>3</v>
      </c>
    </row>
    <row r="42" spans="1:9" x14ac:dyDescent="0.25">
      <c r="F42" t="s">
        <v>37</v>
      </c>
    </row>
    <row r="43" spans="1:9" x14ac:dyDescent="0.25">
      <c r="F43">
        <f>F34/F41</f>
        <v>1.6099999999995085</v>
      </c>
    </row>
    <row r="44" spans="1:9" x14ac:dyDescent="0.25">
      <c r="A44" t="s">
        <v>8</v>
      </c>
      <c r="B44" t="s">
        <v>9</v>
      </c>
      <c r="C44" t="s">
        <v>10</v>
      </c>
      <c r="D44" t="s">
        <v>13</v>
      </c>
      <c r="F44" t="s">
        <v>8</v>
      </c>
      <c r="G44" t="s">
        <v>9</v>
      </c>
      <c r="H44" t="s">
        <v>10</v>
      </c>
      <c r="I44" t="s">
        <v>13</v>
      </c>
    </row>
    <row r="45" spans="1:9" x14ac:dyDescent="0.25">
      <c r="A45">
        <f>A41^2</f>
        <v>58.805784018804403</v>
      </c>
      <c r="B45">
        <f>(2*A34*TAN(A39)+A41)^2</f>
        <v>326.19241675857808</v>
      </c>
      <c r="C45">
        <f>(A45+B45+SQRT(A45*B45))*(A34/3)</f>
        <v>1570.4919034982213</v>
      </c>
      <c r="D45">
        <f>A36-C45</f>
        <v>4026.5080965017787</v>
      </c>
      <c r="F45">
        <f>F41^2</f>
        <v>104.52696083034395</v>
      </c>
      <c r="G45">
        <f>(2*F34*TAN(F39)+F41)^2</f>
        <v>654.08326683550547</v>
      </c>
      <c r="H45">
        <f>(F45+G45+SQRT(F45*G45))*(F34/3)</f>
        <v>5597.0008377049635</v>
      </c>
      <c r="I45">
        <f>F36-H45</f>
        <v>-8.3770496348734014E-4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C20" sqref="C20"/>
    </sheetView>
  </sheetViews>
  <sheetFormatPr baseColWidth="10" defaultRowHeight="15" x14ac:dyDescent="0.25"/>
  <sheetData>
    <row r="1" spans="1:12" x14ac:dyDescent="0.25">
      <c r="A1" t="s">
        <v>68</v>
      </c>
    </row>
    <row r="2" spans="1:12" x14ac:dyDescent="0.25">
      <c r="A2" t="s">
        <v>80</v>
      </c>
    </row>
    <row r="3" spans="1:12" x14ac:dyDescent="0.25">
      <c r="A3" t="s">
        <v>69</v>
      </c>
    </row>
    <row r="4" spans="1:12" x14ac:dyDescent="0.25">
      <c r="A4" s="5">
        <v>43433</v>
      </c>
    </row>
    <row r="7" spans="1:12" x14ac:dyDescent="0.25">
      <c r="A7" s="1" t="s">
        <v>62</v>
      </c>
      <c r="H7" s="1" t="s">
        <v>81</v>
      </c>
    </row>
    <row r="8" spans="1:12" x14ac:dyDescent="0.25">
      <c r="A8" t="s">
        <v>70</v>
      </c>
      <c r="H8">
        <v>1</v>
      </c>
      <c r="I8" t="s">
        <v>82</v>
      </c>
    </row>
    <row r="9" spans="1:12" x14ac:dyDescent="0.25">
      <c r="A9">
        <v>1</v>
      </c>
      <c r="B9" t="s">
        <v>71</v>
      </c>
      <c r="I9" s="1" t="s">
        <v>84</v>
      </c>
      <c r="J9">
        <f>B19/B18</f>
        <v>1150000</v>
      </c>
    </row>
    <row r="10" spans="1:12" x14ac:dyDescent="0.25">
      <c r="A10">
        <v>2</v>
      </c>
      <c r="B10" t="s">
        <v>72</v>
      </c>
      <c r="H10">
        <v>2</v>
      </c>
      <c r="I10" t="s">
        <v>85</v>
      </c>
    </row>
    <row r="11" spans="1:12" x14ac:dyDescent="0.25">
      <c r="A11">
        <v>3</v>
      </c>
      <c r="B11" t="s">
        <v>158</v>
      </c>
      <c r="I11" s="1" t="s">
        <v>84</v>
      </c>
      <c r="J11">
        <f>J9*B20</f>
        <v>1380000</v>
      </c>
    </row>
    <row r="12" spans="1:12" x14ac:dyDescent="0.25">
      <c r="H12">
        <v>3</v>
      </c>
      <c r="I12" t="s">
        <v>160</v>
      </c>
    </row>
    <row r="13" spans="1:12" x14ac:dyDescent="0.25">
      <c r="I13" t="s">
        <v>45</v>
      </c>
    </row>
    <row r="14" spans="1:12" x14ac:dyDescent="0.25">
      <c r="A14" s="1" t="s">
        <v>74</v>
      </c>
      <c r="I14" t="s">
        <v>161</v>
      </c>
      <c r="J14" t="s">
        <v>89</v>
      </c>
      <c r="K14" t="s">
        <v>90</v>
      </c>
      <c r="L14" t="s">
        <v>91</v>
      </c>
    </row>
    <row r="15" spans="1:12" x14ac:dyDescent="0.25">
      <c r="A15" t="s">
        <v>75</v>
      </c>
      <c r="B15">
        <v>30</v>
      </c>
      <c r="C15" t="s">
        <v>159</v>
      </c>
      <c r="I15" s="6">
        <v>160.80731145754854</v>
      </c>
      <c r="J15" s="6">
        <v>130.46439873406226</v>
      </c>
      <c r="K15" s="6">
        <v>21.538748049772003</v>
      </c>
      <c r="L15" s="6">
        <f>B17</f>
        <v>10.16</v>
      </c>
    </row>
    <row r="16" spans="1:12" x14ac:dyDescent="0.25">
      <c r="A16" t="s">
        <v>76</v>
      </c>
      <c r="B16">
        <f>(PI()/180)*B15</f>
        <v>0.52359877559829882</v>
      </c>
      <c r="I16" t="s">
        <v>41</v>
      </c>
    </row>
    <row r="17" spans="1:13" x14ac:dyDescent="0.25">
      <c r="A17" t="s">
        <v>77</v>
      </c>
      <c r="B17">
        <v>10.16</v>
      </c>
      <c r="C17" t="s">
        <v>3</v>
      </c>
      <c r="I17" t="s">
        <v>87</v>
      </c>
      <c r="J17" t="s">
        <v>51</v>
      </c>
      <c r="K17" t="s">
        <v>52</v>
      </c>
      <c r="L17" t="s">
        <v>162</v>
      </c>
      <c r="M17" t="s">
        <v>10</v>
      </c>
    </row>
    <row r="18" spans="1:13" x14ac:dyDescent="0.25">
      <c r="A18" t="s">
        <v>78</v>
      </c>
      <c r="B18">
        <v>0.44</v>
      </c>
      <c r="I18">
        <f>J18*K15</f>
        <v>437443.45145499363</v>
      </c>
      <c r="J18">
        <f>(PI()*(I15^2)/4)</f>
        <v>20309.604367168598</v>
      </c>
      <c r="K18">
        <f>PI()*(L15/2)^2</f>
        <v>81.073196655599631</v>
      </c>
      <c r="L18">
        <f>(J15/3)*(J18+K18+SQRT(J18*K18))</f>
        <v>942555.82951280545</v>
      </c>
      <c r="M18">
        <f>I18+L18</f>
        <v>1379999.280967799</v>
      </c>
    </row>
    <row r="19" spans="1:13" x14ac:dyDescent="0.25">
      <c r="A19" t="s">
        <v>79</v>
      </c>
      <c r="B19">
        <v>506000</v>
      </c>
      <c r="I19" t="s">
        <v>92</v>
      </c>
    </row>
    <row r="20" spans="1:13" x14ac:dyDescent="0.25">
      <c r="A20" t="s">
        <v>83</v>
      </c>
      <c r="B20">
        <v>1.2</v>
      </c>
      <c r="I20" t="s">
        <v>54</v>
      </c>
      <c r="J20">
        <f>J11-M18</f>
        <v>0.71903220098465681</v>
      </c>
    </row>
    <row r="21" spans="1:13" x14ac:dyDescent="0.25">
      <c r="A21" t="s">
        <v>151</v>
      </c>
      <c r="B21">
        <v>6000</v>
      </c>
    </row>
    <row r="22" spans="1:13" x14ac:dyDescent="0.25">
      <c r="A22" t="s">
        <v>153</v>
      </c>
      <c r="B22">
        <v>50</v>
      </c>
      <c r="I22" t="s">
        <v>94</v>
      </c>
    </row>
    <row r="23" spans="1:13" x14ac:dyDescent="0.25">
      <c r="I23" t="s">
        <v>54</v>
      </c>
      <c r="J23">
        <f>2*J15*TAN(B16)+L15-I15</f>
        <v>-1.5063505998114124E-12</v>
      </c>
    </row>
    <row r="25" spans="1:13" x14ac:dyDescent="0.25">
      <c r="I25" t="s">
        <v>93</v>
      </c>
    </row>
    <row r="26" spans="1:13" x14ac:dyDescent="0.25">
      <c r="I26" t="s">
        <v>165</v>
      </c>
      <c r="J26">
        <f>J15/COS(B16)</f>
        <v>150.64731145754703</v>
      </c>
    </row>
    <row r="29" spans="1:13" x14ac:dyDescent="0.25">
      <c r="I29" t="s">
        <v>164</v>
      </c>
      <c r="J29">
        <f>PI()*(0.5*I15+0.5*L15)*J26</f>
        <v>40457.062341025594</v>
      </c>
    </row>
    <row r="30" spans="1:13" x14ac:dyDescent="0.25">
      <c r="I30" t="s">
        <v>163</v>
      </c>
      <c r="J30">
        <f>I15*PI()*K15+J29</f>
        <v>51338.24547853422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Cálculo contenedor Concentrado</vt:lpstr>
      <vt:lpstr>Cálculo contenedor CC</vt:lpstr>
      <vt:lpstr>Cálculo de fuerza</vt:lpstr>
      <vt:lpstr>Calculo tolva romana</vt:lpstr>
      <vt:lpstr>Calculo de esfuerzos tolva</vt:lpstr>
      <vt:lpstr>Cálculo contenedor</vt:lpstr>
      <vt:lpstr>Dimensionado tolva mineral</vt:lpstr>
      <vt:lpstr>Dimensionado tolva levadura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2019-02-25T03:34:41Z</dcterms:modified>
</cp:coreProperties>
</file>