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Home\Operations\OpsSupply\A. SUPPLY\2.A. BIDs\BID 2014\LITB 2014 - 9111551  IMPRESSIONS DES OUTILS DE GESTION CAMPAGNE ROUGEOLE &amp; TMN\"/>
    </mc:Choice>
  </mc:AlternateContent>
  <bookViews>
    <workbookView xWindow="0" yWindow="0" windowWidth="1920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8" i="1" l="1"/>
  <c r="Z68" i="1"/>
  <c r="V68" i="1"/>
  <c r="N68" i="1"/>
  <c r="L68" i="1"/>
  <c r="J68" i="1"/>
  <c r="H68" i="1"/>
  <c r="C68" i="1"/>
  <c r="AB67" i="1"/>
  <c r="AA67" i="1"/>
  <c r="Z67" i="1"/>
  <c r="W67" i="1"/>
  <c r="S67" i="1"/>
  <c r="L67" i="1"/>
  <c r="K67" i="1"/>
  <c r="J67" i="1"/>
  <c r="I67" i="1"/>
  <c r="H67" i="1"/>
  <c r="G67" i="1"/>
  <c r="E67" i="1"/>
  <c r="E68" i="1" s="1"/>
  <c r="AC66" i="1"/>
  <c r="X66" i="1"/>
  <c r="V66" i="1"/>
  <c r="U66" i="1"/>
  <c r="T66" i="1"/>
  <c r="S66" i="1"/>
  <c r="R66" i="1"/>
  <c r="Q66" i="1"/>
  <c r="N66" i="1"/>
  <c r="G66" i="1"/>
  <c r="P66" i="1" s="1"/>
  <c r="F66" i="1"/>
  <c r="Y66" i="1" s="1"/>
  <c r="D66" i="1"/>
  <c r="AC65" i="1"/>
  <c r="X65" i="1"/>
  <c r="V65" i="1"/>
  <c r="U65" i="1"/>
  <c r="T65" i="1"/>
  <c r="S65" i="1"/>
  <c r="R65" i="1"/>
  <c r="Q65" i="1"/>
  <c r="N65" i="1"/>
  <c r="G65" i="1"/>
  <c r="P65" i="1" s="1"/>
  <c r="F65" i="1"/>
  <c r="Y65" i="1" s="1"/>
  <c r="D65" i="1"/>
  <c r="AC64" i="1"/>
  <c r="X64" i="1"/>
  <c r="V64" i="1"/>
  <c r="U64" i="1"/>
  <c r="T64" i="1"/>
  <c r="S64" i="1"/>
  <c r="R64" i="1"/>
  <c r="Q64" i="1"/>
  <c r="N64" i="1"/>
  <c r="G64" i="1"/>
  <c r="P64" i="1" s="1"/>
  <c r="F64" i="1"/>
  <c r="Y64" i="1" s="1"/>
  <c r="D64" i="1"/>
  <c r="AC63" i="1"/>
  <c r="AC67" i="1" s="1"/>
  <c r="X63" i="1"/>
  <c r="X67" i="1" s="1"/>
  <c r="V63" i="1"/>
  <c r="V67" i="1" s="1"/>
  <c r="U63" i="1"/>
  <c r="U67" i="1" s="1"/>
  <c r="T63" i="1"/>
  <c r="T67" i="1" s="1"/>
  <c r="S63" i="1"/>
  <c r="R63" i="1"/>
  <c r="R67" i="1" s="1"/>
  <c r="Q63" i="1"/>
  <c r="Q67" i="1" s="1"/>
  <c r="Q68" i="1" s="1"/>
  <c r="N63" i="1"/>
  <c r="N67" i="1" s="1"/>
  <c r="G63" i="1"/>
  <c r="P63" i="1" s="1"/>
  <c r="P67" i="1" s="1"/>
  <c r="F63" i="1"/>
  <c r="M63" i="1" s="1"/>
  <c r="D63" i="1"/>
  <c r="D67" i="1" s="1"/>
  <c r="D68" i="1" s="1"/>
  <c r="AB62" i="1"/>
  <c r="AA62" i="1"/>
  <c r="Z62" i="1"/>
  <c r="W62" i="1"/>
  <c r="L62" i="1"/>
  <c r="K62" i="1"/>
  <c r="J62" i="1"/>
  <c r="I62" i="1"/>
  <c r="H62" i="1"/>
  <c r="E62" i="1"/>
  <c r="AC61" i="1"/>
  <c r="V61" i="1"/>
  <c r="U61" i="1"/>
  <c r="T61" i="1"/>
  <c r="R61" i="1"/>
  <c r="Q61" i="1"/>
  <c r="N61" i="1"/>
  <c r="F61" i="1"/>
  <c r="D61" i="1"/>
  <c r="G61" i="1" s="1"/>
  <c r="P61" i="1" s="1"/>
  <c r="AC60" i="1"/>
  <c r="V60" i="1"/>
  <c r="T60" i="1"/>
  <c r="R60" i="1"/>
  <c r="Q60" i="1"/>
  <c r="N60" i="1"/>
  <c r="M60" i="1"/>
  <c r="F60" i="1"/>
  <c r="Y60" i="1" s="1"/>
  <c r="D60" i="1"/>
  <c r="G60" i="1" s="1"/>
  <c r="P60" i="1" s="1"/>
  <c r="AC59" i="1"/>
  <c r="V59" i="1"/>
  <c r="T59" i="1"/>
  <c r="R59" i="1"/>
  <c r="Q59" i="1"/>
  <c r="N59" i="1"/>
  <c r="F59" i="1"/>
  <c r="U59" i="1" s="1"/>
  <c r="D59" i="1"/>
  <c r="G59" i="1" s="1"/>
  <c r="P59" i="1" s="1"/>
  <c r="AC58" i="1"/>
  <c r="X58" i="1"/>
  <c r="V58" i="1"/>
  <c r="T58" i="1"/>
  <c r="S58" i="1"/>
  <c r="R58" i="1"/>
  <c r="Q58" i="1"/>
  <c r="N58" i="1"/>
  <c r="M58" i="1"/>
  <c r="F58" i="1"/>
  <c r="Y58" i="1" s="1"/>
  <c r="D58" i="1"/>
  <c r="G58" i="1" s="1"/>
  <c r="P58" i="1" s="1"/>
  <c r="AC57" i="1"/>
  <c r="V57" i="1"/>
  <c r="U57" i="1"/>
  <c r="T57" i="1"/>
  <c r="R57" i="1"/>
  <c r="Q57" i="1"/>
  <c r="N57" i="1"/>
  <c r="F57" i="1"/>
  <c r="D57" i="1"/>
  <c r="G57" i="1" s="1"/>
  <c r="P57" i="1" s="1"/>
  <c r="AC56" i="1"/>
  <c r="V56" i="1"/>
  <c r="T56" i="1"/>
  <c r="R56" i="1"/>
  <c r="Q56" i="1"/>
  <c r="N56" i="1"/>
  <c r="M56" i="1"/>
  <c r="F56" i="1"/>
  <c r="Y56" i="1" s="1"/>
  <c r="D56" i="1"/>
  <c r="G56" i="1" s="1"/>
  <c r="P56" i="1" s="1"/>
  <c r="AC55" i="1"/>
  <c r="V55" i="1"/>
  <c r="T55" i="1"/>
  <c r="R55" i="1"/>
  <c r="Q55" i="1"/>
  <c r="N55" i="1"/>
  <c r="F55" i="1"/>
  <c r="U55" i="1" s="1"/>
  <c r="D55" i="1"/>
  <c r="G55" i="1" s="1"/>
  <c r="P55" i="1" s="1"/>
  <c r="AC54" i="1"/>
  <c r="X54" i="1"/>
  <c r="V54" i="1"/>
  <c r="T54" i="1"/>
  <c r="S54" i="1"/>
  <c r="R54" i="1"/>
  <c r="Q54" i="1"/>
  <c r="N54" i="1"/>
  <c r="M54" i="1"/>
  <c r="F54" i="1"/>
  <c r="Y54" i="1" s="1"/>
  <c r="D54" i="1"/>
  <c r="G54" i="1" s="1"/>
  <c r="P54" i="1" s="1"/>
  <c r="AC53" i="1"/>
  <c r="V53" i="1"/>
  <c r="U53" i="1"/>
  <c r="T53" i="1"/>
  <c r="R53" i="1"/>
  <c r="Q53" i="1"/>
  <c r="N53" i="1"/>
  <c r="F53" i="1"/>
  <c r="D53" i="1"/>
  <c r="G53" i="1" s="1"/>
  <c r="P53" i="1" s="1"/>
  <c r="AC52" i="1"/>
  <c r="AC62" i="1" s="1"/>
  <c r="V52" i="1"/>
  <c r="V62" i="1" s="1"/>
  <c r="T52" i="1"/>
  <c r="T62" i="1" s="1"/>
  <c r="R52" i="1"/>
  <c r="R62" i="1" s="1"/>
  <c r="R68" i="1" s="1"/>
  <c r="Q52" i="1"/>
  <c r="Q62" i="1" s="1"/>
  <c r="N52" i="1"/>
  <c r="N62" i="1" s="1"/>
  <c r="M52" i="1"/>
  <c r="F52" i="1"/>
  <c r="X52" i="1" s="1"/>
  <c r="D52" i="1"/>
  <c r="D62" i="1" s="1"/>
  <c r="AB51" i="1"/>
  <c r="AA51" i="1"/>
  <c r="Z51" i="1"/>
  <c r="W51" i="1"/>
  <c r="V51" i="1"/>
  <c r="R51" i="1"/>
  <c r="N51" i="1"/>
  <c r="L51" i="1"/>
  <c r="K51" i="1"/>
  <c r="J51" i="1"/>
  <c r="I51" i="1"/>
  <c r="H51" i="1"/>
  <c r="G51" i="1"/>
  <c r="E51" i="1"/>
  <c r="AC50" i="1"/>
  <c r="V50" i="1"/>
  <c r="T50" i="1"/>
  <c r="R50" i="1"/>
  <c r="Q50" i="1"/>
  <c r="N50" i="1"/>
  <c r="G50" i="1"/>
  <c r="P50" i="1" s="1"/>
  <c r="F50" i="1"/>
  <c r="D50" i="1"/>
  <c r="AC49" i="1"/>
  <c r="AC51" i="1" s="1"/>
  <c r="V49" i="1"/>
  <c r="T49" i="1"/>
  <c r="T51" i="1" s="1"/>
  <c r="R49" i="1"/>
  <c r="Q49" i="1"/>
  <c r="Q51" i="1" s="1"/>
  <c r="N49" i="1"/>
  <c r="G49" i="1"/>
  <c r="P49" i="1" s="1"/>
  <c r="P51" i="1" s="1"/>
  <c r="F49" i="1"/>
  <c r="M49" i="1" s="1"/>
  <c r="D49" i="1"/>
  <c r="D51" i="1" s="1"/>
  <c r="AA48" i="1"/>
  <c r="W48" i="1"/>
  <c r="Q48" i="1"/>
  <c r="K48" i="1"/>
  <c r="I48" i="1"/>
  <c r="E48" i="1"/>
  <c r="C48" i="1"/>
  <c r="AB47" i="1"/>
  <c r="AB48" i="1" s="1"/>
  <c r="AA47" i="1"/>
  <c r="Z47" i="1"/>
  <c r="Z48" i="1" s="1"/>
  <c r="W47" i="1"/>
  <c r="T47" i="1"/>
  <c r="T48" i="1" s="1"/>
  <c r="R47" i="1"/>
  <c r="R48" i="1" s="1"/>
  <c r="L47" i="1"/>
  <c r="L48" i="1" s="1"/>
  <c r="K47" i="1"/>
  <c r="J47" i="1"/>
  <c r="J48" i="1" s="1"/>
  <c r="I47" i="1"/>
  <c r="H47" i="1"/>
  <c r="H48" i="1" s="1"/>
  <c r="E47" i="1"/>
  <c r="V46" i="1"/>
  <c r="T46" i="1"/>
  <c r="R46" i="1"/>
  <c r="Q46" i="1"/>
  <c r="N46" i="1"/>
  <c r="G46" i="1"/>
  <c r="P46" i="1" s="1"/>
  <c r="D46" i="1"/>
  <c r="AC45" i="1"/>
  <c r="V45" i="1"/>
  <c r="V47" i="1" s="1"/>
  <c r="V48" i="1" s="1"/>
  <c r="T45" i="1"/>
  <c r="R45" i="1"/>
  <c r="Q45" i="1"/>
  <c r="Q47" i="1" s="1"/>
  <c r="N45" i="1"/>
  <c r="N47" i="1" s="1"/>
  <c r="N48" i="1" s="1"/>
  <c r="G45" i="1"/>
  <c r="D45" i="1"/>
  <c r="F45" i="1" s="1"/>
  <c r="Y45" i="1" s="1"/>
  <c r="Z44" i="1"/>
  <c r="J44" i="1"/>
  <c r="H44" i="1"/>
  <c r="C44" i="1"/>
  <c r="AB43" i="1"/>
  <c r="AB44" i="1" s="1"/>
  <c r="AA43" i="1"/>
  <c r="Z43" i="1"/>
  <c r="W43" i="1"/>
  <c r="L43" i="1"/>
  <c r="L44" i="1" s="1"/>
  <c r="K43" i="1"/>
  <c r="J43" i="1"/>
  <c r="I43" i="1"/>
  <c r="I44" i="1" s="1"/>
  <c r="H43" i="1"/>
  <c r="G43" i="1"/>
  <c r="E43" i="1"/>
  <c r="D43" i="1"/>
  <c r="AC42" i="1"/>
  <c r="X42" i="1"/>
  <c r="V42" i="1"/>
  <c r="U42" i="1"/>
  <c r="T42" i="1"/>
  <c r="S42" i="1"/>
  <c r="R42" i="1"/>
  <c r="Q42" i="1"/>
  <c r="N42" i="1"/>
  <c r="M42" i="1"/>
  <c r="G42" i="1"/>
  <c r="P42" i="1" s="1"/>
  <c r="F42" i="1"/>
  <c r="Y42" i="1" s="1"/>
  <c r="D42" i="1"/>
  <c r="AC41" i="1"/>
  <c r="X41" i="1"/>
  <c r="V41" i="1"/>
  <c r="U41" i="1"/>
  <c r="T41" i="1"/>
  <c r="S41" i="1"/>
  <c r="R41" i="1"/>
  <c r="Q41" i="1"/>
  <c r="N41" i="1"/>
  <c r="G41" i="1"/>
  <c r="P41" i="1" s="1"/>
  <c r="F41" i="1"/>
  <c r="Y41" i="1" s="1"/>
  <c r="D41" i="1"/>
  <c r="AC40" i="1"/>
  <c r="X40" i="1"/>
  <c r="V40" i="1"/>
  <c r="U40" i="1"/>
  <c r="T40" i="1"/>
  <c r="S40" i="1"/>
  <c r="S43" i="1" s="1"/>
  <c r="R40" i="1"/>
  <c r="Q40" i="1"/>
  <c r="N40" i="1"/>
  <c r="M40" i="1"/>
  <c r="G40" i="1"/>
  <c r="P40" i="1" s="1"/>
  <c r="F40" i="1"/>
  <c r="Y40" i="1" s="1"/>
  <c r="D40" i="1"/>
  <c r="AC39" i="1"/>
  <c r="AC43" i="1" s="1"/>
  <c r="X39" i="1"/>
  <c r="V39" i="1"/>
  <c r="V43" i="1" s="1"/>
  <c r="U39" i="1"/>
  <c r="U43" i="1" s="1"/>
  <c r="T39" i="1"/>
  <c r="T43" i="1" s="1"/>
  <c r="S39" i="1"/>
  <c r="R39" i="1"/>
  <c r="R43" i="1" s="1"/>
  <c r="Q39" i="1"/>
  <c r="Q43" i="1" s="1"/>
  <c r="N39" i="1"/>
  <c r="N43" i="1" s="1"/>
  <c r="N44" i="1" s="1"/>
  <c r="G39" i="1"/>
  <c r="P39" i="1" s="1"/>
  <c r="F39" i="1"/>
  <c r="M39" i="1" s="1"/>
  <c r="D39" i="1"/>
  <c r="AB38" i="1"/>
  <c r="AA38" i="1"/>
  <c r="Z38" i="1"/>
  <c r="W38" i="1"/>
  <c r="T38" i="1"/>
  <c r="L38" i="1"/>
  <c r="K38" i="1"/>
  <c r="J38" i="1"/>
  <c r="I38" i="1"/>
  <c r="H38" i="1"/>
  <c r="E38" i="1"/>
  <c r="AC37" i="1"/>
  <c r="V37" i="1"/>
  <c r="T37" i="1"/>
  <c r="R37" i="1"/>
  <c r="Q37" i="1"/>
  <c r="N37" i="1"/>
  <c r="M37" i="1"/>
  <c r="F37" i="1"/>
  <c r="Y37" i="1" s="1"/>
  <c r="D37" i="1"/>
  <c r="G37" i="1" s="1"/>
  <c r="P37" i="1" s="1"/>
  <c r="AC36" i="1"/>
  <c r="AC38" i="1" s="1"/>
  <c r="V36" i="1"/>
  <c r="V38" i="1" s="1"/>
  <c r="U36" i="1"/>
  <c r="T36" i="1"/>
  <c r="R36" i="1"/>
  <c r="R38" i="1" s="1"/>
  <c r="R44" i="1" s="1"/>
  <c r="Q36" i="1"/>
  <c r="Q38" i="1" s="1"/>
  <c r="N36" i="1"/>
  <c r="N38" i="1" s="1"/>
  <c r="F36" i="1"/>
  <c r="D36" i="1"/>
  <c r="D38" i="1" s="1"/>
  <c r="AC35" i="1"/>
  <c r="AB35" i="1"/>
  <c r="AA35" i="1"/>
  <c r="Z35" i="1"/>
  <c r="W35" i="1"/>
  <c r="V35" i="1"/>
  <c r="R35" i="1"/>
  <c r="N35" i="1"/>
  <c r="L35" i="1"/>
  <c r="K35" i="1"/>
  <c r="J35" i="1"/>
  <c r="I35" i="1"/>
  <c r="H35" i="1"/>
  <c r="G35" i="1"/>
  <c r="E35" i="1"/>
  <c r="E44" i="1" s="1"/>
  <c r="AC34" i="1"/>
  <c r="X34" i="1"/>
  <c r="V34" i="1"/>
  <c r="U34" i="1"/>
  <c r="T34" i="1"/>
  <c r="S34" i="1"/>
  <c r="R34" i="1"/>
  <c r="Q34" i="1"/>
  <c r="N34" i="1"/>
  <c r="G34" i="1"/>
  <c r="P34" i="1" s="1"/>
  <c r="F34" i="1"/>
  <c r="Y34" i="1" s="1"/>
  <c r="D34" i="1"/>
  <c r="AC33" i="1"/>
  <c r="X33" i="1"/>
  <c r="X35" i="1" s="1"/>
  <c r="V33" i="1"/>
  <c r="U33" i="1"/>
  <c r="U35" i="1" s="1"/>
  <c r="T33" i="1"/>
  <c r="T35" i="1" s="1"/>
  <c r="S33" i="1"/>
  <c r="S35" i="1" s="1"/>
  <c r="R33" i="1"/>
  <c r="Q33" i="1"/>
  <c r="Q35" i="1" s="1"/>
  <c r="N33" i="1"/>
  <c r="M33" i="1"/>
  <c r="G33" i="1"/>
  <c r="P33" i="1" s="1"/>
  <c r="P35" i="1" s="1"/>
  <c r="F33" i="1"/>
  <c r="D33" i="1"/>
  <c r="D35" i="1" s="1"/>
  <c r="AB32" i="1"/>
  <c r="AA32" i="1"/>
  <c r="Z32" i="1"/>
  <c r="W32" i="1"/>
  <c r="L32" i="1"/>
  <c r="K32" i="1"/>
  <c r="J32" i="1"/>
  <c r="I32" i="1"/>
  <c r="H32" i="1"/>
  <c r="E32" i="1"/>
  <c r="AC31" i="1"/>
  <c r="V31" i="1"/>
  <c r="T31" i="1"/>
  <c r="R31" i="1"/>
  <c r="Q31" i="1"/>
  <c r="N31" i="1"/>
  <c r="F31" i="1"/>
  <c r="D31" i="1"/>
  <c r="G31" i="1" s="1"/>
  <c r="P31" i="1" s="1"/>
  <c r="V30" i="1"/>
  <c r="T30" i="1"/>
  <c r="R30" i="1"/>
  <c r="Q30" i="1"/>
  <c r="N30" i="1"/>
  <c r="D30" i="1"/>
  <c r="V29" i="1"/>
  <c r="V32" i="1" s="1"/>
  <c r="U29" i="1"/>
  <c r="T29" i="1"/>
  <c r="T32" i="1" s="1"/>
  <c r="R29" i="1"/>
  <c r="R32" i="1" s="1"/>
  <c r="Q29" i="1"/>
  <c r="Q32" i="1" s="1"/>
  <c r="N29" i="1"/>
  <c r="N32" i="1" s="1"/>
  <c r="F29" i="1"/>
  <c r="D29" i="1"/>
  <c r="Z28" i="1"/>
  <c r="L28" i="1"/>
  <c r="J28" i="1"/>
  <c r="H28" i="1"/>
  <c r="C28" i="1"/>
  <c r="AC27" i="1"/>
  <c r="AB27" i="1"/>
  <c r="AA27" i="1"/>
  <c r="Z27" i="1"/>
  <c r="W27" i="1"/>
  <c r="W28" i="1" s="1"/>
  <c r="V27" i="1"/>
  <c r="U27" i="1"/>
  <c r="R27" i="1"/>
  <c r="Q27" i="1"/>
  <c r="N27" i="1"/>
  <c r="L27" i="1"/>
  <c r="K27" i="1"/>
  <c r="K28" i="1" s="1"/>
  <c r="J27" i="1"/>
  <c r="I27" i="1"/>
  <c r="H27" i="1"/>
  <c r="G27" i="1"/>
  <c r="E27" i="1"/>
  <c r="AC26" i="1"/>
  <c r="X26" i="1"/>
  <c r="X27" i="1" s="1"/>
  <c r="V26" i="1"/>
  <c r="U26" i="1"/>
  <c r="T26" i="1"/>
  <c r="T27" i="1" s="1"/>
  <c r="S26" i="1"/>
  <c r="S27" i="1" s="1"/>
  <c r="R26" i="1"/>
  <c r="Q26" i="1"/>
  <c r="N26" i="1"/>
  <c r="M26" i="1"/>
  <c r="M27" i="1" s="1"/>
  <c r="G26" i="1"/>
  <c r="P26" i="1" s="1"/>
  <c r="P27" i="1" s="1"/>
  <c r="F26" i="1"/>
  <c r="D26" i="1"/>
  <c r="D27" i="1" s="1"/>
  <c r="D28" i="1" s="1"/>
  <c r="AB25" i="1"/>
  <c r="AA25" i="1"/>
  <c r="Z25" i="1"/>
  <c r="W25" i="1"/>
  <c r="T25" i="1"/>
  <c r="L25" i="1"/>
  <c r="K25" i="1"/>
  <c r="J25" i="1"/>
  <c r="I25" i="1"/>
  <c r="H25" i="1"/>
  <c r="E25" i="1"/>
  <c r="AC24" i="1"/>
  <c r="X24" i="1"/>
  <c r="V24" i="1"/>
  <c r="T24" i="1"/>
  <c r="S24" i="1"/>
  <c r="R24" i="1"/>
  <c r="Q24" i="1"/>
  <c r="N24" i="1"/>
  <c r="M24" i="1"/>
  <c r="F24" i="1"/>
  <c r="Y24" i="1" s="1"/>
  <c r="D24" i="1"/>
  <c r="G24" i="1" s="1"/>
  <c r="P24" i="1" s="1"/>
  <c r="AC23" i="1"/>
  <c r="AC25" i="1" s="1"/>
  <c r="V23" i="1"/>
  <c r="T23" i="1"/>
  <c r="R23" i="1"/>
  <c r="Q23" i="1"/>
  <c r="O23" i="1"/>
  <c r="N23" i="1"/>
  <c r="F23" i="1"/>
  <c r="Y23" i="1" s="1"/>
  <c r="D23" i="1"/>
  <c r="G23" i="1" s="1"/>
  <c r="P23" i="1" s="1"/>
  <c r="AC22" i="1"/>
  <c r="V22" i="1"/>
  <c r="V25" i="1" s="1"/>
  <c r="T22" i="1"/>
  <c r="R22" i="1"/>
  <c r="R25" i="1" s="1"/>
  <c r="Q22" i="1"/>
  <c r="Q25" i="1" s="1"/>
  <c r="N22" i="1"/>
  <c r="N25" i="1" s="1"/>
  <c r="F22" i="1"/>
  <c r="D22" i="1"/>
  <c r="D25" i="1" s="1"/>
  <c r="AB21" i="1"/>
  <c r="AA21" i="1"/>
  <c r="Z21" i="1"/>
  <c r="W21" i="1"/>
  <c r="V21" i="1"/>
  <c r="R21" i="1"/>
  <c r="Q21" i="1"/>
  <c r="N21" i="1"/>
  <c r="L21" i="1"/>
  <c r="K21" i="1"/>
  <c r="J21" i="1"/>
  <c r="I21" i="1"/>
  <c r="H21" i="1"/>
  <c r="G21" i="1"/>
  <c r="E21" i="1"/>
  <c r="AC20" i="1"/>
  <c r="AC21" i="1" s="1"/>
  <c r="X20" i="1"/>
  <c r="X21" i="1" s="1"/>
  <c r="V20" i="1"/>
  <c r="T20" i="1"/>
  <c r="T21" i="1" s="1"/>
  <c r="S20" i="1"/>
  <c r="S21" i="1" s="1"/>
  <c r="R20" i="1"/>
  <c r="Q20" i="1"/>
  <c r="N20" i="1"/>
  <c r="G20" i="1"/>
  <c r="P20" i="1" s="1"/>
  <c r="P21" i="1" s="1"/>
  <c r="F20" i="1"/>
  <c r="D20" i="1"/>
  <c r="D21" i="1" s="1"/>
  <c r="AB19" i="1"/>
  <c r="AA19" i="1"/>
  <c r="Z19" i="1"/>
  <c r="W19" i="1"/>
  <c r="T19" i="1"/>
  <c r="L19" i="1"/>
  <c r="K19" i="1"/>
  <c r="J19" i="1"/>
  <c r="I19" i="1"/>
  <c r="H19" i="1"/>
  <c r="E19" i="1"/>
  <c r="AC18" i="1"/>
  <c r="V18" i="1"/>
  <c r="T18" i="1"/>
  <c r="R18" i="1"/>
  <c r="Q18" i="1"/>
  <c r="N18" i="1"/>
  <c r="F18" i="1"/>
  <c r="D18" i="1"/>
  <c r="G18" i="1" s="1"/>
  <c r="P18" i="1" s="1"/>
  <c r="AC17" i="1"/>
  <c r="V17" i="1"/>
  <c r="U17" i="1"/>
  <c r="T17" i="1"/>
  <c r="R17" i="1"/>
  <c r="Q17" i="1"/>
  <c r="N17" i="1"/>
  <c r="M17" i="1"/>
  <c r="F17" i="1"/>
  <c r="D17" i="1"/>
  <c r="G17" i="1" s="1"/>
  <c r="P17" i="1" s="1"/>
  <c r="AC16" i="1"/>
  <c r="X16" i="1"/>
  <c r="V16" i="1"/>
  <c r="V19" i="1" s="1"/>
  <c r="T16" i="1"/>
  <c r="S16" i="1"/>
  <c r="R16" i="1"/>
  <c r="R19" i="1" s="1"/>
  <c r="R28" i="1" s="1"/>
  <c r="Q16" i="1"/>
  <c r="N16" i="1"/>
  <c r="N19" i="1" s="1"/>
  <c r="M16" i="1"/>
  <c r="F16" i="1"/>
  <c r="D16" i="1"/>
  <c r="D19" i="1" s="1"/>
  <c r="AA15" i="1"/>
  <c r="W15" i="1"/>
  <c r="K15" i="1"/>
  <c r="I15" i="1"/>
  <c r="E15" i="1"/>
  <c r="C15" i="1"/>
  <c r="AB14" i="1"/>
  <c r="AA14" i="1"/>
  <c r="Z14" i="1"/>
  <c r="Z15" i="1" s="1"/>
  <c r="W14" i="1"/>
  <c r="T14" i="1"/>
  <c r="Q14" i="1"/>
  <c r="N14" i="1"/>
  <c r="L14" i="1"/>
  <c r="K14" i="1"/>
  <c r="J14" i="1"/>
  <c r="I14" i="1"/>
  <c r="H14" i="1"/>
  <c r="E14" i="1"/>
  <c r="V13" i="1"/>
  <c r="V14" i="1" s="1"/>
  <c r="T13" i="1"/>
  <c r="R13" i="1"/>
  <c r="R14" i="1" s="1"/>
  <c r="R15" i="1" s="1"/>
  <c r="Q13" i="1"/>
  <c r="N13" i="1"/>
  <c r="D13" i="1"/>
  <c r="AB12" i="1"/>
  <c r="AA12" i="1"/>
  <c r="Z12" i="1"/>
  <c r="W12" i="1"/>
  <c r="T12" i="1"/>
  <c r="R12" i="1"/>
  <c r="L12" i="1"/>
  <c r="K12" i="1"/>
  <c r="J12" i="1"/>
  <c r="I12" i="1"/>
  <c r="H12" i="1"/>
  <c r="E12" i="1"/>
  <c r="V11" i="1"/>
  <c r="V12" i="1" s="1"/>
  <c r="T11" i="1"/>
  <c r="R11" i="1"/>
  <c r="Q11" i="1"/>
  <c r="Q12" i="1" s="1"/>
  <c r="Q15" i="1" s="1"/>
  <c r="N11" i="1"/>
  <c r="N12" i="1" s="1"/>
  <c r="D11" i="1"/>
  <c r="AB10" i="1"/>
  <c r="AA10" i="1"/>
  <c r="Z10" i="1"/>
  <c r="W10" i="1"/>
  <c r="R10" i="1"/>
  <c r="Q10" i="1"/>
  <c r="L10" i="1"/>
  <c r="K10" i="1"/>
  <c r="J10" i="1"/>
  <c r="I10" i="1"/>
  <c r="H10" i="1"/>
  <c r="E10" i="1"/>
  <c r="V9" i="1"/>
  <c r="V10" i="1" s="1"/>
  <c r="T9" i="1"/>
  <c r="T10" i="1" s="1"/>
  <c r="R9" i="1"/>
  <c r="Q9" i="1"/>
  <c r="N9" i="1"/>
  <c r="N10" i="1" s="1"/>
  <c r="D9" i="1"/>
  <c r="AB8" i="1"/>
  <c r="AA8" i="1"/>
  <c r="Z8" i="1"/>
  <c r="W8" i="1"/>
  <c r="V8" i="1"/>
  <c r="R8" i="1"/>
  <c r="L8" i="1"/>
  <c r="K8" i="1"/>
  <c r="J8" i="1"/>
  <c r="I8" i="1"/>
  <c r="H8" i="1"/>
  <c r="E8" i="1"/>
  <c r="D8" i="1"/>
  <c r="V7" i="1"/>
  <c r="T7" i="1"/>
  <c r="T8" i="1" s="1"/>
  <c r="R7" i="1"/>
  <c r="Q7" i="1"/>
  <c r="Q8" i="1" s="1"/>
  <c r="N7" i="1"/>
  <c r="N8" i="1" s="1"/>
  <c r="D7" i="1"/>
  <c r="AC28" i="1" l="1"/>
  <c r="F9" i="1"/>
  <c r="AC9" i="1"/>
  <c r="AC10" i="1" s="1"/>
  <c r="D10" i="1"/>
  <c r="G9" i="1"/>
  <c r="F13" i="1"/>
  <c r="AC13" i="1"/>
  <c r="AC14" i="1" s="1"/>
  <c r="D14" i="1"/>
  <c r="Y18" i="1"/>
  <c r="X18" i="1"/>
  <c r="X19" i="1" s="1"/>
  <c r="S18" i="1"/>
  <c r="M18" i="1"/>
  <c r="M19" i="1" s="1"/>
  <c r="G13" i="1"/>
  <c r="F25" i="1"/>
  <c r="Y22" i="1"/>
  <c r="Y25" i="1" s="1"/>
  <c r="X22" i="1"/>
  <c r="S22" i="1"/>
  <c r="M22" i="1"/>
  <c r="M25" i="1" s="1"/>
  <c r="AC11" i="1"/>
  <c r="AC12" i="1" s="1"/>
  <c r="F11" i="1"/>
  <c r="D12" i="1"/>
  <c r="G11" i="1"/>
  <c r="V15" i="1"/>
  <c r="H15" i="1"/>
  <c r="L15" i="1"/>
  <c r="T15" i="1"/>
  <c r="Q19" i="1"/>
  <c r="Q28" i="1" s="1"/>
  <c r="Q69" i="1" s="1"/>
  <c r="Y17" i="1"/>
  <c r="O17" i="1"/>
  <c r="X17" i="1"/>
  <c r="S17" i="1"/>
  <c r="S19" i="1" s="1"/>
  <c r="AC19" i="1"/>
  <c r="O18" i="1"/>
  <c r="U18" i="1"/>
  <c r="N28" i="1"/>
  <c r="N69" i="1" s="1"/>
  <c r="U22" i="1"/>
  <c r="C69" i="1"/>
  <c r="F7" i="1"/>
  <c r="G7" i="1"/>
  <c r="AC7" i="1"/>
  <c r="AC8" i="1" s="1"/>
  <c r="N15" i="1"/>
  <c r="F21" i="1"/>
  <c r="Y20" i="1"/>
  <c r="Y21" i="1" s="1"/>
  <c r="O20" i="1"/>
  <c r="O21" i="1" s="1"/>
  <c r="U23" i="1"/>
  <c r="O24" i="1"/>
  <c r="V28" i="1"/>
  <c r="AA28" i="1"/>
  <c r="Y31" i="1"/>
  <c r="M31" i="1"/>
  <c r="O31" i="1"/>
  <c r="S31" i="1"/>
  <c r="X31" i="1"/>
  <c r="O37" i="1"/>
  <c r="Q44" i="1"/>
  <c r="K44" i="1"/>
  <c r="Y50" i="1"/>
  <c r="X50" i="1"/>
  <c r="S50" i="1"/>
  <c r="U50" i="1"/>
  <c r="O50" i="1"/>
  <c r="O54" i="1"/>
  <c r="O58" i="1"/>
  <c r="J15" i="1"/>
  <c r="U20" i="1"/>
  <c r="U21" i="1" s="1"/>
  <c r="M23" i="1"/>
  <c r="U24" i="1"/>
  <c r="F27" i="1"/>
  <c r="Y26" i="1"/>
  <c r="Y27" i="1" s="1"/>
  <c r="O26" i="1"/>
  <c r="O27" i="1" s="1"/>
  <c r="T28" i="1"/>
  <c r="I28" i="1"/>
  <c r="Y29" i="1"/>
  <c r="M29" i="1"/>
  <c r="S29" i="1"/>
  <c r="X29" i="1"/>
  <c r="M35" i="1"/>
  <c r="R69" i="1"/>
  <c r="AB15" i="1"/>
  <c r="F19" i="1"/>
  <c r="Y16" i="1"/>
  <c r="Y19" i="1" s="1"/>
  <c r="U16" i="1"/>
  <c r="M20" i="1"/>
  <c r="M21" i="1" s="1"/>
  <c r="S23" i="1"/>
  <c r="X23" i="1"/>
  <c r="E28" i="1"/>
  <c r="E69" i="1" s="1"/>
  <c r="G30" i="1"/>
  <c r="P30" i="1" s="1"/>
  <c r="F30" i="1"/>
  <c r="AC30" i="1"/>
  <c r="U31" i="1"/>
  <c r="F38" i="1"/>
  <c r="Y36" i="1"/>
  <c r="Y38" i="1" s="1"/>
  <c r="M36" i="1"/>
  <c r="M38" i="1" s="1"/>
  <c r="S36" i="1"/>
  <c r="X36" i="1"/>
  <c r="X38" i="1" s="1"/>
  <c r="P43" i="1"/>
  <c r="X43" i="1"/>
  <c r="M50" i="1"/>
  <c r="M51" i="1" s="1"/>
  <c r="Y53" i="1"/>
  <c r="O53" i="1"/>
  <c r="M53" i="1"/>
  <c r="S53" i="1"/>
  <c r="X53" i="1"/>
  <c r="X62" i="1" s="1"/>
  <c r="Y57" i="1"/>
  <c r="O57" i="1"/>
  <c r="M57" i="1"/>
  <c r="S57" i="1"/>
  <c r="X57" i="1"/>
  <c r="Y61" i="1"/>
  <c r="O61" i="1"/>
  <c r="M61" i="1"/>
  <c r="S61" i="1"/>
  <c r="X61" i="1"/>
  <c r="J69" i="1"/>
  <c r="G16" i="1"/>
  <c r="O16" i="1" s="1"/>
  <c r="O19" i="1" s="1"/>
  <c r="G22" i="1"/>
  <c r="AB28" i="1"/>
  <c r="F35" i="1"/>
  <c r="Y33" i="1"/>
  <c r="Y35" i="1" s="1"/>
  <c r="O33" i="1"/>
  <c r="M34" i="1"/>
  <c r="S37" i="1"/>
  <c r="X37" i="1"/>
  <c r="V44" i="1"/>
  <c r="V69" i="1" s="1"/>
  <c r="O40" i="1"/>
  <c r="M41" i="1"/>
  <c r="M43" i="1" s="1"/>
  <c r="O42" i="1"/>
  <c r="O56" i="1"/>
  <c r="O60" i="1"/>
  <c r="T68" i="1"/>
  <c r="AC68" i="1"/>
  <c r="D32" i="1"/>
  <c r="D44" i="1" s="1"/>
  <c r="G29" i="1"/>
  <c r="AC29" i="1"/>
  <c r="O34" i="1"/>
  <c r="U37" i="1"/>
  <c r="U38" i="1" s="1"/>
  <c r="F43" i="1"/>
  <c r="Y39" i="1"/>
  <c r="Y43" i="1" s="1"/>
  <c r="O39" i="1"/>
  <c r="T44" i="1"/>
  <c r="O41" i="1"/>
  <c r="G47" i="1"/>
  <c r="G48" i="1" s="1"/>
  <c r="P45" i="1"/>
  <c r="P47" i="1" s="1"/>
  <c r="P48" i="1" s="1"/>
  <c r="F51" i="1"/>
  <c r="Y49" i="1"/>
  <c r="Y51" i="1" s="1"/>
  <c r="U49" i="1"/>
  <c r="U51" i="1" s="1"/>
  <c r="X49" i="1"/>
  <c r="S49" i="1"/>
  <c r="O49" i="1"/>
  <c r="O51" i="1" s="1"/>
  <c r="Y55" i="1"/>
  <c r="M55" i="1"/>
  <c r="M62" i="1" s="1"/>
  <c r="O55" i="1"/>
  <c r="S55" i="1"/>
  <c r="X55" i="1"/>
  <c r="Y59" i="1"/>
  <c r="M59" i="1"/>
  <c r="O59" i="1"/>
  <c r="S59" i="1"/>
  <c r="X59" i="1"/>
  <c r="M67" i="1"/>
  <c r="W68" i="1"/>
  <c r="Z69" i="1"/>
  <c r="G36" i="1"/>
  <c r="M45" i="1"/>
  <c r="D47" i="1"/>
  <c r="D48" i="1" s="1"/>
  <c r="S52" i="1"/>
  <c r="U54" i="1"/>
  <c r="S56" i="1"/>
  <c r="X56" i="1"/>
  <c r="U58" i="1"/>
  <c r="S60" i="1"/>
  <c r="X60" i="1"/>
  <c r="O64" i="1"/>
  <c r="M65" i="1"/>
  <c r="O66" i="1"/>
  <c r="I68" i="1"/>
  <c r="I69" i="1" s="1"/>
  <c r="AA68" i="1"/>
  <c r="L69" i="1"/>
  <c r="AB69" i="1"/>
  <c r="W44" i="1"/>
  <c r="AA44" i="1"/>
  <c r="X45" i="1"/>
  <c r="S45" i="1"/>
  <c r="O45" i="1"/>
  <c r="U45" i="1"/>
  <c r="AC46" i="1"/>
  <c r="AC47" i="1" s="1"/>
  <c r="AC48" i="1" s="1"/>
  <c r="F46" i="1"/>
  <c r="F47" i="1"/>
  <c r="F48" i="1" s="1"/>
  <c r="F62" i="1"/>
  <c r="Y52" i="1"/>
  <c r="U52" i="1"/>
  <c r="U56" i="1"/>
  <c r="U60" i="1"/>
  <c r="F67" i="1"/>
  <c r="Y63" i="1"/>
  <c r="Y67" i="1" s="1"/>
  <c r="O63" i="1"/>
  <c r="O67" i="1" s="1"/>
  <c r="M64" i="1"/>
  <c r="O65" i="1"/>
  <c r="M66" i="1"/>
  <c r="K68" i="1"/>
  <c r="K69" i="1" s="1"/>
  <c r="H69" i="1"/>
  <c r="G52" i="1"/>
  <c r="M28" i="1" l="1"/>
  <c r="U44" i="1"/>
  <c r="X68" i="1"/>
  <c r="M68" i="1"/>
  <c r="X9" i="1"/>
  <c r="X10" i="1" s="1"/>
  <c r="S9" i="1"/>
  <c r="S10" i="1" s="1"/>
  <c r="O9" i="1"/>
  <c r="O10" i="1" s="1"/>
  <c r="U9" i="1"/>
  <c r="U10" i="1" s="1"/>
  <c r="M9" i="1"/>
  <c r="M10" i="1" s="1"/>
  <c r="Y9" i="1"/>
  <c r="Y10" i="1" s="1"/>
  <c r="F10" i="1"/>
  <c r="U62" i="1"/>
  <c r="U68" i="1" s="1"/>
  <c r="U46" i="1"/>
  <c r="U47" i="1" s="1"/>
  <c r="U48" i="1" s="1"/>
  <c r="X46" i="1"/>
  <c r="X47" i="1" s="1"/>
  <c r="X48" i="1" s="1"/>
  <c r="S46" i="1"/>
  <c r="O46" i="1"/>
  <c r="M46" i="1"/>
  <c r="M47" i="1" s="1"/>
  <c r="M48" i="1" s="1"/>
  <c r="Y46" i="1"/>
  <c r="Y47" i="1" s="1"/>
  <c r="Y48" i="1" s="1"/>
  <c r="S51" i="1"/>
  <c r="Y30" i="1"/>
  <c r="X30" i="1"/>
  <c r="S30" i="1"/>
  <c r="S32" i="1" s="1"/>
  <c r="U30" i="1"/>
  <c r="U32" i="1" s="1"/>
  <c r="O30" i="1"/>
  <c r="M30" i="1"/>
  <c r="X32" i="1"/>
  <c r="X44" i="1" s="1"/>
  <c r="Y32" i="1"/>
  <c r="P7" i="1"/>
  <c r="P8" i="1" s="1"/>
  <c r="G8" i="1"/>
  <c r="S25" i="1"/>
  <c r="S28" i="1" s="1"/>
  <c r="G10" i="1"/>
  <c r="P9" i="1"/>
  <c r="P10" i="1" s="1"/>
  <c r="F68" i="1"/>
  <c r="Y62" i="1"/>
  <c r="Y68" i="1" s="1"/>
  <c r="S62" i="1"/>
  <c r="X51" i="1"/>
  <c r="O43" i="1"/>
  <c r="O44" i="1" s="1"/>
  <c r="O35" i="1"/>
  <c r="P22" i="1"/>
  <c r="P25" i="1" s="1"/>
  <c r="G25" i="1"/>
  <c r="S38" i="1"/>
  <c r="F32" i="1"/>
  <c r="F44" i="1" s="1"/>
  <c r="Y28" i="1"/>
  <c r="X7" i="1"/>
  <c r="X8" i="1" s="1"/>
  <c r="S7" i="1"/>
  <c r="S8" i="1" s="1"/>
  <c r="O7" i="1"/>
  <c r="O8" i="1" s="1"/>
  <c r="F8" i="1"/>
  <c r="Y7" i="1"/>
  <c r="Y8" i="1" s="1"/>
  <c r="M7" i="1"/>
  <c r="M8" i="1" s="1"/>
  <c r="U7" i="1"/>
  <c r="U8" i="1" s="1"/>
  <c r="X25" i="1"/>
  <c r="X28" i="1" s="1"/>
  <c r="G14" i="1"/>
  <c r="P13" i="1"/>
  <c r="P14" i="1" s="1"/>
  <c r="D15" i="1"/>
  <c r="D69" i="1" s="1"/>
  <c r="O68" i="1"/>
  <c r="O47" i="1"/>
  <c r="O48" i="1" s="1"/>
  <c r="P29" i="1"/>
  <c r="P32" i="1" s="1"/>
  <c r="G32" i="1"/>
  <c r="O29" i="1"/>
  <c r="O32" i="1" s="1"/>
  <c r="X13" i="1"/>
  <c r="X14" i="1" s="1"/>
  <c r="X15" i="1" s="1"/>
  <c r="S13" i="1"/>
  <c r="S14" i="1" s="1"/>
  <c r="O13" i="1"/>
  <c r="O14" i="1" s="1"/>
  <c r="U13" i="1"/>
  <c r="U14" i="1" s="1"/>
  <c r="M13" i="1"/>
  <c r="M14" i="1" s="1"/>
  <c r="F14" i="1"/>
  <c r="Y13" i="1"/>
  <c r="Y14" i="1" s="1"/>
  <c r="P52" i="1"/>
  <c r="P62" i="1" s="1"/>
  <c r="P68" i="1" s="1"/>
  <c r="G62" i="1"/>
  <c r="G68" i="1" s="1"/>
  <c r="O52" i="1"/>
  <c r="O62" i="1" s="1"/>
  <c r="S47" i="1"/>
  <c r="S48" i="1" s="1"/>
  <c r="P36" i="1"/>
  <c r="P38" i="1" s="1"/>
  <c r="P44" i="1" s="1"/>
  <c r="G38" i="1"/>
  <c r="G12" i="1"/>
  <c r="P11" i="1"/>
  <c r="P12" i="1" s="1"/>
  <c r="AA69" i="1"/>
  <c r="W69" i="1"/>
  <c r="Y44" i="1"/>
  <c r="AC32" i="1"/>
  <c r="AC44" i="1" s="1"/>
  <c r="AC69" i="1" s="1"/>
  <c r="T69" i="1"/>
  <c r="P16" i="1"/>
  <c r="P19" i="1" s="1"/>
  <c r="G19" i="1"/>
  <c r="O36" i="1"/>
  <c r="O38" i="1" s="1"/>
  <c r="U19" i="1"/>
  <c r="M32" i="1"/>
  <c r="M44" i="1" s="1"/>
  <c r="F28" i="1"/>
  <c r="U25" i="1"/>
  <c r="U11" i="1"/>
  <c r="U12" i="1" s="1"/>
  <c r="M11" i="1"/>
  <c r="M12" i="1" s="1"/>
  <c r="X11" i="1"/>
  <c r="X12" i="1" s="1"/>
  <c r="S11" i="1"/>
  <c r="S12" i="1" s="1"/>
  <c r="O11" i="1"/>
  <c r="O12" i="1" s="1"/>
  <c r="F12" i="1"/>
  <c r="Y11" i="1"/>
  <c r="Y12" i="1" s="1"/>
  <c r="O22" i="1"/>
  <c r="O25" i="1" s="1"/>
  <c r="O28" i="1" s="1"/>
  <c r="AC15" i="1"/>
  <c r="G28" i="1" l="1"/>
  <c r="U28" i="1"/>
  <c r="Y15" i="1"/>
  <c r="Y69" i="1" s="1"/>
  <c r="O15" i="1"/>
  <c r="O69" i="1" s="1"/>
  <c r="P15" i="1"/>
  <c r="S68" i="1"/>
  <c r="U69" i="1"/>
  <c r="M15" i="1"/>
  <c r="M69" i="1" s="1"/>
  <c r="X69" i="1"/>
  <c r="U15" i="1"/>
  <c r="P28" i="1"/>
  <c r="P69" i="1" s="1"/>
  <c r="G44" i="1"/>
  <c r="G69" i="1" s="1"/>
  <c r="F15" i="1"/>
  <c r="F69" i="1" s="1"/>
  <c r="S15" i="1"/>
  <c r="G15" i="1"/>
  <c r="S44" i="1"/>
  <c r="S69" i="1" l="1"/>
</calcChain>
</file>

<file path=xl/sharedStrings.xml><?xml version="1.0" encoding="utf-8"?>
<sst xmlns="http://schemas.openxmlformats.org/spreadsheetml/2006/main" count="175" uniqueCount="114">
  <si>
    <t>OUTILS DE GESTION TMN 2014_3eme passage</t>
  </si>
  <si>
    <t>PLAN DE COLISAGE A L'IMPRIMERIE</t>
  </si>
  <si>
    <t>DIVERS OUTILS A REPRODUIRE</t>
  </si>
  <si>
    <t>DESTINATION</t>
  </si>
  <si>
    <t xml:space="preserve">Nbre de Zone de santé 
</t>
  </si>
  <si>
    <t>POPULATION CIBLE/FAP</t>
  </si>
  <si>
    <t>Total Mat. à louer</t>
  </si>
  <si>
    <t>Nbre Equipe</t>
  </si>
  <si>
    <t>Nbre Sup</t>
  </si>
  <si>
    <t>Canevas AS</t>
  </si>
  <si>
    <t>Canevas ZS</t>
  </si>
  <si>
    <t>Canevas Synth</t>
  </si>
  <si>
    <t>Normes camp.</t>
  </si>
  <si>
    <t xml:space="preserve">Fiches Pointage
</t>
  </si>
  <si>
    <t>Rapport synthese ZS</t>
  </si>
  <si>
    <t>Fiche collation</t>
  </si>
  <si>
    <t>Fiche de supervision</t>
  </si>
  <si>
    <t xml:space="preserve">PV reception fonds </t>
  </si>
  <si>
    <t>Facture</t>
  </si>
  <si>
    <t>Contrat de location</t>
  </si>
  <si>
    <t>Fiche de gestion des intrants</t>
  </si>
  <si>
    <t>Fiche de destruction</t>
  </si>
  <si>
    <t>Fiche synthese resultat AS</t>
  </si>
  <si>
    <t>Fiche synthese resultat ZS</t>
  </si>
  <si>
    <t>Aide memoire Mobilisateur et media</t>
  </si>
  <si>
    <t>Aide memoire Vaccinateur</t>
  </si>
  <si>
    <t>Formulaire enquête</t>
  </si>
  <si>
    <t>Fiche de monitorage</t>
  </si>
  <si>
    <t>Fiche de MAPI</t>
  </si>
  <si>
    <t>Jeton de vaccination</t>
  </si>
  <si>
    <t>Bandundu</t>
  </si>
  <si>
    <t xml:space="preserve"> Bandundu</t>
  </si>
  <si>
    <t>Nioki</t>
  </si>
  <si>
    <t>ANTENNE PEV BANDUNDU</t>
  </si>
  <si>
    <t>Kahemba</t>
  </si>
  <si>
    <t>Kajiji</t>
  </si>
  <si>
    <t>ANTENNE PEV  KAHEMBA</t>
  </si>
  <si>
    <t>Kenge</t>
  </si>
  <si>
    <t>Kimbau</t>
  </si>
  <si>
    <t>ANTENNE PEV KENGE</t>
  </si>
  <si>
    <t>Kikwit</t>
  </si>
  <si>
    <t>Mosango</t>
  </si>
  <si>
    <t>ANTENNE PEV  KIKWIT</t>
  </si>
  <si>
    <t>TOTAL BANDUNDU</t>
  </si>
  <si>
    <t>Equateur</t>
  </si>
  <si>
    <t>Boende</t>
  </si>
  <si>
    <t>Lingomo</t>
  </si>
  <si>
    <t>Monkoto</t>
  </si>
  <si>
    <t>Wema</t>
  </si>
  <si>
    <t>ANTENNE PEV BOENDE</t>
  </si>
  <si>
    <t>Gbadolite</t>
  </si>
  <si>
    <t>Bosobolo</t>
  </si>
  <si>
    <t>ANTENNE PEV  GBADOLITE</t>
  </si>
  <si>
    <t>Gemena</t>
  </si>
  <si>
    <t>Bulu</t>
  </si>
  <si>
    <t>Mawuya</t>
  </si>
  <si>
    <t>Ndage</t>
  </si>
  <si>
    <t>ANTENNE PEV GEMENA</t>
  </si>
  <si>
    <t>Mbandaka</t>
  </si>
  <si>
    <t>Iboko</t>
  </si>
  <si>
    <t>ANTENNE PEV MBANDAKA</t>
  </si>
  <si>
    <t>TOTAL EQUATEUR</t>
  </si>
  <si>
    <t>Kasai-Occidental</t>
  </si>
  <si>
    <t>Kananga</t>
  </si>
  <si>
    <t>Katende</t>
  </si>
  <si>
    <t>Lubunga KOC</t>
  </si>
  <si>
    <t>Ndekesha</t>
  </si>
  <si>
    <t xml:space="preserve"> ANTENNE  PEV KANANGA</t>
  </si>
  <si>
    <t>Luiza</t>
  </si>
  <si>
    <t>Kalomba</t>
  </si>
  <si>
    <t>Masuika</t>
  </si>
  <si>
    <t>ANTENNE PEV  LUIZA</t>
  </si>
  <si>
    <t>Mweka</t>
  </si>
  <si>
    <t>Dekese</t>
  </si>
  <si>
    <t>Ndjoku Punda</t>
  </si>
  <si>
    <t>ANTENNE PEV MWEKA</t>
  </si>
  <si>
    <t>Tshikapa</t>
  </si>
  <si>
    <t>Banga Lubaka</t>
  </si>
  <si>
    <t>Kamuesha</t>
  </si>
  <si>
    <t>Kitangwa</t>
  </si>
  <si>
    <t>Nyanga</t>
  </si>
  <si>
    <t>ANTENNE PEV  TSHIKAPA</t>
  </si>
  <si>
    <t>TOTAL KASAI OCCIENTAL</t>
  </si>
  <si>
    <t>Katanga</t>
  </si>
  <si>
    <t>Kalemie</t>
  </si>
  <si>
    <t>Kiambi</t>
  </si>
  <si>
    <t>Moba</t>
  </si>
  <si>
    <t>ANTENNE PEV  KALEMIE</t>
  </si>
  <si>
    <t>TOTAL KATANGA</t>
  </si>
  <si>
    <t>Oriental</t>
  </si>
  <si>
    <t>Aru</t>
  </si>
  <si>
    <t>Adja</t>
  </si>
  <si>
    <t>Logo</t>
  </si>
  <si>
    <t>ANTENNE PEV ARU</t>
  </si>
  <si>
    <t>Bunia</t>
  </si>
  <si>
    <t>Damas</t>
  </si>
  <si>
    <t>Fataki</t>
  </si>
  <si>
    <t>Jiba</t>
  </si>
  <si>
    <t>Kilo</t>
  </si>
  <si>
    <t>Linga</t>
  </si>
  <si>
    <t>Lita</t>
  </si>
  <si>
    <t>Mangala</t>
  </si>
  <si>
    <t>Nia-Nia</t>
  </si>
  <si>
    <t>Nizi</t>
  </si>
  <si>
    <t>Rethy</t>
  </si>
  <si>
    <t>ANTENNE PEV  BUNIA</t>
  </si>
  <si>
    <t>Isiro</t>
  </si>
  <si>
    <t>Dungu</t>
  </si>
  <si>
    <t>Gombari</t>
  </si>
  <si>
    <t>Wamba</t>
  </si>
  <si>
    <t>Watsa</t>
  </si>
  <si>
    <t>ANTENNE PEV ISIRO</t>
  </si>
  <si>
    <t>TOTAL ORIENTAL</t>
  </si>
  <si>
    <t>TOTAL GENERAL 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</si>
</sst>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Times New Roman"/>
      <family val="2"/>
    </font>
    <font>
      <b/>
      <sz val="10"/>
      <color rgb="FF0070C0"/>
      <name val="Arial"/>
      <family val="2"/>
    </font>
    <font>
      <b/>
      <sz val="12"/>
      <name val="Arial"/>
      <family val="2"/>
    </font>
    <font>
      <b/>
      <sz val="12"/>
      <color rgb="FF002060"/>
      <name val="Arial"/>
      <family val="2"/>
    </font>
    <font>
      <b/>
      <sz val="10"/>
      <color theme="5"/>
      <name val="Arial"/>
      <family val="2"/>
    </font>
    <font>
      <b/>
      <sz val="18"/>
      <color theme="5"/>
      <name val="Arial"/>
      <family val="2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b/>
      <sz val="10"/>
      <color theme="0"/>
      <name val="Calibri"/>
      <family val="2"/>
      <scheme val="minor"/>
    </font>
    <font>
      <sz val="8"/>
      <color rgb="FF002060"/>
      <name val="Arial"/>
      <family val="2"/>
    </font>
    <font>
      <sz val="9"/>
      <color rgb="FF002060"/>
      <name val="Arial"/>
      <family val="2"/>
    </font>
    <font>
      <sz val="9"/>
      <color indexed="8"/>
      <name val="Arial"/>
      <family val="2"/>
    </font>
    <font>
      <b/>
      <sz val="8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8" tint="-0.249977111117893"/>
      <name val="Arial"/>
      <family val="2"/>
    </font>
    <font>
      <b/>
      <sz val="9"/>
      <name val="Arial"/>
      <family val="2"/>
    </font>
    <font>
      <b/>
      <sz val="10"/>
      <color rgb="FF00206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/>
      <bottom style="thin">
        <color indexed="64"/>
      </bottom>
      <diagonal/>
    </border>
    <border>
      <left/>
      <right style="thin">
        <color theme="5" tint="-0.24997711111789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77111117893"/>
      </right>
      <top style="thin">
        <color indexed="64"/>
      </top>
      <bottom/>
      <diagonal/>
    </border>
    <border>
      <left/>
      <right style="thin">
        <color theme="5" tint="-0.249977111117893"/>
      </right>
      <top style="thin">
        <color indexed="64"/>
      </top>
      <bottom/>
      <diagonal/>
    </border>
    <border>
      <left style="thin">
        <color theme="5"/>
      </left>
      <right/>
      <top style="thin">
        <color theme="5" tint="-0.249977111117893"/>
      </top>
      <bottom style="thin">
        <color theme="5"/>
      </bottom>
      <diagonal/>
    </border>
    <border>
      <left/>
      <right style="thin">
        <color theme="5"/>
      </right>
      <top style="thin">
        <color theme="5" tint="-0.249977111117893"/>
      </top>
      <bottom style="thin">
        <color theme="5"/>
      </bottom>
      <diagonal/>
    </border>
    <border>
      <left style="thin">
        <color theme="5"/>
      </left>
      <right style="thin">
        <color indexed="64"/>
      </right>
      <top style="thin">
        <color theme="5" tint="-0.249977111117893"/>
      </top>
      <bottom style="thin">
        <color theme="5"/>
      </bottom>
      <diagonal/>
    </border>
    <border>
      <left style="thin">
        <color indexed="64"/>
      </left>
      <right/>
      <top style="thin">
        <color theme="5" tint="-0.249977111117893"/>
      </top>
      <bottom style="thin">
        <color theme="5"/>
      </bottom>
      <diagonal/>
    </border>
    <border>
      <left style="thin">
        <color theme="5" tint="-0.249977111117893"/>
      </left>
      <right style="thin">
        <color indexed="64"/>
      </right>
      <top style="thin">
        <color theme="5" tint="-0.249977111117893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theme="5" tint="-0.249977111117893"/>
      </top>
      <bottom style="thin">
        <color theme="5"/>
      </bottom>
      <diagonal/>
    </border>
    <border>
      <left style="thin">
        <color theme="5" tint="-0.249977111117893"/>
      </left>
      <right style="thin">
        <color indexed="64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/>
      </top>
      <bottom style="thin">
        <color indexed="64"/>
      </bottom>
      <diagonal/>
    </border>
    <border>
      <left style="thin">
        <color theme="5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indexed="64"/>
      </top>
      <bottom style="thin">
        <color theme="5"/>
      </bottom>
      <diagonal/>
    </border>
    <border>
      <left/>
      <right style="thin">
        <color theme="5"/>
      </right>
      <top style="thin">
        <color indexed="64"/>
      </top>
      <bottom style="thin">
        <color theme="5"/>
      </bottom>
      <diagonal/>
    </border>
    <border>
      <left/>
      <right style="thin">
        <color indexed="64"/>
      </right>
      <top style="thin">
        <color indexed="64"/>
      </top>
      <bottom style="thin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theme="5"/>
      </bottom>
      <diagonal/>
    </border>
    <border>
      <left style="thin">
        <color theme="5" tint="-0.249977111117893"/>
      </left>
      <right style="thin">
        <color indexed="64"/>
      </right>
      <top style="thin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/>
      </bottom>
      <diagonal/>
    </border>
    <border>
      <left style="thin">
        <color indexed="64"/>
      </left>
      <right style="thin">
        <color theme="5" tint="-0.249977111117893"/>
      </right>
      <top style="thin">
        <color indexed="64"/>
      </top>
      <bottom style="thin">
        <color theme="5"/>
      </bottom>
      <diagonal/>
    </border>
    <border>
      <left/>
      <right style="thin">
        <color theme="5" tint="-0.249977111117893"/>
      </right>
      <top style="thin">
        <color indexed="64"/>
      </top>
      <bottom style="thin">
        <color theme="5"/>
      </bottom>
      <diagonal/>
    </border>
    <border>
      <left/>
      <right style="thin">
        <color theme="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 style="thin">
        <color indexed="64"/>
      </top>
      <bottom style="thin">
        <color theme="5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5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5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indexed="64"/>
      </right>
      <top style="thin">
        <color indexed="64"/>
      </top>
      <bottom style="thin">
        <color theme="5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-0.249977111117893"/>
      </left>
      <right style="thin">
        <color indexed="64"/>
      </right>
      <top style="thin">
        <color indexed="64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5" tint="-0.249977111117893"/>
      </top>
      <bottom style="thin">
        <color indexed="64"/>
      </bottom>
      <diagonal/>
    </border>
    <border>
      <left/>
      <right/>
      <top style="thin">
        <color theme="5" tint="-0.249977111117893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indexed="64"/>
      </bottom>
      <diagonal/>
    </border>
    <border>
      <left/>
      <right style="thin">
        <color theme="5" tint="-0.249977111117893"/>
      </right>
      <top style="thin">
        <color indexed="64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3" fontId="0" fillId="2" borderId="3" xfId="0" applyNumberFormat="1" applyFill="1" applyBorder="1"/>
    <xf numFmtId="0" fontId="0" fillId="0" borderId="0" xfId="0" applyFill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6" fillId="3" borderId="1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16" xfId="0" applyFont="1" applyBorder="1"/>
    <xf numFmtId="3" fontId="10" fillId="0" borderId="17" xfId="0" applyNumberFormat="1" applyFont="1" applyFill="1" applyBorder="1"/>
    <xf numFmtId="1" fontId="11" fillId="0" borderId="18" xfId="0" applyNumberFormat="1" applyFont="1" applyFill="1" applyBorder="1"/>
    <xf numFmtId="1" fontId="7" fillId="0" borderId="16" xfId="0" applyNumberFormat="1" applyFont="1" applyFill="1" applyBorder="1" applyAlignment="1">
      <alignment horizontal="right" vertical="center" wrapText="1"/>
    </xf>
    <xf numFmtId="1" fontId="11" fillId="0" borderId="16" xfId="0" applyNumberFormat="1" applyFont="1" applyFill="1" applyBorder="1"/>
    <xf numFmtId="1" fontId="11" fillId="0" borderId="19" xfId="0" applyNumberFormat="1" applyFont="1" applyFill="1" applyBorder="1"/>
    <xf numFmtId="1" fontId="11" fillId="0" borderId="20" xfId="0" applyNumberFormat="1" applyFont="1" applyFill="1" applyBorder="1"/>
    <xf numFmtId="0" fontId="7" fillId="2" borderId="0" xfId="0" applyFont="1" applyFill="1"/>
    <xf numFmtId="0" fontId="7" fillId="0" borderId="0" xfId="0" applyFont="1" applyFill="1"/>
    <xf numFmtId="0" fontId="12" fillId="5" borderId="23" xfId="0" applyFont="1" applyFill="1" applyBorder="1" applyAlignment="1">
      <alignment horizontal="center"/>
    </xf>
    <xf numFmtId="3" fontId="13" fillId="5" borderId="24" xfId="0" applyNumberFormat="1" applyFont="1" applyFill="1" applyBorder="1"/>
    <xf numFmtId="3" fontId="14" fillId="5" borderId="25" xfId="0" applyNumberFormat="1" applyFont="1" applyFill="1" applyBorder="1"/>
    <xf numFmtId="3" fontId="14" fillId="5" borderId="26" xfId="0" applyNumberFormat="1" applyFont="1" applyFill="1" applyBorder="1"/>
    <xf numFmtId="3" fontId="14" fillId="5" borderId="24" xfId="0" applyNumberFormat="1" applyFont="1" applyFill="1" applyBorder="1"/>
    <xf numFmtId="3" fontId="14" fillId="5" borderId="27" xfId="0" applyNumberFormat="1" applyFont="1" applyFill="1" applyBorder="1"/>
    <xf numFmtId="3" fontId="14" fillId="5" borderId="28" xfId="0" applyNumberFormat="1" applyFont="1" applyFill="1" applyBorder="1"/>
    <xf numFmtId="3" fontId="14" fillId="5" borderId="29" xfId="0" applyNumberFormat="1" applyFont="1" applyFill="1" applyBorder="1"/>
    <xf numFmtId="3" fontId="14" fillId="5" borderId="30" xfId="0" applyNumberFormat="1" applyFont="1" applyFill="1" applyBorder="1"/>
    <xf numFmtId="3" fontId="14" fillId="5" borderId="8" xfId="0" applyNumberFormat="1" applyFont="1" applyFill="1" applyBorder="1"/>
    <xf numFmtId="3" fontId="14" fillId="5" borderId="31" xfId="0" applyNumberFormat="1" applyFont="1" applyFill="1" applyBorder="1"/>
    <xf numFmtId="0" fontId="15" fillId="2" borderId="0" xfId="0" applyFont="1" applyFill="1"/>
    <xf numFmtId="0" fontId="15" fillId="0" borderId="0" xfId="0" applyFont="1" applyFill="1"/>
    <xf numFmtId="0" fontId="9" fillId="0" borderId="11" xfId="0" applyFont="1" applyBorder="1"/>
    <xf numFmtId="3" fontId="10" fillId="0" borderId="9" xfId="0" applyNumberFormat="1" applyFont="1" applyFill="1" applyBorder="1"/>
    <xf numFmtId="1" fontId="11" fillId="0" borderId="32" xfId="0" applyNumberFormat="1" applyFont="1" applyFill="1" applyBorder="1"/>
    <xf numFmtId="1" fontId="7" fillId="0" borderId="11" xfId="0" applyNumberFormat="1" applyFont="1" applyFill="1" applyBorder="1" applyAlignment="1">
      <alignment horizontal="right" vertical="center" wrapText="1"/>
    </xf>
    <xf numFmtId="1" fontId="11" fillId="0" borderId="11" xfId="0" applyNumberFormat="1" applyFont="1" applyFill="1" applyBorder="1"/>
    <xf numFmtId="1" fontId="11" fillId="0" borderId="33" xfId="0" applyNumberFormat="1" applyFont="1" applyFill="1" applyBorder="1"/>
    <xf numFmtId="1" fontId="11" fillId="0" borderId="34" xfId="0" applyNumberFormat="1" applyFont="1" applyFill="1" applyBorder="1"/>
    <xf numFmtId="0" fontId="12" fillId="5" borderId="37" xfId="0" applyFont="1" applyFill="1" applyBorder="1" applyAlignment="1">
      <alignment horizontal="center"/>
    </xf>
    <xf numFmtId="3" fontId="13" fillId="5" borderId="38" xfId="0" applyNumberFormat="1" applyFont="1" applyFill="1" applyBorder="1"/>
    <xf numFmtId="3" fontId="14" fillId="5" borderId="39" xfId="0" applyNumberFormat="1" applyFont="1" applyFill="1" applyBorder="1"/>
    <xf numFmtId="3" fontId="14" fillId="5" borderId="40" xfId="0" applyNumberFormat="1" applyFont="1" applyFill="1" applyBorder="1"/>
    <xf numFmtId="3" fontId="14" fillId="5" borderId="38" xfId="0" applyNumberFormat="1" applyFont="1" applyFill="1" applyBorder="1"/>
    <xf numFmtId="3" fontId="14" fillId="5" borderId="41" xfId="0" applyNumberFormat="1" applyFont="1" applyFill="1" applyBorder="1"/>
    <xf numFmtId="3" fontId="14" fillId="5" borderId="37" xfId="0" applyNumberFormat="1" applyFont="1" applyFill="1" applyBorder="1"/>
    <xf numFmtId="3" fontId="14" fillId="5" borderId="42" xfId="0" applyNumberFormat="1" applyFont="1" applyFill="1" applyBorder="1"/>
    <xf numFmtId="0" fontId="9" fillId="0" borderId="33" xfId="0" applyFont="1" applyBorder="1"/>
    <xf numFmtId="0" fontId="9" fillId="0" borderId="10" xfId="0" applyFont="1" applyBorder="1"/>
    <xf numFmtId="1" fontId="11" fillId="0" borderId="17" xfId="0" applyNumberFormat="1" applyFont="1" applyFill="1" applyBorder="1"/>
    <xf numFmtId="1" fontId="11" fillId="0" borderId="10" xfId="0" applyNumberFormat="1" applyFont="1" applyFill="1" applyBorder="1"/>
    <xf numFmtId="0" fontId="12" fillId="5" borderId="10" xfId="0" applyFont="1" applyFill="1" applyBorder="1" applyAlignment="1">
      <alignment horizontal="center"/>
    </xf>
    <xf numFmtId="3" fontId="13" fillId="5" borderId="9" xfId="0" applyNumberFormat="1" applyFont="1" applyFill="1" applyBorder="1"/>
    <xf numFmtId="3" fontId="14" fillId="5" borderId="32" xfId="0" applyNumberFormat="1" applyFont="1" applyFill="1" applyBorder="1"/>
    <xf numFmtId="3" fontId="14" fillId="5" borderId="11" xfId="0" applyNumberFormat="1" applyFont="1" applyFill="1" applyBorder="1"/>
    <xf numFmtId="3" fontId="14" fillId="5" borderId="9" xfId="0" applyNumberFormat="1" applyFont="1" applyFill="1" applyBorder="1"/>
    <xf numFmtId="3" fontId="14" fillId="5" borderId="33" xfId="0" applyNumberFormat="1" applyFont="1" applyFill="1" applyBorder="1"/>
    <xf numFmtId="3" fontId="14" fillId="5" borderId="10" xfId="0" applyNumberFormat="1" applyFont="1" applyFill="1" applyBorder="1"/>
    <xf numFmtId="3" fontId="14" fillId="5" borderId="44" xfId="0" applyNumberFormat="1" applyFont="1" applyFill="1" applyBorder="1"/>
    <xf numFmtId="3" fontId="14" fillId="5" borderId="34" xfId="0" applyNumberFormat="1" applyFont="1" applyFill="1" applyBorder="1"/>
    <xf numFmtId="3" fontId="16" fillId="6" borderId="11" xfId="0" applyNumberFormat="1" applyFont="1" applyFill="1" applyBorder="1" applyAlignment="1">
      <alignment horizontal="center"/>
    </xf>
    <xf numFmtId="3" fontId="16" fillId="6" borderId="45" xfId="0" applyNumberFormat="1" applyFont="1" applyFill="1" applyBorder="1"/>
    <xf numFmtId="3" fontId="16" fillId="6" borderId="46" xfId="0" applyNumberFormat="1" applyFont="1" applyFill="1" applyBorder="1"/>
    <xf numFmtId="3" fontId="16" fillId="6" borderId="34" xfId="0" applyNumberFormat="1" applyFont="1" applyFill="1" applyBorder="1"/>
    <xf numFmtId="0" fontId="12" fillId="5" borderId="11" xfId="0" applyFont="1" applyFill="1" applyBorder="1" applyAlignment="1">
      <alignment horizontal="center"/>
    </xf>
    <xf numFmtId="0" fontId="9" fillId="0" borderId="10" xfId="0" applyFont="1" applyFill="1" applyBorder="1"/>
    <xf numFmtId="0" fontId="12" fillId="5" borderId="11" xfId="0" applyFont="1" applyFill="1" applyBorder="1"/>
    <xf numFmtId="0" fontId="12" fillId="5" borderId="33" xfId="0" applyFont="1" applyFill="1" applyBorder="1"/>
    <xf numFmtId="4" fontId="17" fillId="2" borderId="0" xfId="0" applyNumberFormat="1" applyFont="1" applyFill="1" applyBorder="1"/>
    <xf numFmtId="0" fontId="12" fillId="5" borderId="47" xfId="0" applyFont="1" applyFill="1" applyBorder="1" applyAlignment="1">
      <alignment horizontal="center"/>
    </xf>
    <xf numFmtId="3" fontId="13" fillId="5" borderId="45" xfId="0" applyNumberFormat="1" applyFont="1" applyFill="1" applyBorder="1"/>
    <xf numFmtId="3" fontId="18" fillId="5" borderId="11" xfId="0" applyNumberFormat="1" applyFont="1" applyFill="1" applyBorder="1"/>
    <xf numFmtId="3" fontId="18" fillId="5" borderId="9" xfId="0" applyNumberFormat="1" applyFont="1" applyFill="1" applyBorder="1"/>
    <xf numFmtId="3" fontId="14" fillId="5" borderId="48" xfId="0" applyNumberFormat="1" applyFont="1" applyFill="1" applyBorder="1"/>
    <xf numFmtId="0" fontId="0" fillId="2" borderId="0" xfId="0" applyFill="1" applyBorder="1"/>
    <xf numFmtId="0" fontId="9" fillId="0" borderId="49" xfId="0" applyFont="1" applyBorder="1"/>
    <xf numFmtId="0" fontId="12" fillId="5" borderId="50" xfId="0" applyFont="1" applyFill="1" applyBorder="1" applyAlignment="1">
      <alignment horizontal="center"/>
    </xf>
    <xf numFmtId="0" fontId="9" fillId="0" borderId="51" xfId="0" applyFont="1" applyBorder="1"/>
    <xf numFmtId="0" fontId="12" fillId="5" borderId="51" xfId="0" applyFont="1" applyFill="1" applyBorder="1"/>
    <xf numFmtId="0" fontId="12" fillId="5" borderId="52" xfId="0" applyFont="1" applyFill="1" applyBorder="1" applyAlignment="1">
      <alignment horizontal="center"/>
    </xf>
    <xf numFmtId="0" fontId="9" fillId="0" borderId="53" xfId="0" applyFont="1" applyBorder="1"/>
    <xf numFmtId="3" fontId="14" fillId="5" borderId="54" xfId="0" applyNumberFormat="1" applyFont="1" applyFill="1" applyBorder="1"/>
    <xf numFmtId="3" fontId="14" fillId="5" borderId="55" xfId="0" applyNumberFormat="1" applyFont="1" applyFill="1" applyBorder="1"/>
    <xf numFmtId="0" fontId="9" fillId="0" borderId="51" xfId="0" applyFont="1" applyFill="1" applyBorder="1"/>
    <xf numFmtId="0" fontId="9" fillId="0" borderId="9" xfId="0" applyFont="1" applyBorder="1"/>
    <xf numFmtId="0" fontId="9" fillId="0" borderId="56" xfId="0" applyFont="1" applyFill="1" applyBorder="1"/>
    <xf numFmtId="3" fontId="10" fillId="0" borderId="45" xfId="0" applyNumberFormat="1" applyFont="1" applyFill="1" applyBorder="1"/>
    <xf numFmtId="0" fontId="9" fillId="0" borderId="56" xfId="0" applyFont="1" applyBorder="1"/>
    <xf numFmtId="0" fontId="12" fillId="5" borderId="56" xfId="0" applyFont="1" applyFill="1" applyBorder="1" applyAlignment="1">
      <alignment horizontal="center"/>
    </xf>
    <xf numFmtId="0" fontId="9" fillId="0" borderId="17" xfId="0" applyFont="1" applyBorder="1"/>
    <xf numFmtId="0" fontId="9" fillId="0" borderId="57" xfId="0" applyFont="1" applyBorder="1"/>
    <xf numFmtId="3" fontId="10" fillId="0" borderId="58" xfId="0" applyNumberFormat="1" applyFont="1" applyFill="1" applyBorder="1"/>
    <xf numFmtId="0" fontId="12" fillId="5" borderId="61" xfId="0" applyFont="1" applyFill="1" applyBorder="1" applyAlignment="1">
      <alignment horizontal="center"/>
    </xf>
    <xf numFmtId="3" fontId="13" fillId="5" borderId="60" xfId="0" applyNumberFormat="1" applyFont="1" applyFill="1" applyBorder="1"/>
    <xf numFmtId="3" fontId="14" fillId="5" borderId="62" xfId="0" applyNumberFormat="1" applyFont="1" applyFill="1" applyBorder="1"/>
    <xf numFmtId="3" fontId="19" fillId="7" borderId="11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3" fontId="0" fillId="0" borderId="0" xfId="0" applyNumberFormat="1" applyFill="1"/>
    <xf numFmtId="0" fontId="12" fillId="5" borderId="59" xfId="0" applyFont="1" applyFill="1" applyBorder="1" applyAlignment="1">
      <alignment horizontal="left"/>
    </xf>
    <xf numFmtId="0" fontId="12" fillId="5" borderId="60" xfId="0" applyFont="1" applyFill="1" applyBorder="1" applyAlignment="1">
      <alignment horizontal="left"/>
    </xf>
    <xf numFmtId="0" fontId="16" fillId="6" borderId="9" xfId="0" applyFont="1" applyFill="1" applyBorder="1" applyAlignment="1">
      <alignment horizontal="left"/>
    </xf>
    <xf numFmtId="0" fontId="16" fillId="6" borderId="10" xfId="0" applyFont="1" applyFill="1" applyBorder="1" applyAlignment="1">
      <alignment horizontal="left"/>
    </xf>
    <xf numFmtId="0" fontId="19" fillId="7" borderId="9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2" fillId="5" borderId="45" xfId="0" applyFont="1" applyFill="1" applyBorder="1" applyAlignment="1">
      <alignment horizontal="left"/>
    </xf>
    <xf numFmtId="0" fontId="12" fillId="5" borderId="43" xfId="0" applyFont="1" applyFill="1" applyBorder="1" applyAlignment="1">
      <alignment horizontal="left"/>
    </xf>
    <xf numFmtId="0" fontId="12" fillId="5" borderId="34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12" fillId="5" borderId="21" xfId="0" applyFont="1" applyFill="1" applyBorder="1" applyAlignment="1">
      <alignment horizontal="left"/>
    </xf>
    <xf numFmtId="0" fontId="12" fillId="5" borderId="22" xfId="0" applyFont="1" applyFill="1" applyBorder="1" applyAlignment="1">
      <alignment horizontal="left"/>
    </xf>
    <xf numFmtId="0" fontId="12" fillId="5" borderId="35" xfId="0" applyFont="1" applyFill="1" applyBorder="1" applyAlignment="1">
      <alignment horizontal="left"/>
    </xf>
    <xf numFmtId="0" fontId="12" fillId="5" borderId="3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5"/>
  <sheetViews>
    <sheetView tabSelected="1" workbookViewId="0">
      <selection activeCell="A2" sqref="A2:C2"/>
    </sheetView>
  </sheetViews>
  <sheetFormatPr defaultColWidth="10" defaultRowHeight="15.75" x14ac:dyDescent="0.25"/>
  <cols>
    <col min="1" max="1" width="10" style="5" customWidth="1"/>
    <col min="2" max="2" width="11.875" style="5" customWidth="1"/>
    <col min="3" max="3" width="17.125" style="5" customWidth="1"/>
    <col min="4" max="4" width="11" style="5" customWidth="1"/>
    <col min="5" max="5" width="9.625" style="5" hidden="1" customWidth="1"/>
    <col min="6" max="6" width="9.125" style="5" hidden="1" customWidth="1"/>
    <col min="7" max="7" width="8.375" style="5" hidden="1" customWidth="1"/>
    <col min="8" max="8" width="9" style="5" hidden="1" customWidth="1"/>
    <col min="9" max="9" width="8.875" style="5" hidden="1" customWidth="1"/>
    <col min="10" max="10" width="8.5" style="5" hidden="1" customWidth="1"/>
    <col min="11" max="12" width="10" style="5" hidden="1" customWidth="1"/>
    <col min="13" max="13" width="9.5" style="5" customWidth="1"/>
    <col min="14" max="14" width="9" style="5" customWidth="1"/>
    <col min="15" max="15" width="9.5" style="5" customWidth="1"/>
    <col min="16" max="16" width="9.125" style="5" customWidth="1"/>
    <col min="17" max="17" width="7.125" style="5" bestFit="1" customWidth="1"/>
    <col min="18" max="18" width="8.875" style="5" customWidth="1"/>
    <col min="19" max="19" width="8.375" style="5" customWidth="1"/>
    <col min="20" max="20" width="11.25" style="5" customWidth="1"/>
    <col min="21" max="24" width="9.375" style="5" customWidth="1"/>
    <col min="25" max="25" width="9.375" style="5" hidden="1" customWidth="1"/>
    <col min="26" max="26" width="9.375" style="5" customWidth="1"/>
    <col min="27" max="27" width="8.875" style="5" customWidth="1"/>
    <col min="28" max="28" width="8.5" style="5" customWidth="1"/>
    <col min="29" max="29" width="9" style="106" bestFit="1" customWidth="1"/>
    <col min="30" max="256" width="10" style="5"/>
    <col min="257" max="257" width="10" style="5" customWidth="1"/>
    <col min="258" max="258" width="11.875" style="5" customWidth="1"/>
    <col min="259" max="259" width="17.125" style="5" customWidth="1"/>
    <col min="260" max="260" width="11" style="5" customWidth="1"/>
    <col min="261" max="268" width="0" style="5" hidden="1" customWidth="1"/>
    <col min="269" max="269" width="9.5" style="5" customWidth="1"/>
    <col min="270" max="270" width="9" style="5" customWidth="1"/>
    <col min="271" max="271" width="9.5" style="5" customWidth="1"/>
    <col min="272" max="272" width="9.125" style="5" customWidth="1"/>
    <col min="273" max="273" width="7.125" style="5" bestFit="1" customWidth="1"/>
    <col min="274" max="274" width="8.875" style="5" customWidth="1"/>
    <col min="275" max="275" width="8.375" style="5" customWidth="1"/>
    <col min="276" max="276" width="11.25" style="5" customWidth="1"/>
    <col min="277" max="280" width="9.375" style="5" customWidth="1"/>
    <col min="281" max="281" width="0" style="5" hidden="1" customWidth="1"/>
    <col min="282" max="282" width="9.375" style="5" customWidth="1"/>
    <col min="283" max="283" width="8.875" style="5" customWidth="1"/>
    <col min="284" max="284" width="8.5" style="5" customWidth="1"/>
    <col min="285" max="285" width="9" style="5" bestFit="1" customWidth="1"/>
    <col min="286" max="512" width="10" style="5"/>
    <col min="513" max="513" width="10" style="5" customWidth="1"/>
    <col min="514" max="514" width="11.875" style="5" customWidth="1"/>
    <col min="515" max="515" width="17.125" style="5" customWidth="1"/>
    <col min="516" max="516" width="11" style="5" customWidth="1"/>
    <col min="517" max="524" width="0" style="5" hidden="1" customWidth="1"/>
    <col min="525" max="525" width="9.5" style="5" customWidth="1"/>
    <col min="526" max="526" width="9" style="5" customWidth="1"/>
    <col min="527" max="527" width="9.5" style="5" customWidth="1"/>
    <col min="528" max="528" width="9.125" style="5" customWidth="1"/>
    <col min="529" max="529" width="7.125" style="5" bestFit="1" customWidth="1"/>
    <col min="530" max="530" width="8.875" style="5" customWidth="1"/>
    <col min="531" max="531" width="8.375" style="5" customWidth="1"/>
    <col min="532" max="532" width="11.25" style="5" customWidth="1"/>
    <col min="533" max="536" width="9.375" style="5" customWidth="1"/>
    <col min="537" max="537" width="0" style="5" hidden="1" customWidth="1"/>
    <col min="538" max="538" width="9.375" style="5" customWidth="1"/>
    <col min="539" max="539" width="8.875" style="5" customWidth="1"/>
    <col min="540" max="540" width="8.5" style="5" customWidth="1"/>
    <col min="541" max="541" width="9" style="5" bestFit="1" customWidth="1"/>
    <col min="542" max="768" width="10" style="5"/>
    <col min="769" max="769" width="10" style="5" customWidth="1"/>
    <col min="770" max="770" width="11.875" style="5" customWidth="1"/>
    <col min="771" max="771" width="17.125" style="5" customWidth="1"/>
    <col min="772" max="772" width="11" style="5" customWidth="1"/>
    <col min="773" max="780" width="0" style="5" hidden="1" customWidth="1"/>
    <col min="781" max="781" width="9.5" style="5" customWidth="1"/>
    <col min="782" max="782" width="9" style="5" customWidth="1"/>
    <col min="783" max="783" width="9.5" style="5" customWidth="1"/>
    <col min="784" max="784" width="9.125" style="5" customWidth="1"/>
    <col min="785" max="785" width="7.125" style="5" bestFit="1" customWidth="1"/>
    <col min="786" max="786" width="8.875" style="5" customWidth="1"/>
    <col min="787" max="787" width="8.375" style="5" customWidth="1"/>
    <col min="788" max="788" width="11.25" style="5" customWidth="1"/>
    <col min="789" max="792" width="9.375" style="5" customWidth="1"/>
    <col min="793" max="793" width="0" style="5" hidden="1" customWidth="1"/>
    <col min="794" max="794" width="9.375" style="5" customWidth="1"/>
    <col min="795" max="795" width="8.875" style="5" customWidth="1"/>
    <col min="796" max="796" width="8.5" style="5" customWidth="1"/>
    <col min="797" max="797" width="9" style="5" bestFit="1" customWidth="1"/>
    <col min="798" max="1024" width="10" style="5"/>
    <col min="1025" max="1025" width="10" style="5" customWidth="1"/>
    <col min="1026" max="1026" width="11.875" style="5" customWidth="1"/>
    <col min="1027" max="1027" width="17.125" style="5" customWidth="1"/>
    <col min="1028" max="1028" width="11" style="5" customWidth="1"/>
    <col min="1029" max="1036" width="0" style="5" hidden="1" customWidth="1"/>
    <col min="1037" max="1037" width="9.5" style="5" customWidth="1"/>
    <col min="1038" max="1038" width="9" style="5" customWidth="1"/>
    <col min="1039" max="1039" width="9.5" style="5" customWidth="1"/>
    <col min="1040" max="1040" width="9.125" style="5" customWidth="1"/>
    <col min="1041" max="1041" width="7.125" style="5" bestFit="1" customWidth="1"/>
    <col min="1042" max="1042" width="8.875" style="5" customWidth="1"/>
    <col min="1043" max="1043" width="8.375" style="5" customWidth="1"/>
    <col min="1044" max="1044" width="11.25" style="5" customWidth="1"/>
    <col min="1045" max="1048" width="9.375" style="5" customWidth="1"/>
    <col min="1049" max="1049" width="0" style="5" hidden="1" customWidth="1"/>
    <col min="1050" max="1050" width="9.375" style="5" customWidth="1"/>
    <col min="1051" max="1051" width="8.875" style="5" customWidth="1"/>
    <col min="1052" max="1052" width="8.5" style="5" customWidth="1"/>
    <col min="1053" max="1053" width="9" style="5" bestFit="1" customWidth="1"/>
    <col min="1054" max="1280" width="10" style="5"/>
    <col min="1281" max="1281" width="10" style="5" customWidth="1"/>
    <col min="1282" max="1282" width="11.875" style="5" customWidth="1"/>
    <col min="1283" max="1283" width="17.125" style="5" customWidth="1"/>
    <col min="1284" max="1284" width="11" style="5" customWidth="1"/>
    <col min="1285" max="1292" width="0" style="5" hidden="1" customWidth="1"/>
    <col min="1293" max="1293" width="9.5" style="5" customWidth="1"/>
    <col min="1294" max="1294" width="9" style="5" customWidth="1"/>
    <col min="1295" max="1295" width="9.5" style="5" customWidth="1"/>
    <col min="1296" max="1296" width="9.125" style="5" customWidth="1"/>
    <col min="1297" max="1297" width="7.125" style="5" bestFit="1" customWidth="1"/>
    <col min="1298" max="1298" width="8.875" style="5" customWidth="1"/>
    <col min="1299" max="1299" width="8.375" style="5" customWidth="1"/>
    <col min="1300" max="1300" width="11.25" style="5" customWidth="1"/>
    <col min="1301" max="1304" width="9.375" style="5" customWidth="1"/>
    <col min="1305" max="1305" width="0" style="5" hidden="1" customWidth="1"/>
    <col min="1306" max="1306" width="9.375" style="5" customWidth="1"/>
    <col min="1307" max="1307" width="8.875" style="5" customWidth="1"/>
    <col min="1308" max="1308" width="8.5" style="5" customWidth="1"/>
    <col min="1309" max="1309" width="9" style="5" bestFit="1" customWidth="1"/>
    <col min="1310" max="1536" width="10" style="5"/>
    <col min="1537" max="1537" width="10" style="5" customWidth="1"/>
    <col min="1538" max="1538" width="11.875" style="5" customWidth="1"/>
    <col min="1539" max="1539" width="17.125" style="5" customWidth="1"/>
    <col min="1540" max="1540" width="11" style="5" customWidth="1"/>
    <col min="1541" max="1548" width="0" style="5" hidden="1" customWidth="1"/>
    <col min="1549" max="1549" width="9.5" style="5" customWidth="1"/>
    <col min="1550" max="1550" width="9" style="5" customWidth="1"/>
    <col min="1551" max="1551" width="9.5" style="5" customWidth="1"/>
    <col min="1552" max="1552" width="9.125" style="5" customWidth="1"/>
    <col min="1553" max="1553" width="7.125" style="5" bestFit="1" customWidth="1"/>
    <col min="1554" max="1554" width="8.875" style="5" customWidth="1"/>
    <col min="1555" max="1555" width="8.375" style="5" customWidth="1"/>
    <col min="1556" max="1556" width="11.25" style="5" customWidth="1"/>
    <col min="1557" max="1560" width="9.375" style="5" customWidth="1"/>
    <col min="1561" max="1561" width="0" style="5" hidden="1" customWidth="1"/>
    <col min="1562" max="1562" width="9.375" style="5" customWidth="1"/>
    <col min="1563" max="1563" width="8.875" style="5" customWidth="1"/>
    <col min="1564" max="1564" width="8.5" style="5" customWidth="1"/>
    <col min="1565" max="1565" width="9" style="5" bestFit="1" customWidth="1"/>
    <col min="1566" max="1792" width="10" style="5"/>
    <col min="1793" max="1793" width="10" style="5" customWidth="1"/>
    <col min="1794" max="1794" width="11.875" style="5" customWidth="1"/>
    <col min="1795" max="1795" width="17.125" style="5" customWidth="1"/>
    <col min="1796" max="1796" width="11" style="5" customWidth="1"/>
    <col min="1797" max="1804" width="0" style="5" hidden="1" customWidth="1"/>
    <col min="1805" max="1805" width="9.5" style="5" customWidth="1"/>
    <col min="1806" max="1806" width="9" style="5" customWidth="1"/>
    <col min="1807" max="1807" width="9.5" style="5" customWidth="1"/>
    <col min="1808" max="1808" width="9.125" style="5" customWidth="1"/>
    <col min="1809" max="1809" width="7.125" style="5" bestFit="1" customWidth="1"/>
    <col min="1810" max="1810" width="8.875" style="5" customWidth="1"/>
    <col min="1811" max="1811" width="8.375" style="5" customWidth="1"/>
    <col min="1812" max="1812" width="11.25" style="5" customWidth="1"/>
    <col min="1813" max="1816" width="9.375" style="5" customWidth="1"/>
    <col min="1817" max="1817" width="0" style="5" hidden="1" customWidth="1"/>
    <col min="1818" max="1818" width="9.375" style="5" customWidth="1"/>
    <col min="1819" max="1819" width="8.875" style="5" customWidth="1"/>
    <col min="1820" max="1820" width="8.5" style="5" customWidth="1"/>
    <col min="1821" max="1821" width="9" style="5" bestFit="1" customWidth="1"/>
    <col min="1822" max="2048" width="10" style="5"/>
    <col min="2049" max="2049" width="10" style="5" customWidth="1"/>
    <col min="2050" max="2050" width="11.875" style="5" customWidth="1"/>
    <col min="2051" max="2051" width="17.125" style="5" customWidth="1"/>
    <col min="2052" max="2052" width="11" style="5" customWidth="1"/>
    <col min="2053" max="2060" width="0" style="5" hidden="1" customWidth="1"/>
    <col min="2061" max="2061" width="9.5" style="5" customWidth="1"/>
    <col min="2062" max="2062" width="9" style="5" customWidth="1"/>
    <col min="2063" max="2063" width="9.5" style="5" customWidth="1"/>
    <col min="2064" max="2064" width="9.125" style="5" customWidth="1"/>
    <col min="2065" max="2065" width="7.125" style="5" bestFit="1" customWidth="1"/>
    <col min="2066" max="2066" width="8.875" style="5" customWidth="1"/>
    <col min="2067" max="2067" width="8.375" style="5" customWidth="1"/>
    <col min="2068" max="2068" width="11.25" style="5" customWidth="1"/>
    <col min="2069" max="2072" width="9.375" style="5" customWidth="1"/>
    <col min="2073" max="2073" width="0" style="5" hidden="1" customWidth="1"/>
    <col min="2074" max="2074" width="9.375" style="5" customWidth="1"/>
    <col min="2075" max="2075" width="8.875" style="5" customWidth="1"/>
    <col min="2076" max="2076" width="8.5" style="5" customWidth="1"/>
    <col min="2077" max="2077" width="9" style="5" bestFit="1" customWidth="1"/>
    <col min="2078" max="2304" width="10" style="5"/>
    <col min="2305" max="2305" width="10" style="5" customWidth="1"/>
    <col min="2306" max="2306" width="11.875" style="5" customWidth="1"/>
    <col min="2307" max="2307" width="17.125" style="5" customWidth="1"/>
    <col min="2308" max="2308" width="11" style="5" customWidth="1"/>
    <col min="2309" max="2316" width="0" style="5" hidden="1" customWidth="1"/>
    <col min="2317" max="2317" width="9.5" style="5" customWidth="1"/>
    <col min="2318" max="2318" width="9" style="5" customWidth="1"/>
    <col min="2319" max="2319" width="9.5" style="5" customWidth="1"/>
    <col min="2320" max="2320" width="9.125" style="5" customWidth="1"/>
    <col min="2321" max="2321" width="7.125" style="5" bestFit="1" customWidth="1"/>
    <col min="2322" max="2322" width="8.875" style="5" customWidth="1"/>
    <col min="2323" max="2323" width="8.375" style="5" customWidth="1"/>
    <col min="2324" max="2324" width="11.25" style="5" customWidth="1"/>
    <col min="2325" max="2328" width="9.375" style="5" customWidth="1"/>
    <col min="2329" max="2329" width="0" style="5" hidden="1" customWidth="1"/>
    <col min="2330" max="2330" width="9.375" style="5" customWidth="1"/>
    <col min="2331" max="2331" width="8.875" style="5" customWidth="1"/>
    <col min="2332" max="2332" width="8.5" style="5" customWidth="1"/>
    <col min="2333" max="2333" width="9" style="5" bestFit="1" customWidth="1"/>
    <col min="2334" max="2560" width="10" style="5"/>
    <col min="2561" max="2561" width="10" style="5" customWidth="1"/>
    <col min="2562" max="2562" width="11.875" style="5" customWidth="1"/>
    <col min="2563" max="2563" width="17.125" style="5" customWidth="1"/>
    <col min="2564" max="2564" width="11" style="5" customWidth="1"/>
    <col min="2565" max="2572" width="0" style="5" hidden="1" customWidth="1"/>
    <col min="2573" max="2573" width="9.5" style="5" customWidth="1"/>
    <col min="2574" max="2574" width="9" style="5" customWidth="1"/>
    <col min="2575" max="2575" width="9.5" style="5" customWidth="1"/>
    <col min="2576" max="2576" width="9.125" style="5" customWidth="1"/>
    <col min="2577" max="2577" width="7.125" style="5" bestFit="1" customWidth="1"/>
    <col min="2578" max="2578" width="8.875" style="5" customWidth="1"/>
    <col min="2579" max="2579" width="8.375" style="5" customWidth="1"/>
    <col min="2580" max="2580" width="11.25" style="5" customWidth="1"/>
    <col min="2581" max="2584" width="9.375" style="5" customWidth="1"/>
    <col min="2585" max="2585" width="0" style="5" hidden="1" customWidth="1"/>
    <col min="2586" max="2586" width="9.375" style="5" customWidth="1"/>
    <col min="2587" max="2587" width="8.875" style="5" customWidth="1"/>
    <col min="2588" max="2588" width="8.5" style="5" customWidth="1"/>
    <col min="2589" max="2589" width="9" style="5" bestFit="1" customWidth="1"/>
    <col min="2590" max="2816" width="10" style="5"/>
    <col min="2817" max="2817" width="10" style="5" customWidth="1"/>
    <col min="2818" max="2818" width="11.875" style="5" customWidth="1"/>
    <col min="2819" max="2819" width="17.125" style="5" customWidth="1"/>
    <col min="2820" max="2820" width="11" style="5" customWidth="1"/>
    <col min="2821" max="2828" width="0" style="5" hidden="1" customWidth="1"/>
    <col min="2829" max="2829" width="9.5" style="5" customWidth="1"/>
    <col min="2830" max="2830" width="9" style="5" customWidth="1"/>
    <col min="2831" max="2831" width="9.5" style="5" customWidth="1"/>
    <col min="2832" max="2832" width="9.125" style="5" customWidth="1"/>
    <col min="2833" max="2833" width="7.125" style="5" bestFit="1" customWidth="1"/>
    <col min="2834" max="2834" width="8.875" style="5" customWidth="1"/>
    <col min="2835" max="2835" width="8.375" style="5" customWidth="1"/>
    <col min="2836" max="2836" width="11.25" style="5" customWidth="1"/>
    <col min="2837" max="2840" width="9.375" style="5" customWidth="1"/>
    <col min="2841" max="2841" width="0" style="5" hidden="1" customWidth="1"/>
    <col min="2842" max="2842" width="9.375" style="5" customWidth="1"/>
    <col min="2843" max="2843" width="8.875" style="5" customWidth="1"/>
    <col min="2844" max="2844" width="8.5" style="5" customWidth="1"/>
    <col min="2845" max="2845" width="9" style="5" bestFit="1" customWidth="1"/>
    <col min="2846" max="3072" width="10" style="5"/>
    <col min="3073" max="3073" width="10" style="5" customWidth="1"/>
    <col min="3074" max="3074" width="11.875" style="5" customWidth="1"/>
    <col min="3075" max="3075" width="17.125" style="5" customWidth="1"/>
    <col min="3076" max="3076" width="11" style="5" customWidth="1"/>
    <col min="3077" max="3084" width="0" style="5" hidden="1" customWidth="1"/>
    <col min="3085" max="3085" width="9.5" style="5" customWidth="1"/>
    <col min="3086" max="3086" width="9" style="5" customWidth="1"/>
    <col min="3087" max="3087" width="9.5" style="5" customWidth="1"/>
    <col min="3088" max="3088" width="9.125" style="5" customWidth="1"/>
    <col min="3089" max="3089" width="7.125" style="5" bestFit="1" customWidth="1"/>
    <col min="3090" max="3090" width="8.875" style="5" customWidth="1"/>
    <col min="3091" max="3091" width="8.375" style="5" customWidth="1"/>
    <col min="3092" max="3092" width="11.25" style="5" customWidth="1"/>
    <col min="3093" max="3096" width="9.375" style="5" customWidth="1"/>
    <col min="3097" max="3097" width="0" style="5" hidden="1" customWidth="1"/>
    <col min="3098" max="3098" width="9.375" style="5" customWidth="1"/>
    <col min="3099" max="3099" width="8.875" style="5" customWidth="1"/>
    <col min="3100" max="3100" width="8.5" style="5" customWidth="1"/>
    <col min="3101" max="3101" width="9" style="5" bestFit="1" customWidth="1"/>
    <col min="3102" max="3328" width="10" style="5"/>
    <col min="3329" max="3329" width="10" style="5" customWidth="1"/>
    <col min="3330" max="3330" width="11.875" style="5" customWidth="1"/>
    <col min="3331" max="3331" width="17.125" style="5" customWidth="1"/>
    <col min="3332" max="3332" width="11" style="5" customWidth="1"/>
    <col min="3333" max="3340" width="0" style="5" hidden="1" customWidth="1"/>
    <col min="3341" max="3341" width="9.5" style="5" customWidth="1"/>
    <col min="3342" max="3342" width="9" style="5" customWidth="1"/>
    <col min="3343" max="3343" width="9.5" style="5" customWidth="1"/>
    <col min="3344" max="3344" width="9.125" style="5" customWidth="1"/>
    <col min="3345" max="3345" width="7.125" style="5" bestFit="1" customWidth="1"/>
    <col min="3346" max="3346" width="8.875" style="5" customWidth="1"/>
    <col min="3347" max="3347" width="8.375" style="5" customWidth="1"/>
    <col min="3348" max="3348" width="11.25" style="5" customWidth="1"/>
    <col min="3349" max="3352" width="9.375" style="5" customWidth="1"/>
    <col min="3353" max="3353" width="0" style="5" hidden="1" customWidth="1"/>
    <col min="3354" max="3354" width="9.375" style="5" customWidth="1"/>
    <col min="3355" max="3355" width="8.875" style="5" customWidth="1"/>
    <col min="3356" max="3356" width="8.5" style="5" customWidth="1"/>
    <col min="3357" max="3357" width="9" style="5" bestFit="1" customWidth="1"/>
    <col min="3358" max="3584" width="10" style="5"/>
    <col min="3585" max="3585" width="10" style="5" customWidth="1"/>
    <col min="3586" max="3586" width="11.875" style="5" customWidth="1"/>
    <col min="3587" max="3587" width="17.125" style="5" customWidth="1"/>
    <col min="3588" max="3588" width="11" style="5" customWidth="1"/>
    <col min="3589" max="3596" width="0" style="5" hidden="1" customWidth="1"/>
    <col min="3597" max="3597" width="9.5" style="5" customWidth="1"/>
    <col min="3598" max="3598" width="9" style="5" customWidth="1"/>
    <col min="3599" max="3599" width="9.5" style="5" customWidth="1"/>
    <col min="3600" max="3600" width="9.125" style="5" customWidth="1"/>
    <col min="3601" max="3601" width="7.125" style="5" bestFit="1" customWidth="1"/>
    <col min="3602" max="3602" width="8.875" style="5" customWidth="1"/>
    <col min="3603" max="3603" width="8.375" style="5" customWidth="1"/>
    <col min="3604" max="3604" width="11.25" style="5" customWidth="1"/>
    <col min="3605" max="3608" width="9.375" style="5" customWidth="1"/>
    <col min="3609" max="3609" width="0" style="5" hidden="1" customWidth="1"/>
    <col min="3610" max="3610" width="9.375" style="5" customWidth="1"/>
    <col min="3611" max="3611" width="8.875" style="5" customWidth="1"/>
    <col min="3612" max="3612" width="8.5" style="5" customWidth="1"/>
    <col min="3613" max="3613" width="9" style="5" bestFit="1" customWidth="1"/>
    <col min="3614" max="3840" width="10" style="5"/>
    <col min="3841" max="3841" width="10" style="5" customWidth="1"/>
    <col min="3842" max="3842" width="11.875" style="5" customWidth="1"/>
    <col min="3843" max="3843" width="17.125" style="5" customWidth="1"/>
    <col min="3844" max="3844" width="11" style="5" customWidth="1"/>
    <col min="3845" max="3852" width="0" style="5" hidden="1" customWidth="1"/>
    <col min="3853" max="3853" width="9.5" style="5" customWidth="1"/>
    <col min="3854" max="3854" width="9" style="5" customWidth="1"/>
    <col min="3855" max="3855" width="9.5" style="5" customWidth="1"/>
    <col min="3856" max="3856" width="9.125" style="5" customWidth="1"/>
    <col min="3857" max="3857" width="7.125" style="5" bestFit="1" customWidth="1"/>
    <col min="3858" max="3858" width="8.875" style="5" customWidth="1"/>
    <col min="3859" max="3859" width="8.375" style="5" customWidth="1"/>
    <col min="3860" max="3860" width="11.25" style="5" customWidth="1"/>
    <col min="3861" max="3864" width="9.375" style="5" customWidth="1"/>
    <col min="3865" max="3865" width="0" style="5" hidden="1" customWidth="1"/>
    <col min="3866" max="3866" width="9.375" style="5" customWidth="1"/>
    <col min="3867" max="3867" width="8.875" style="5" customWidth="1"/>
    <col min="3868" max="3868" width="8.5" style="5" customWidth="1"/>
    <col min="3869" max="3869" width="9" style="5" bestFit="1" customWidth="1"/>
    <col min="3870" max="4096" width="10" style="5"/>
    <col min="4097" max="4097" width="10" style="5" customWidth="1"/>
    <col min="4098" max="4098" width="11.875" style="5" customWidth="1"/>
    <col min="4099" max="4099" width="17.125" style="5" customWidth="1"/>
    <col min="4100" max="4100" width="11" style="5" customWidth="1"/>
    <col min="4101" max="4108" width="0" style="5" hidden="1" customWidth="1"/>
    <col min="4109" max="4109" width="9.5" style="5" customWidth="1"/>
    <col min="4110" max="4110" width="9" style="5" customWidth="1"/>
    <col min="4111" max="4111" width="9.5" style="5" customWidth="1"/>
    <col min="4112" max="4112" width="9.125" style="5" customWidth="1"/>
    <col min="4113" max="4113" width="7.125" style="5" bestFit="1" customWidth="1"/>
    <col min="4114" max="4114" width="8.875" style="5" customWidth="1"/>
    <col min="4115" max="4115" width="8.375" style="5" customWidth="1"/>
    <col min="4116" max="4116" width="11.25" style="5" customWidth="1"/>
    <col min="4117" max="4120" width="9.375" style="5" customWidth="1"/>
    <col min="4121" max="4121" width="0" style="5" hidden="1" customWidth="1"/>
    <col min="4122" max="4122" width="9.375" style="5" customWidth="1"/>
    <col min="4123" max="4123" width="8.875" style="5" customWidth="1"/>
    <col min="4124" max="4124" width="8.5" style="5" customWidth="1"/>
    <col min="4125" max="4125" width="9" style="5" bestFit="1" customWidth="1"/>
    <col min="4126" max="4352" width="10" style="5"/>
    <col min="4353" max="4353" width="10" style="5" customWidth="1"/>
    <col min="4354" max="4354" width="11.875" style="5" customWidth="1"/>
    <col min="4355" max="4355" width="17.125" style="5" customWidth="1"/>
    <col min="4356" max="4356" width="11" style="5" customWidth="1"/>
    <col min="4357" max="4364" width="0" style="5" hidden="1" customWidth="1"/>
    <col min="4365" max="4365" width="9.5" style="5" customWidth="1"/>
    <col min="4366" max="4366" width="9" style="5" customWidth="1"/>
    <col min="4367" max="4367" width="9.5" style="5" customWidth="1"/>
    <col min="4368" max="4368" width="9.125" style="5" customWidth="1"/>
    <col min="4369" max="4369" width="7.125" style="5" bestFit="1" customWidth="1"/>
    <col min="4370" max="4370" width="8.875" style="5" customWidth="1"/>
    <col min="4371" max="4371" width="8.375" style="5" customWidth="1"/>
    <col min="4372" max="4372" width="11.25" style="5" customWidth="1"/>
    <col min="4373" max="4376" width="9.375" style="5" customWidth="1"/>
    <col min="4377" max="4377" width="0" style="5" hidden="1" customWidth="1"/>
    <col min="4378" max="4378" width="9.375" style="5" customWidth="1"/>
    <col min="4379" max="4379" width="8.875" style="5" customWidth="1"/>
    <col min="4380" max="4380" width="8.5" style="5" customWidth="1"/>
    <col min="4381" max="4381" width="9" style="5" bestFit="1" customWidth="1"/>
    <col min="4382" max="4608" width="10" style="5"/>
    <col min="4609" max="4609" width="10" style="5" customWidth="1"/>
    <col min="4610" max="4610" width="11.875" style="5" customWidth="1"/>
    <col min="4611" max="4611" width="17.125" style="5" customWidth="1"/>
    <col min="4612" max="4612" width="11" style="5" customWidth="1"/>
    <col min="4613" max="4620" width="0" style="5" hidden="1" customWidth="1"/>
    <col min="4621" max="4621" width="9.5" style="5" customWidth="1"/>
    <col min="4622" max="4622" width="9" style="5" customWidth="1"/>
    <col min="4623" max="4623" width="9.5" style="5" customWidth="1"/>
    <col min="4624" max="4624" width="9.125" style="5" customWidth="1"/>
    <col min="4625" max="4625" width="7.125" style="5" bestFit="1" customWidth="1"/>
    <col min="4626" max="4626" width="8.875" style="5" customWidth="1"/>
    <col min="4627" max="4627" width="8.375" style="5" customWidth="1"/>
    <col min="4628" max="4628" width="11.25" style="5" customWidth="1"/>
    <col min="4629" max="4632" width="9.375" style="5" customWidth="1"/>
    <col min="4633" max="4633" width="0" style="5" hidden="1" customWidth="1"/>
    <col min="4634" max="4634" width="9.375" style="5" customWidth="1"/>
    <col min="4635" max="4635" width="8.875" style="5" customWidth="1"/>
    <col min="4636" max="4636" width="8.5" style="5" customWidth="1"/>
    <col min="4637" max="4637" width="9" style="5" bestFit="1" customWidth="1"/>
    <col min="4638" max="4864" width="10" style="5"/>
    <col min="4865" max="4865" width="10" style="5" customWidth="1"/>
    <col min="4866" max="4866" width="11.875" style="5" customWidth="1"/>
    <col min="4867" max="4867" width="17.125" style="5" customWidth="1"/>
    <col min="4868" max="4868" width="11" style="5" customWidth="1"/>
    <col min="4869" max="4876" width="0" style="5" hidden="1" customWidth="1"/>
    <col min="4877" max="4877" width="9.5" style="5" customWidth="1"/>
    <col min="4878" max="4878" width="9" style="5" customWidth="1"/>
    <col min="4879" max="4879" width="9.5" style="5" customWidth="1"/>
    <col min="4880" max="4880" width="9.125" style="5" customWidth="1"/>
    <col min="4881" max="4881" width="7.125" style="5" bestFit="1" customWidth="1"/>
    <col min="4882" max="4882" width="8.875" style="5" customWidth="1"/>
    <col min="4883" max="4883" width="8.375" style="5" customWidth="1"/>
    <col min="4884" max="4884" width="11.25" style="5" customWidth="1"/>
    <col min="4885" max="4888" width="9.375" style="5" customWidth="1"/>
    <col min="4889" max="4889" width="0" style="5" hidden="1" customWidth="1"/>
    <col min="4890" max="4890" width="9.375" style="5" customWidth="1"/>
    <col min="4891" max="4891" width="8.875" style="5" customWidth="1"/>
    <col min="4892" max="4892" width="8.5" style="5" customWidth="1"/>
    <col min="4893" max="4893" width="9" style="5" bestFit="1" customWidth="1"/>
    <col min="4894" max="5120" width="10" style="5"/>
    <col min="5121" max="5121" width="10" style="5" customWidth="1"/>
    <col min="5122" max="5122" width="11.875" style="5" customWidth="1"/>
    <col min="5123" max="5123" width="17.125" style="5" customWidth="1"/>
    <col min="5124" max="5124" width="11" style="5" customWidth="1"/>
    <col min="5125" max="5132" width="0" style="5" hidden="1" customWidth="1"/>
    <col min="5133" max="5133" width="9.5" style="5" customWidth="1"/>
    <col min="5134" max="5134" width="9" style="5" customWidth="1"/>
    <col min="5135" max="5135" width="9.5" style="5" customWidth="1"/>
    <col min="5136" max="5136" width="9.125" style="5" customWidth="1"/>
    <col min="5137" max="5137" width="7.125" style="5" bestFit="1" customWidth="1"/>
    <col min="5138" max="5138" width="8.875" style="5" customWidth="1"/>
    <col min="5139" max="5139" width="8.375" style="5" customWidth="1"/>
    <col min="5140" max="5140" width="11.25" style="5" customWidth="1"/>
    <col min="5141" max="5144" width="9.375" style="5" customWidth="1"/>
    <col min="5145" max="5145" width="0" style="5" hidden="1" customWidth="1"/>
    <col min="5146" max="5146" width="9.375" style="5" customWidth="1"/>
    <col min="5147" max="5147" width="8.875" style="5" customWidth="1"/>
    <col min="5148" max="5148" width="8.5" style="5" customWidth="1"/>
    <col min="5149" max="5149" width="9" style="5" bestFit="1" customWidth="1"/>
    <col min="5150" max="5376" width="10" style="5"/>
    <col min="5377" max="5377" width="10" style="5" customWidth="1"/>
    <col min="5378" max="5378" width="11.875" style="5" customWidth="1"/>
    <col min="5379" max="5379" width="17.125" style="5" customWidth="1"/>
    <col min="5380" max="5380" width="11" style="5" customWidth="1"/>
    <col min="5381" max="5388" width="0" style="5" hidden="1" customWidth="1"/>
    <col min="5389" max="5389" width="9.5" style="5" customWidth="1"/>
    <col min="5390" max="5390" width="9" style="5" customWidth="1"/>
    <col min="5391" max="5391" width="9.5" style="5" customWidth="1"/>
    <col min="5392" max="5392" width="9.125" style="5" customWidth="1"/>
    <col min="5393" max="5393" width="7.125" style="5" bestFit="1" customWidth="1"/>
    <col min="5394" max="5394" width="8.875" style="5" customWidth="1"/>
    <col min="5395" max="5395" width="8.375" style="5" customWidth="1"/>
    <col min="5396" max="5396" width="11.25" style="5" customWidth="1"/>
    <col min="5397" max="5400" width="9.375" style="5" customWidth="1"/>
    <col min="5401" max="5401" width="0" style="5" hidden="1" customWidth="1"/>
    <col min="5402" max="5402" width="9.375" style="5" customWidth="1"/>
    <col min="5403" max="5403" width="8.875" style="5" customWidth="1"/>
    <col min="5404" max="5404" width="8.5" style="5" customWidth="1"/>
    <col min="5405" max="5405" width="9" style="5" bestFit="1" customWidth="1"/>
    <col min="5406" max="5632" width="10" style="5"/>
    <col min="5633" max="5633" width="10" style="5" customWidth="1"/>
    <col min="5634" max="5634" width="11.875" style="5" customWidth="1"/>
    <col min="5635" max="5635" width="17.125" style="5" customWidth="1"/>
    <col min="5636" max="5636" width="11" style="5" customWidth="1"/>
    <col min="5637" max="5644" width="0" style="5" hidden="1" customWidth="1"/>
    <col min="5645" max="5645" width="9.5" style="5" customWidth="1"/>
    <col min="5646" max="5646" width="9" style="5" customWidth="1"/>
    <col min="5647" max="5647" width="9.5" style="5" customWidth="1"/>
    <col min="5648" max="5648" width="9.125" style="5" customWidth="1"/>
    <col min="5649" max="5649" width="7.125" style="5" bestFit="1" customWidth="1"/>
    <col min="5650" max="5650" width="8.875" style="5" customWidth="1"/>
    <col min="5651" max="5651" width="8.375" style="5" customWidth="1"/>
    <col min="5652" max="5652" width="11.25" style="5" customWidth="1"/>
    <col min="5653" max="5656" width="9.375" style="5" customWidth="1"/>
    <col min="5657" max="5657" width="0" style="5" hidden="1" customWidth="1"/>
    <col min="5658" max="5658" width="9.375" style="5" customWidth="1"/>
    <col min="5659" max="5659" width="8.875" style="5" customWidth="1"/>
    <col min="5660" max="5660" width="8.5" style="5" customWidth="1"/>
    <col min="5661" max="5661" width="9" style="5" bestFit="1" customWidth="1"/>
    <col min="5662" max="5888" width="10" style="5"/>
    <col min="5889" max="5889" width="10" style="5" customWidth="1"/>
    <col min="5890" max="5890" width="11.875" style="5" customWidth="1"/>
    <col min="5891" max="5891" width="17.125" style="5" customWidth="1"/>
    <col min="5892" max="5892" width="11" style="5" customWidth="1"/>
    <col min="5893" max="5900" width="0" style="5" hidden="1" customWidth="1"/>
    <col min="5901" max="5901" width="9.5" style="5" customWidth="1"/>
    <col min="5902" max="5902" width="9" style="5" customWidth="1"/>
    <col min="5903" max="5903" width="9.5" style="5" customWidth="1"/>
    <col min="5904" max="5904" width="9.125" style="5" customWidth="1"/>
    <col min="5905" max="5905" width="7.125" style="5" bestFit="1" customWidth="1"/>
    <col min="5906" max="5906" width="8.875" style="5" customWidth="1"/>
    <col min="5907" max="5907" width="8.375" style="5" customWidth="1"/>
    <col min="5908" max="5908" width="11.25" style="5" customWidth="1"/>
    <col min="5909" max="5912" width="9.375" style="5" customWidth="1"/>
    <col min="5913" max="5913" width="0" style="5" hidden="1" customWidth="1"/>
    <col min="5914" max="5914" width="9.375" style="5" customWidth="1"/>
    <col min="5915" max="5915" width="8.875" style="5" customWidth="1"/>
    <col min="5916" max="5916" width="8.5" style="5" customWidth="1"/>
    <col min="5917" max="5917" width="9" style="5" bestFit="1" customWidth="1"/>
    <col min="5918" max="6144" width="10" style="5"/>
    <col min="6145" max="6145" width="10" style="5" customWidth="1"/>
    <col min="6146" max="6146" width="11.875" style="5" customWidth="1"/>
    <col min="6147" max="6147" width="17.125" style="5" customWidth="1"/>
    <col min="6148" max="6148" width="11" style="5" customWidth="1"/>
    <col min="6149" max="6156" width="0" style="5" hidden="1" customWidth="1"/>
    <col min="6157" max="6157" width="9.5" style="5" customWidth="1"/>
    <col min="6158" max="6158" width="9" style="5" customWidth="1"/>
    <col min="6159" max="6159" width="9.5" style="5" customWidth="1"/>
    <col min="6160" max="6160" width="9.125" style="5" customWidth="1"/>
    <col min="6161" max="6161" width="7.125" style="5" bestFit="1" customWidth="1"/>
    <col min="6162" max="6162" width="8.875" style="5" customWidth="1"/>
    <col min="6163" max="6163" width="8.375" style="5" customWidth="1"/>
    <col min="6164" max="6164" width="11.25" style="5" customWidth="1"/>
    <col min="6165" max="6168" width="9.375" style="5" customWidth="1"/>
    <col min="6169" max="6169" width="0" style="5" hidden="1" customWidth="1"/>
    <col min="6170" max="6170" width="9.375" style="5" customWidth="1"/>
    <col min="6171" max="6171" width="8.875" style="5" customWidth="1"/>
    <col min="6172" max="6172" width="8.5" style="5" customWidth="1"/>
    <col min="6173" max="6173" width="9" style="5" bestFit="1" customWidth="1"/>
    <col min="6174" max="6400" width="10" style="5"/>
    <col min="6401" max="6401" width="10" style="5" customWidth="1"/>
    <col min="6402" max="6402" width="11.875" style="5" customWidth="1"/>
    <col min="6403" max="6403" width="17.125" style="5" customWidth="1"/>
    <col min="6404" max="6404" width="11" style="5" customWidth="1"/>
    <col min="6405" max="6412" width="0" style="5" hidden="1" customWidth="1"/>
    <col min="6413" max="6413" width="9.5" style="5" customWidth="1"/>
    <col min="6414" max="6414" width="9" style="5" customWidth="1"/>
    <col min="6415" max="6415" width="9.5" style="5" customWidth="1"/>
    <col min="6416" max="6416" width="9.125" style="5" customWidth="1"/>
    <col min="6417" max="6417" width="7.125" style="5" bestFit="1" customWidth="1"/>
    <col min="6418" max="6418" width="8.875" style="5" customWidth="1"/>
    <col min="6419" max="6419" width="8.375" style="5" customWidth="1"/>
    <col min="6420" max="6420" width="11.25" style="5" customWidth="1"/>
    <col min="6421" max="6424" width="9.375" style="5" customWidth="1"/>
    <col min="6425" max="6425" width="0" style="5" hidden="1" customWidth="1"/>
    <col min="6426" max="6426" width="9.375" style="5" customWidth="1"/>
    <col min="6427" max="6427" width="8.875" style="5" customWidth="1"/>
    <col min="6428" max="6428" width="8.5" style="5" customWidth="1"/>
    <col min="6429" max="6429" width="9" style="5" bestFit="1" customWidth="1"/>
    <col min="6430" max="6656" width="10" style="5"/>
    <col min="6657" max="6657" width="10" style="5" customWidth="1"/>
    <col min="6658" max="6658" width="11.875" style="5" customWidth="1"/>
    <col min="6659" max="6659" width="17.125" style="5" customWidth="1"/>
    <col min="6660" max="6660" width="11" style="5" customWidth="1"/>
    <col min="6661" max="6668" width="0" style="5" hidden="1" customWidth="1"/>
    <col min="6669" max="6669" width="9.5" style="5" customWidth="1"/>
    <col min="6670" max="6670" width="9" style="5" customWidth="1"/>
    <col min="6671" max="6671" width="9.5" style="5" customWidth="1"/>
    <col min="6672" max="6672" width="9.125" style="5" customWidth="1"/>
    <col min="6673" max="6673" width="7.125" style="5" bestFit="1" customWidth="1"/>
    <col min="6674" max="6674" width="8.875" style="5" customWidth="1"/>
    <col min="6675" max="6675" width="8.375" style="5" customWidth="1"/>
    <col min="6676" max="6676" width="11.25" style="5" customWidth="1"/>
    <col min="6677" max="6680" width="9.375" style="5" customWidth="1"/>
    <col min="6681" max="6681" width="0" style="5" hidden="1" customWidth="1"/>
    <col min="6682" max="6682" width="9.375" style="5" customWidth="1"/>
    <col min="6683" max="6683" width="8.875" style="5" customWidth="1"/>
    <col min="6684" max="6684" width="8.5" style="5" customWidth="1"/>
    <col min="6685" max="6685" width="9" style="5" bestFit="1" customWidth="1"/>
    <col min="6686" max="6912" width="10" style="5"/>
    <col min="6913" max="6913" width="10" style="5" customWidth="1"/>
    <col min="6914" max="6914" width="11.875" style="5" customWidth="1"/>
    <col min="6915" max="6915" width="17.125" style="5" customWidth="1"/>
    <col min="6916" max="6916" width="11" style="5" customWidth="1"/>
    <col min="6917" max="6924" width="0" style="5" hidden="1" customWidth="1"/>
    <col min="6925" max="6925" width="9.5" style="5" customWidth="1"/>
    <col min="6926" max="6926" width="9" style="5" customWidth="1"/>
    <col min="6927" max="6927" width="9.5" style="5" customWidth="1"/>
    <col min="6928" max="6928" width="9.125" style="5" customWidth="1"/>
    <col min="6929" max="6929" width="7.125" style="5" bestFit="1" customWidth="1"/>
    <col min="6930" max="6930" width="8.875" style="5" customWidth="1"/>
    <col min="6931" max="6931" width="8.375" style="5" customWidth="1"/>
    <col min="6932" max="6932" width="11.25" style="5" customWidth="1"/>
    <col min="6933" max="6936" width="9.375" style="5" customWidth="1"/>
    <col min="6937" max="6937" width="0" style="5" hidden="1" customWidth="1"/>
    <col min="6938" max="6938" width="9.375" style="5" customWidth="1"/>
    <col min="6939" max="6939" width="8.875" style="5" customWidth="1"/>
    <col min="6940" max="6940" width="8.5" style="5" customWidth="1"/>
    <col min="6941" max="6941" width="9" style="5" bestFit="1" customWidth="1"/>
    <col min="6942" max="7168" width="10" style="5"/>
    <col min="7169" max="7169" width="10" style="5" customWidth="1"/>
    <col min="7170" max="7170" width="11.875" style="5" customWidth="1"/>
    <col min="7171" max="7171" width="17.125" style="5" customWidth="1"/>
    <col min="7172" max="7172" width="11" style="5" customWidth="1"/>
    <col min="7173" max="7180" width="0" style="5" hidden="1" customWidth="1"/>
    <col min="7181" max="7181" width="9.5" style="5" customWidth="1"/>
    <col min="7182" max="7182" width="9" style="5" customWidth="1"/>
    <col min="7183" max="7183" width="9.5" style="5" customWidth="1"/>
    <col min="7184" max="7184" width="9.125" style="5" customWidth="1"/>
    <col min="7185" max="7185" width="7.125" style="5" bestFit="1" customWidth="1"/>
    <col min="7186" max="7186" width="8.875" style="5" customWidth="1"/>
    <col min="7187" max="7187" width="8.375" style="5" customWidth="1"/>
    <col min="7188" max="7188" width="11.25" style="5" customWidth="1"/>
    <col min="7189" max="7192" width="9.375" style="5" customWidth="1"/>
    <col min="7193" max="7193" width="0" style="5" hidden="1" customWidth="1"/>
    <col min="7194" max="7194" width="9.375" style="5" customWidth="1"/>
    <col min="7195" max="7195" width="8.875" style="5" customWidth="1"/>
    <col min="7196" max="7196" width="8.5" style="5" customWidth="1"/>
    <col min="7197" max="7197" width="9" style="5" bestFit="1" customWidth="1"/>
    <col min="7198" max="7424" width="10" style="5"/>
    <col min="7425" max="7425" width="10" style="5" customWidth="1"/>
    <col min="7426" max="7426" width="11.875" style="5" customWidth="1"/>
    <col min="7427" max="7427" width="17.125" style="5" customWidth="1"/>
    <col min="7428" max="7428" width="11" style="5" customWidth="1"/>
    <col min="7429" max="7436" width="0" style="5" hidden="1" customWidth="1"/>
    <col min="7437" max="7437" width="9.5" style="5" customWidth="1"/>
    <col min="7438" max="7438" width="9" style="5" customWidth="1"/>
    <col min="7439" max="7439" width="9.5" style="5" customWidth="1"/>
    <col min="7440" max="7440" width="9.125" style="5" customWidth="1"/>
    <col min="7441" max="7441" width="7.125" style="5" bestFit="1" customWidth="1"/>
    <col min="7442" max="7442" width="8.875" style="5" customWidth="1"/>
    <col min="7443" max="7443" width="8.375" style="5" customWidth="1"/>
    <col min="7444" max="7444" width="11.25" style="5" customWidth="1"/>
    <col min="7445" max="7448" width="9.375" style="5" customWidth="1"/>
    <col min="7449" max="7449" width="0" style="5" hidden="1" customWidth="1"/>
    <col min="7450" max="7450" width="9.375" style="5" customWidth="1"/>
    <col min="7451" max="7451" width="8.875" style="5" customWidth="1"/>
    <col min="7452" max="7452" width="8.5" style="5" customWidth="1"/>
    <col min="7453" max="7453" width="9" style="5" bestFit="1" customWidth="1"/>
    <col min="7454" max="7680" width="10" style="5"/>
    <col min="7681" max="7681" width="10" style="5" customWidth="1"/>
    <col min="7682" max="7682" width="11.875" style="5" customWidth="1"/>
    <col min="7683" max="7683" width="17.125" style="5" customWidth="1"/>
    <col min="7684" max="7684" width="11" style="5" customWidth="1"/>
    <col min="7685" max="7692" width="0" style="5" hidden="1" customWidth="1"/>
    <col min="7693" max="7693" width="9.5" style="5" customWidth="1"/>
    <col min="7694" max="7694" width="9" style="5" customWidth="1"/>
    <col min="7695" max="7695" width="9.5" style="5" customWidth="1"/>
    <col min="7696" max="7696" width="9.125" style="5" customWidth="1"/>
    <col min="7697" max="7697" width="7.125" style="5" bestFit="1" customWidth="1"/>
    <col min="7698" max="7698" width="8.875" style="5" customWidth="1"/>
    <col min="7699" max="7699" width="8.375" style="5" customWidth="1"/>
    <col min="7700" max="7700" width="11.25" style="5" customWidth="1"/>
    <col min="7701" max="7704" width="9.375" style="5" customWidth="1"/>
    <col min="7705" max="7705" width="0" style="5" hidden="1" customWidth="1"/>
    <col min="7706" max="7706" width="9.375" style="5" customWidth="1"/>
    <col min="7707" max="7707" width="8.875" style="5" customWidth="1"/>
    <col min="7708" max="7708" width="8.5" style="5" customWidth="1"/>
    <col min="7709" max="7709" width="9" style="5" bestFit="1" customWidth="1"/>
    <col min="7710" max="7936" width="10" style="5"/>
    <col min="7937" max="7937" width="10" style="5" customWidth="1"/>
    <col min="7938" max="7938" width="11.875" style="5" customWidth="1"/>
    <col min="7939" max="7939" width="17.125" style="5" customWidth="1"/>
    <col min="7940" max="7940" width="11" style="5" customWidth="1"/>
    <col min="7941" max="7948" width="0" style="5" hidden="1" customWidth="1"/>
    <col min="7949" max="7949" width="9.5" style="5" customWidth="1"/>
    <col min="7950" max="7950" width="9" style="5" customWidth="1"/>
    <col min="7951" max="7951" width="9.5" style="5" customWidth="1"/>
    <col min="7952" max="7952" width="9.125" style="5" customWidth="1"/>
    <col min="7953" max="7953" width="7.125" style="5" bestFit="1" customWidth="1"/>
    <col min="7954" max="7954" width="8.875" style="5" customWidth="1"/>
    <col min="7955" max="7955" width="8.375" style="5" customWidth="1"/>
    <col min="7956" max="7956" width="11.25" style="5" customWidth="1"/>
    <col min="7957" max="7960" width="9.375" style="5" customWidth="1"/>
    <col min="7961" max="7961" width="0" style="5" hidden="1" customWidth="1"/>
    <col min="7962" max="7962" width="9.375" style="5" customWidth="1"/>
    <col min="7963" max="7963" width="8.875" style="5" customWidth="1"/>
    <col min="7964" max="7964" width="8.5" style="5" customWidth="1"/>
    <col min="7965" max="7965" width="9" style="5" bestFit="1" customWidth="1"/>
    <col min="7966" max="8192" width="10" style="5"/>
    <col min="8193" max="8193" width="10" style="5" customWidth="1"/>
    <col min="8194" max="8194" width="11.875" style="5" customWidth="1"/>
    <col min="8195" max="8195" width="17.125" style="5" customWidth="1"/>
    <col min="8196" max="8196" width="11" style="5" customWidth="1"/>
    <col min="8197" max="8204" width="0" style="5" hidden="1" customWidth="1"/>
    <col min="8205" max="8205" width="9.5" style="5" customWidth="1"/>
    <col min="8206" max="8206" width="9" style="5" customWidth="1"/>
    <col min="8207" max="8207" width="9.5" style="5" customWidth="1"/>
    <col min="8208" max="8208" width="9.125" style="5" customWidth="1"/>
    <col min="8209" max="8209" width="7.125" style="5" bestFit="1" customWidth="1"/>
    <col min="8210" max="8210" width="8.875" style="5" customWidth="1"/>
    <col min="8211" max="8211" width="8.375" style="5" customWidth="1"/>
    <col min="8212" max="8212" width="11.25" style="5" customWidth="1"/>
    <col min="8213" max="8216" width="9.375" style="5" customWidth="1"/>
    <col min="8217" max="8217" width="0" style="5" hidden="1" customWidth="1"/>
    <col min="8218" max="8218" width="9.375" style="5" customWidth="1"/>
    <col min="8219" max="8219" width="8.875" style="5" customWidth="1"/>
    <col min="8220" max="8220" width="8.5" style="5" customWidth="1"/>
    <col min="8221" max="8221" width="9" style="5" bestFit="1" customWidth="1"/>
    <col min="8222" max="8448" width="10" style="5"/>
    <col min="8449" max="8449" width="10" style="5" customWidth="1"/>
    <col min="8450" max="8450" width="11.875" style="5" customWidth="1"/>
    <col min="8451" max="8451" width="17.125" style="5" customWidth="1"/>
    <col min="8452" max="8452" width="11" style="5" customWidth="1"/>
    <col min="8453" max="8460" width="0" style="5" hidden="1" customWidth="1"/>
    <col min="8461" max="8461" width="9.5" style="5" customWidth="1"/>
    <col min="8462" max="8462" width="9" style="5" customWidth="1"/>
    <col min="8463" max="8463" width="9.5" style="5" customWidth="1"/>
    <col min="8464" max="8464" width="9.125" style="5" customWidth="1"/>
    <col min="8465" max="8465" width="7.125" style="5" bestFit="1" customWidth="1"/>
    <col min="8466" max="8466" width="8.875" style="5" customWidth="1"/>
    <col min="8467" max="8467" width="8.375" style="5" customWidth="1"/>
    <col min="8468" max="8468" width="11.25" style="5" customWidth="1"/>
    <col min="8469" max="8472" width="9.375" style="5" customWidth="1"/>
    <col min="8473" max="8473" width="0" style="5" hidden="1" customWidth="1"/>
    <col min="8474" max="8474" width="9.375" style="5" customWidth="1"/>
    <col min="8475" max="8475" width="8.875" style="5" customWidth="1"/>
    <col min="8476" max="8476" width="8.5" style="5" customWidth="1"/>
    <col min="8477" max="8477" width="9" style="5" bestFit="1" customWidth="1"/>
    <col min="8478" max="8704" width="10" style="5"/>
    <col min="8705" max="8705" width="10" style="5" customWidth="1"/>
    <col min="8706" max="8706" width="11.875" style="5" customWidth="1"/>
    <col min="8707" max="8707" width="17.125" style="5" customWidth="1"/>
    <col min="8708" max="8708" width="11" style="5" customWidth="1"/>
    <col min="8709" max="8716" width="0" style="5" hidden="1" customWidth="1"/>
    <col min="8717" max="8717" width="9.5" style="5" customWidth="1"/>
    <col min="8718" max="8718" width="9" style="5" customWidth="1"/>
    <col min="8719" max="8719" width="9.5" style="5" customWidth="1"/>
    <col min="8720" max="8720" width="9.125" style="5" customWidth="1"/>
    <col min="8721" max="8721" width="7.125" style="5" bestFit="1" customWidth="1"/>
    <col min="8722" max="8722" width="8.875" style="5" customWidth="1"/>
    <col min="8723" max="8723" width="8.375" style="5" customWidth="1"/>
    <col min="8724" max="8724" width="11.25" style="5" customWidth="1"/>
    <col min="8725" max="8728" width="9.375" style="5" customWidth="1"/>
    <col min="8729" max="8729" width="0" style="5" hidden="1" customWidth="1"/>
    <col min="8730" max="8730" width="9.375" style="5" customWidth="1"/>
    <col min="8731" max="8731" width="8.875" style="5" customWidth="1"/>
    <col min="8732" max="8732" width="8.5" style="5" customWidth="1"/>
    <col min="8733" max="8733" width="9" style="5" bestFit="1" customWidth="1"/>
    <col min="8734" max="8960" width="10" style="5"/>
    <col min="8961" max="8961" width="10" style="5" customWidth="1"/>
    <col min="8962" max="8962" width="11.875" style="5" customWidth="1"/>
    <col min="8963" max="8963" width="17.125" style="5" customWidth="1"/>
    <col min="8964" max="8964" width="11" style="5" customWidth="1"/>
    <col min="8965" max="8972" width="0" style="5" hidden="1" customWidth="1"/>
    <col min="8973" max="8973" width="9.5" style="5" customWidth="1"/>
    <col min="8974" max="8974" width="9" style="5" customWidth="1"/>
    <col min="8975" max="8975" width="9.5" style="5" customWidth="1"/>
    <col min="8976" max="8976" width="9.125" style="5" customWidth="1"/>
    <col min="8977" max="8977" width="7.125" style="5" bestFit="1" customWidth="1"/>
    <col min="8978" max="8978" width="8.875" style="5" customWidth="1"/>
    <col min="8979" max="8979" width="8.375" style="5" customWidth="1"/>
    <col min="8980" max="8980" width="11.25" style="5" customWidth="1"/>
    <col min="8981" max="8984" width="9.375" style="5" customWidth="1"/>
    <col min="8985" max="8985" width="0" style="5" hidden="1" customWidth="1"/>
    <col min="8986" max="8986" width="9.375" style="5" customWidth="1"/>
    <col min="8987" max="8987" width="8.875" style="5" customWidth="1"/>
    <col min="8988" max="8988" width="8.5" style="5" customWidth="1"/>
    <col min="8989" max="8989" width="9" style="5" bestFit="1" customWidth="1"/>
    <col min="8990" max="9216" width="10" style="5"/>
    <col min="9217" max="9217" width="10" style="5" customWidth="1"/>
    <col min="9218" max="9218" width="11.875" style="5" customWidth="1"/>
    <col min="9219" max="9219" width="17.125" style="5" customWidth="1"/>
    <col min="9220" max="9220" width="11" style="5" customWidth="1"/>
    <col min="9221" max="9228" width="0" style="5" hidden="1" customWidth="1"/>
    <col min="9229" max="9229" width="9.5" style="5" customWidth="1"/>
    <col min="9230" max="9230" width="9" style="5" customWidth="1"/>
    <col min="9231" max="9231" width="9.5" style="5" customWidth="1"/>
    <col min="9232" max="9232" width="9.125" style="5" customWidth="1"/>
    <col min="9233" max="9233" width="7.125" style="5" bestFit="1" customWidth="1"/>
    <col min="9234" max="9234" width="8.875" style="5" customWidth="1"/>
    <col min="9235" max="9235" width="8.375" style="5" customWidth="1"/>
    <col min="9236" max="9236" width="11.25" style="5" customWidth="1"/>
    <col min="9237" max="9240" width="9.375" style="5" customWidth="1"/>
    <col min="9241" max="9241" width="0" style="5" hidden="1" customWidth="1"/>
    <col min="9242" max="9242" width="9.375" style="5" customWidth="1"/>
    <col min="9243" max="9243" width="8.875" style="5" customWidth="1"/>
    <col min="9244" max="9244" width="8.5" style="5" customWidth="1"/>
    <col min="9245" max="9245" width="9" style="5" bestFit="1" customWidth="1"/>
    <col min="9246" max="9472" width="10" style="5"/>
    <col min="9473" max="9473" width="10" style="5" customWidth="1"/>
    <col min="9474" max="9474" width="11.875" style="5" customWidth="1"/>
    <col min="9475" max="9475" width="17.125" style="5" customWidth="1"/>
    <col min="9476" max="9476" width="11" style="5" customWidth="1"/>
    <col min="9477" max="9484" width="0" style="5" hidden="1" customWidth="1"/>
    <col min="9485" max="9485" width="9.5" style="5" customWidth="1"/>
    <col min="9486" max="9486" width="9" style="5" customWidth="1"/>
    <col min="9487" max="9487" width="9.5" style="5" customWidth="1"/>
    <col min="9488" max="9488" width="9.125" style="5" customWidth="1"/>
    <col min="9489" max="9489" width="7.125" style="5" bestFit="1" customWidth="1"/>
    <col min="9490" max="9490" width="8.875" style="5" customWidth="1"/>
    <col min="9491" max="9491" width="8.375" style="5" customWidth="1"/>
    <col min="9492" max="9492" width="11.25" style="5" customWidth="1"/>
    <col min="9493" max="9496" width="9.375" style="5" customWidth="1"/>
    <col min="9497" max="9497" width="0" style="5" hidden="1" customWidth="1"/>
    <col min="9498" max="9498" width="9.375" style="5" customWidth="1"/>
    <col min="9499" max="9499" width="8.875" style="5" customWidth="1"/>
    <col min="9500" max="9500" width="8.5" style="5" customWidth="1"/>
    <col min="9501" max="9501" width="9" style="5" bestFit="1" customWidth="1"/>
    <col min="9502" max="9728" width="10" style="5"/>
    <col min="9729" max="9729" width="10" style="5" customWidth="1"/>
    <col min="9730" max="9730" width="11.875" style="5" customWidth="1"/>
    <col min="9731" max="9731" width="17.125" style="5" customWidth="1"/>
    <col min="9732" max="9732" width="11" style="5" customWidth="1"/>
    <col min="9733" max="9740" width="0" style="5" hidden="1" customWidth="1"/>
    <col min="9741" max="9741" width="9.5" style="5" customWidth="1"/>
    <col min="9742" max="9742" width="9" style="5" customWidth="1"/>
    <col min="9743" max="9743" width="9.5" style="5" customWidth="1"/>
    <col min="9744" max="9744" width="9.125" style="5" customWidth="1"/>
    <col min="9745" max="9745" width="7.125" style="5" bestFit="1" customWidth="1"/>
    <col min="9746" max="9746" width="8.875" style="5" customWidth="1"/>
    <col min="9747" max="9747" width="8.375" style="5" customWidth="1"/>
    <col min="9748" max="9748" width="11.25" style="5" customWidth="1"/>
    <col min="9749" max="9752" width="9.375" style="5" customWidth="1"/>
    <col min="9753" max="9753" width="0" style="5" hidden="1" customWidth="1"/>
    <col min="9754" max="9754" width="9.375" style="5" customWidth="1"/>
    <col min="9755" max="9755" width="8.875" style="5" customWidth="1"/>
    <col min="9756" max="9756" width="8.5" style="5" customWidth="1"/>
    <col min="9757" max="9757" width="9" style="5" bestFit="1" customWidth="1"/>
    <col min="9758" max="9984" width="10" style="5"/>
    <col min="9985" max="9985" width="10" style="5" customWidth="1"/>
    <col min="9986" max="9986" width="11.875" style="5" customWidth="1"/>
    <col min="9987" max="9987" width="17.125" style="5" customWidth="1"/>
    <col min="9988" max="9988" width="11" style="5" customWidth="1"/>
    <col min="9989" max="9996" width="0" style="5" hidden="1" customWidth="1"/>
    <col min="9997" max="9997" width="9.5" style="5" customWidth="1"/>
    <col min="9998" max="9998" width="9" style="5" customWidth="1"/>
    <col min="9999" max="9999" width="9.5" style="5" customWidth="1"/>
    <col min="10000" max="10000" width="9.125" style="5" customWidth="1"/>
    <col min="10001" max="10001" width="7.125" style="5" bestFit="1" customWidth="1"/>
    <col min="10002" max="10002" width="8.875" style="5" customWidth="1"/>
    <col min="10003" max="10003" width="8.375" style="5" customWidth="1"/>
    <col min="10004" max="10004" width="11.25" style="5" customWidth="1"/>
    <col min="10005" max="10008" width="9.375" style="5" customWidth="1"/>
    <col min="10009" max="10009" width="0" style="5" hidden="1" customWidth="1"/>
    <col min="10010" max="10010" width="9.375" style="5" customWidth="1"/>
    <col min="10011" max="10011" width="8.875" style="5" customWidth="1"/>
    <col min="10012" max="10012" width="8.5" style="5" customWidth="1"/>
    <col min="10013" max="10013" width="9" style="5" bestFit="1" customWidth="1"/>
    <col min="10014" max="10240" width="10" style="5"/>
    <col min="10241" max="10241" width="10" style="5" customWidth="1"/>
    <col min="10242" max="10242" width="11.875" style="5" customWidth="1"/>
    <col min="10243" max="10243" width="17.125" style="5" customWidth="1"/>
    <col min="10244" max="10244" width="11" style="5" customWidth="1"/>
    <col min="10245" max="10252" width="0" style="5" hidden="1" customWidth="1"/>
    <col min="10253" max="10253" width="9.5" style="5" customWidth="1"/>
    <col min="10254" max="10254" width="9" style="5" customWidth="1"/>
    <col min="10255" max="10255" width="9.5" style="5" customWidth="1"/>
    <col min="10256" max="10256" width="9.125" style="5" customWidth="1"/>
    <col min="10257" max="10257" width="7.125" style="5" bestFit="1" customWidth="1"/>
    <col min="10258" max="10258" width="8.875" style="5" customWidth="1"/>
    <col min="10259" max="10259" width="8.375" style="5" customWidth="1"/>
    <col min="10260" max="10260" width="11.25" style="5" customWidth="1"/>
    <col min="10261" max="10264" width="9.375" style="5" customWidth="1"/>
    <col min="10265" max="10265" width="0" style="5" hidden="1" customWidth="1"/>
    <col min="10266" max="10266" width="9.375" style="5" customWidth="1"/>
    <col min="10267" max="10267" width="8.875" style="5" customWidth="1"/>
    <col min="10268" max="10268" width="8.5" style="5" customWidth="1"/>
    <col min="10269" max="10269" width="9" style="5" bestFit="1" customWidth="1"/>
    <col min="10270" max="10496" width="10" style="5"/>
    <col min="10497" max="10497" width="10" style="5" customWidth="1"/>
    <col min="10498" max="10498" width="11.875" style="5" customWidth="1"/>
    <col min="10499" max="10499" width="17.125" style="5" customWidth="1"/>
    <col min="10500" max="10500" width="11" style="5" customWidth="1"/>
    <col min="10501" max="10508" width="0" style="5" hidden="1" customWidth="1"/>
    <col min="10509" max="10509" width="9.5" style="5" customWidth="1"/>
    <col min="10510" max="10510" width="9" style="5" customWidth="1"/>
    <col min="10511" max="10511" width="9.5" style="5" customWidth="1"/>
    <col min="10512" max="10512" width="9.125" style="5" customWidth="1"/>
    <col min="10513" max="10513" width="7.125" style="5" bestFit="1" customWidth="1"/>
    <col min="10514" max="10514" width="8.875" style="5" customWidth="1"/>
    <col min="10515" max="10515" width="8.375" style="5" customWidth="1"/>
    <col min="10516" max="10516" width="11.25" style="5" customWidth="1"/>
    <col min="10517" max="10520" width="9.375" style="5" customWidth="1"/>
    <col min="10521" max="10521" width="0" style="5" hidden="1" customWidth="1"/>
    <col min="10522" max="10522" width="9.375" style="5" customWidth="1"/>
    <col min="10523" max="10523" width="8.875" style="5" customWidth="1"/>
    <col min="10524" max="10524" width="8.5" style="5" customWidth="1"/>
    <col min="10525" max="10525" width="9" style="5" bestFit="1" customWidth="1"/>
    <col min="10526" max="10752" width="10" style="5"/>
    <col min="10753" max="10753" width="10" style="5" customWidth="1"/>
    <col min="10754" max="10754" width="11.875" style="5" customWidth="1"/>
    <col min="10755" max="10755" width="17.125" style="5" customWidth="1"/>
    <col min="10756" max="10756" width="11" style="5" customWidth="1"/>
    <col min="10757" max="10764" width="0" style="5" hidden="1" customWidth="1"/>
    <col min="10765" max="10765" width="9.5" style="5" customWidth="1"/>
    <col min="10766" max="10766" width="9" style="5" customWidth="1"/>
    <col min="10767" max="10767" width="9.5" style="5" customWidth="1"/>
    <col min="10768" max="10768" width="9.125" style="5" customWidth="1"/>
    <col min="10769" max="10769" width="7.125" style="5" bestFit="1" customWidth="1"/>
    <col min="10770" max="10770" width="8.875" style="5" customWidth="1"/>
    <col min="10771" max="10771" width="8.375" style="5" customWidth="1"/>
    <col min="10772" max="10772" width="11.25" style="5" customWidth="1"/>
    <col min="10773" max="10776" width="9.375" style="5" customWidth="1"/>
    <col min="10777" max="10777" width="0" style="5" hidden="1" customWidth="1"/>
    <col min="10778" max="10778" width="9.375" style="5" customWidth="1"/>
    <col min="10779" max="10779" width="8.875" style="5" customWidth="1"/>
    <col min="10780" max="10780" width="8.5" style="5" customWidth="1"/>
    <col min="10781" max="10781" width="9" style="5" bestFit="1" customWidth="1"/>
    <col min="10782" max="11008" width="10" style="5"/>
    <col min="11009" max="11009" width="10" style="5" customWidth="1"/>
    <col min="11010" max="11010" width="11.875" style="5" customWidth="1"/>
    <col min="11011" max="11011" width="17.125" style="5" customWidth="1"/>
    <col min="11012" max="11012" width="11" style="5" customWidth="1"/>
    <col min="11013" max="11020" width="0" style="5" hidden="1" customWidth="1"/>
    <col min="11021" max="11021" width="9.5" style="5" customWidth="1"/>
    <col min="11022" max="11022" width="9" style="5" customWidth="1"/>
    <col min="11023" max="11023" width="9.5" style="5" customWidth="1"/>
    <col min="11024" max="11024" width="9.125" style="5" customWidth="1"/>
    <col min="11025" max="11025" width="7.125" style="5" bestFit="1" customWidth="1"/>
    <col min="11026" max="11026" width="8.875" style="5" customWidth="1"/>
    <col min="11027" max="11027" width="8.375" style="5" customWidth="1"/>
    <col min="11028" max="11028" width="11.25" style="5" customWidth="1"/>
    <col min="11029" max="11032" width="9.375" style="5" customWidth="1"/>
    <col min="11033" max="11033" width="0" style="5" hidden="1" customWidth="1"/>
    <col min="11034" max="11034" width="9.375" style="5" customWidth="1"/>
    <col min="11035" max="11035" width="8.875" style="5" customWidth="1"/>
    <col min="11036" max="11036" width="8.5" style="5" customWidth="1"/>
    <col min="11037" max="11037" width="9" style="5" bestFit="1" customWidth="1"/>
    <col min="11038" max="11264" width="10" style="5"/>
    <col min="11265" max="11265" width="10" style="5" customWidth="1"/>
    <col min="11266" max="11266" width="11.875" style="5" customWidth="1"/>
    <col min="11267" max="11267" width="17.125" style="5" customWidth="1"/>
    <col min="11268" max="11268" width="11" style="5" customWidth="1"/>
    <col min="11269" max="11276" width="0" style="5" hidden="1" customWidth="1"/>
    <col min="11277" max="11277" width="9.5" style="5" customWidth="1"/>
    <col min="11278" max="11278" width="9" style="5" customWidth="1"/>
    <col min="11279" max="11279" width="9.5" style="5" customWidth="1"/>
    <col min="11280" max="11280" width="9.125" style="5" customWidth="1"/>
    <col min="11281" max="11281" width="7.125" style="5" bestFit="1" customWidth="1"/>
    <col min="11282" max="11282" width="8.875" style="5" customWidth="1"/>
    <col min="11283" max="11283" width="8.375" style="5" customWidth="1"/>
    <col min="11284" max="11284" width="11.25" style="5" customWidth="1"/>
    <col min="11285" max="11288" width="9.375" style="5" customWidth="1"/>
    <col min="11289" max="11289" width="0" style="5" hidden="1" customWidth="1"/>
    <col min="11290" max="11290" width="9.375" style="5" customWidth="1"/>
    <col min="11291" max="11291" width="8.875" style="5" customWidth="1"/>
    <col min="11292" max="11292" width="8.5" style="5" customWidth="1"/>
    <col min="11293" max="11293" width="9" style="5" bestFit="1" customWidth="1"/>
    <col min="11294" max="11520" width="10" style="5"/>
    <col min="11521" max="11521" width="10" style="5" customWidth="1"/>
    <col min="11522" max="11522" width="11.875" style="5" customWidth="1"/>
    <col min="11523" max="11523" width="17.125" style="5" customWidth="1"/>
    <col min="11524" max="11524" width="11" style="5" customWidth="1"/>
    <col min="11525" max="11532" width="0" style="5" hidden="1" customWidth="1"/>
    <col min="11533" max="11533" width="9.5" style="5" customWidth="1"/>
    <col min="11534" max="11534" width="9" style="5" customWidth="1"/>
    <col min="11535" max="11535" width="9.5" style="5" customWidth="1"/>
    <col min="11536" max="11536" width="9.125" style="5" customWidth="1"/>
    <col min="11537" max="11537" width="7.125" style="5" bestFit="1" customWidth="1"/>
    <col min="11538" max="11538" width="8.875" style="5" customWidth="1"/>
    <col min="11539" max="11539" width="8.375" style="5" customWidth="1"/>
    <col min="11540" max="11540" width="11.25" style="5" customWidth="1"/>
    <col min="11541" max="11544" width="9.375" style="5" customWidth="1"/>
    <col min="11545" max="11545" width="0" style="5" hidden="1" customWidth="1"/>
    <col min="11546" max="11546" width="9.375" style="5" customWidth="1"/>
    <col min="11547" max="11547" width="8.875" style="5" customWidth="1"/>
    <col min="11548" max="11548" width="8.5" style="5" customWidth="1"/>
    <col min="11549" max="11549" width="9" style="5" bestFit="1" customWidth="1"/>
    <col min="11550" max="11776" width="10" style="5"/>
    <col min="11777" max="11777" width="10" style="5" customWidth="1"/>
    <col min="11778" max="11778" width="11.875" style="5" customWidth="1"/>
    <col min="11779" max="11779" width="17.125" style="5" customWidth="1"/>
    <col min="11780" max="11780" width="11" style="5" customWidth="1"/>
    <col min="11781" max="11788" width="0" style="5" hidden="1" customWidth="1"/>
    <col min="11789" max="11789" width="9.5" style="5" customWidth="1"/>
    <col min="11790" max="11790" width="9" style="5" customWidth="1"/>
    <col min="11791" max="11791" width="9.5" style="5" customWidth="1"/>
    <col min="11792" max="11792" width="9.125" style="5" customWidth="1"/>
    <col min="11793" max="11793" width="7.125" style="5" bestFit="1" customWidth="1"/>
    <col min="11794" max="11794" width="8.875" style="5" customWidth="1"/>
    <col min="11795" max="11795" width="8.375" style="5" customWidth="1"/>
    <col min="11796" max="11796" width="11.25" style="5" customWidth="1"/>
    <col min="11797" max="11800" width="9.375" style="5" customWidth="1"/>
    <col min="11801" max="11801" width="0" style="5" hidden="1" customWidth="1"/>
    <col min="11802" max="11802" width="9.375" style="5" customWidth="1"/>
    <col min="11803" max="11803" width="8.875" style="5" customWidth="1"/>
    <col min="11804" max="11804" width="8.5" style="5" customWidth="1"/>
    <col min="11805" max="11805" width="9" style="5" bestFit="1" customWidth="1"/>
    <col min="11806" max="12032" width="10" style="5"/>
    <col min="12033" max="12033" width="10" style="5" customWidth="1"/>
    <col min="12034" max="12034" width="11.875" style="5" customWidth="1"/>
    <col min="12035" max="12035" width="17.125" style="5" customWidth="1"/>
    <col min="12036" max="12036" width="11" style="5" customWidth="1"/>
    <col min="12037" max="12044" width="0" style="5" hidden="1" customWidth="1"/>
    <col min="12045" max="12045" width="9.5" style="5" customWidth="1"/>
    <col min="12046" max="12046" width="9" style="5" customWidth="1"/>
    <col min="12047" max="12047" width="9.5" style="5" customWidth="1"/>
    <col min="12048" max="12048" width="9.125" style="5" customWidth="1"/>
    <col min="12049" max="12049" width="7.125" style="5" bestFit="1" customWidth="1"/>
    <col min="12050" max="12050" width="8.875" style="5" customWidth="1"/>
    <col min="12051" max="12051" width="8.375" style="5" customWidth="1"/>
    <col min="12052" max="12052" width="11.25" style="5" customWidth="1"/>
    <col min="12053" max="12056" width="9.375" style="5" customWidth="1"/>
    <col min="12057" max="12057" width="0" style="5" hidden="1" customWidth="1"/>
    <col min="12058" max="12058" width="9.375" style="5" customWidth="1"/>
    <col min="12059" max="12059" width="8.875" style="5" customWidth="1"/>
    <col min="12060" max="12060" width="8.5" style="5" customWidth="1"/>
    <col min="12061" max="12061" width="9" style="5" bestFit="1" customWidth="1"/>
    <col min="12062" max="12288" width="10" style="5"/>
    <col min="12289" max="12289" width="10" style="5" customWidth="1"/>
    <col min="12290" max="12290" width="11.875" style="5" customWidth="1"/>
    <col min="12291" max="12291" width="17.125" style="5" customWidth="1"/>
    <col min="12292" max="12292" width="11" style="5" customWidth="1"/>
    <col min="12293" max="12300" width="0" style="5" hidden="1" customWidth="1"/>
    <col min="12301" max="12301" width="9.5" style="5" customWidth="1"/>
    <col min="12302" max="12302" width="9" style="5" customWidth="1"/>
    <col min="12303" max="12303" width="9.5" style="5" customWidth="1"/>
    <col min="12304" max="12304" width="9.125" style="5" customWidth="1"/>
    <col min="12305" max="12305" width="7.125" style="5" bestFit="1" customWidth="1"/>
    <col min="12306" max="12306" width="8.875" style="5" customWidth="1"/>
    <col min="12307" max="12307" width="8.375" style="5" customWidth="1"/>
    <col min="12308" max="12308" width="11.25" style="5" customWidth="1"/>
    <col min="12309" max="12312" width="9.375" style="5" customWidth="1"/>
    <col min="12313" max="12313" width="0" style="5" hidden="1" customWidth="1"/>
    <col min="12314" max="12314" width="9.375" style="5" customWidth="1"/>
    <col min="12315" max="12315" width="8.875" style="5" customWidth="1"/>
    <col min="12316" max="12316" width="8.5" style="5" customWidth="1"/>
    <col min="12317" max="12317" width="9" style="5" bestFit="1" customWidth="1"/>
    <col min="12318" max="12544" width="10" style="5"/>
    <col min="12545" max="12545" width="10" style="5" customWidth="1"/>
    <col min="12546" max="12546" width="11.875" style="5" customWidth="1"/>
    <col min="12547" max="12547" width="17.125" style="5" customWidth="1"/>
    <col min="12548" max="12548" width="11" style="5" customWidth="1"/>
    <col min="12549" max="12556" width="0" style="5" hidden="1" customWidth="1"/>
    <col min="12557" max="12557" width="9.5" style="5" customWidth="1"/>
    <col min="12558" max="12558" width="9" style="5" customWidth="1"/>
    <col min="12559" max="12559" width="9.5" style="5" customWidth="1"/>
    <col min="12560" max="12560" width="9.125" style="5" customWidth="1"/>
    <col min="12561" max="12561" width="7.125" style="5" bestFit="1" customWidth="1"/>
    <col min="12562" max="12562" width="8.875" style="5" customWidth="1"/>
    <col min="12563" max="12563" width="8.375" style="5" customWidth="1"/>
    <col min="12564" max="12564" width="11.25" style="5" customWidth="1"/>
    <col min="12565" max="12568" width="9.375" style="5" customWidth="1"/>
    <col min="12569" max="12569" width="0" style="5" hidden="1" customWidth="1"/>
    <col min="12570" max="12570" width="9.375" style="5" customWidth="1"/>
    <col min="12571" max="12571" width="8.875" style="5" customWidth="1"/>
    <col min="12572" max="12572" width="8.5" style="5" customWidth="1"/>
    <col min="12573" max="12573" width="9" style="5" bestFit="1" customWidth="1"/>
    <col min="12574" max="12800" width="10" style="5"/>
    <col min="12801" max="12801" width="10" style="5" customWidth="1"/>
    <col min="12802" max="12802" width="11.875" style="5" customWidth="1"/>
    <col min="12803" max="12803" width="17.125" style="5" customWidth="1"/>
    <col min="12804" max="12804" width="11" style="5" customWidth="1"/>
    <col min="12805" max="12812" width="0" style="5" hidden="1" customWidth="1"/>
    <col min="12813" max="12813" width="9.5" style="5" customWidth="1"/>
    <col min="12814" max="12814" width="9" style="5" customWidth="1"/>
    <col min="12815" max="12815" width="9.5" style="5" customWidth="1"/>
    <col min="12816" max="12816" width="9.125" style="5" customWidth="1"/>
    <col min="12817" max="12817" width="7.125" style="5" bestFit="1" customWidth="1"/>
    <col min="12818" max="12818" width="8.875" style="5" customWidth="1"/>
    <col min="12819" max="12819" width="8.375" style="5" customWidth="1"/>
    <col min="12820" max="12820" width="11.25" style="5" customWidth="1"/>
    <col min="12821" max="12824" width="9.375" style="5" customWidth="1"/>
    <col min="12825" max="12825" width="0" style="5" hidden="1" customWidth="1"/>
    <col min="12826" max="12826" width="9.375" style="5" customWidth="1"/>
    <col min="12827" max="12827" width="8.875" style="5" customWidth="1"/>
    <col min="12828" max="12828" width="8.5" style="5" customWidth="1"/>
    <col min="12829" max="12829" width="9" style="5" bestFit="1" customWidth="1"/>
    <col min="12830" max="13056" width="10" style="5"/>
    <col min="13057" max="13057" width="10" style="5" customWidth="1"/>
    <col min="13058" max="13058" width="11.875" style="5" customWidth="1"/>
    <col min="13059" max="13059" width="17.125" style="5" customWidth="1"/>
    <col min="13060" max="13060" width="11" style="5" customWidth="1"/>
    <col min="13061" max="13068" width="0" style="5" hidden="1" customWidth="1"/>
    <col min="13069" max="13069" width="9.5" style="5" customWidth="1"/>
    <col min="13070" max="13070" width="9" style="5" customWidth="1"/>
    <col min="13071" max="13071" width="9.5" style="5" customWidth="1"/>
    <col min="13072" max="13072" width="9.125" style="5" customWidth="1"/>
    <col min="13073" max="13073" width="7.125" style="5" bestFit="1" customWidth="1"/>
    <col min="13074" max="13074" width="8.875" style="5" customWidth="1"/>
    <col min="13075" max="13075" width="8.375" style="5" customWidth="1"/>
    <col min="13076" max="13076" width="11.25" style="5" customWidth="1"/>
    <col min="13077" max="13080" width="9.375" style="5" customWidth="1"/>
    <col min="13081" max="13081" width="0" style="5" hidden="1" customWidth="1"/>
    <col min="13082" max="13082" width="9.375" style="5" customWidth="1"/>
    <col min="13083" max="13083" width="8.875" style="5" customWidth="1"/>
    <col min="13084" max="13084" width="8.5" style="5" customWidth="1"/>
    <col min="13085" max="13085" width="9" style="5" bestFit="1" customWidth="1"/>
    <col min="13086" max="13312" width="10" style="5"/>
    <col min="13313" max="13313" width="10" style="5" customWidth="1"/>
    <col min="13314" max="13314" width="11.875" style="5" customWidth="1"/>
    <col min="13315" max="13315" width="17.125" style="5" customWidth="1"/>
    <col min="13316" max="13316" width="11" style="5" customWidth="1"/>
    <col min="13317" max="13324" width="0" style="5" hidden="1" customWidth="1"/>
    <col min="13325" max="13325" width="9.5" style="5" customWidth="1"/>
    <col min="13326" max="13326" width="9" style="5" customWidth="1"/>
    <col min="13327" max="13327" width="9.5" style="5" customWidth="1"/>
    <col min="13328" max="13328" width="9.125" style="5" customWidth="1"/>
    <col min="13329" max="13329" width="7.125" style="5" bestFit="1" customWidth="1"/>
    <col min="13330" max="13330" width="8.875" style="5" customWidth="1"/>
    <col min="13331" max="13331" width="8.375" style="5" customWidth="1"/>
    <col min="13332" max="13332" width="11.25" style="5" customWidth="1"/>
    <col min="13333" max="13336" width="9.375" style="5" customWidth="1"/>
    <col min="13337" max="13337" width="0" style="5" hidden="1" customWidth="1"/>
    <col min="13338" max="13338" width="9.375" style="5" customWidth="1"/>
    <col min="13339" max="13339" width="8.875" style="5" customWidth="1"/>
    <col min="13340" max="13340" width="8.5" style="5" customWidth="1"/>
    <col min="13341" max="13341" width="9" style="5" bestFit="1" customWidth="1"/>
    <col min="13342" max="13568" width="10" style="5"/>
    <col min="13569" max="13569" width="10" style="5" customWidth="1"/>
    <col min="13570" max="13570" width="11.875" style="5" customWidth="1"/>
    <col min="13571" max="13571" width="17.125" style="5" customWidth="1"/>
    <col min="13572" max="13572" width="11" style="5" customWidth="1"/>
    <col min="13573" max="13580" width="0" style="5" hidden="1" customWidth="1"/>
    <col min="13581" max="13581" width="9.5" style="5" customWidth="1"/>
    <col min="13582" max="13582" width="9" style="5" customWidth="1"/>
    <col min="13583" max="13583" width="9.5" style="5" customWidth="1"/>
    <col min="13584" max="13584" width="9.125" style="5" customWidth="1"/>
    <col min="13585" max="13585" width="7.125" style="5" bestFit="1" customWidth="1"/>
    <col min="13586" max="13586" width="8.875" style="5" customWidth="1"/>
    <col min="13587" max="13587" width="8.375" style="5" customWidth="1"/>
    <col min="13588" max="13588" width="11.25" style="5" customWidth="1"/>
    <col min="13589" max="13592" width="9.375" style="5" customWidth="1"/>
    <col min="13593" max="13593" width="0" style="5" hidden="1" customWidth="1"/>
    <col min="13594" max="13594" width="9.375" style="5" customWidth="1"/>
    <col min="13595" max="13595" width="8.875" style="5" customWidth="1"/>
    <col min="13596" max="13596" width="8.5" style="5" customWidth="1"/>
    <col min="13597" max="13597" width="9" style="5" bestFit="1" customWidth="1"/>
    <col min="13598" max="13824" width="10" style="5"/>
    <col min="13825" max="13825" width="10" style="5" customWidth="1"/>
    <col min="13826" max="13826" width="11.875" style="5" customWidth="1"/>
    <col min="13827" max="13827" width="17.125" style="5" customWidth="1"/>
    <col min="13828" max="13828" width="11" style="5" customWidth="1"/>
    <col min="13829" max="13836" width="0" style="5" hidden="1" customWidth="1"/>
    <col min="13837" max="13837" width="9.5" style="5" customWidth="1"/>
    <col min="13838" max="13838" width="9" style="5" customWidth="1"/>
    <col min="13839" max="13839" width="9.5" style="5" customWidth="1"/>
    <col min="13840" max="13840" width="9.125" style="5" customWidth="1"/>
    <col min="13841" max="13841" width="7.125" style="5" bestFit="1" customWidth="1"/>
    <col min="13842" max="13842" width="8.875" style="5" customWidth="1"/>
    <col min="13843" max="13843" width="8.375" style="5" customWidth="1"/>
    <col min="13844" max="13844" width="11.25" style="5" customWidth="1"/>
    <col min="13845" max="13848" width="9.375" style="5" customWidth="1"/>
    <col min="13849" max="13849" width="0" style="5" hidden="1" customWidth="1"/>
    <col min="13850" max="13850" width="9.375" style="5" customWidth="1"/>
    <col min="13851" max="13851" width="8.875" style="5" customWidth="1"/>
    <col min="13852" max="13852" width="8.5" style="5" customWidth="1"/>
    <col min="13853" max="13853" width="9" style="5" bestFit="1" customWidth="1"/>
    <col min="13854" max="14080" width="10" style="5"/>
    <col min="14081" max="14081" width="10" style="5" customWidth="1"/>
    <col min="14082" max="14082" width="11.875" style="5" customWidth="1"/>
    <col min="14083" max="14083" width="17.125" style="5" customWidth="1"/>
    <col min="14084" max="14084" width="11" style="5" customWidth="1"/>
    <col min="14085" max="14092" width="0" style="5" hidden="1" customWidth="1"/>
    <col min="14093" max="14093" width="9.5" style="5" customWidth="1"/>
    <col min="14094" max="14094" width="9" style="5" customWidth="1"/>
    <col min="14095" max="14095" width="9.5" style="5" customWidth="1"/>
    <col min="14096" max="14096" width="9.125" style="5" customWidth="1"/>
    <col min="14097" max="14097" width="7.125" style="5" bestFit="1" customWidth="1"/>
    <col min="14098" max="14098" width="8.875" style="5" customWidth="1"/>
    <col min="14099" max="14099" width="8.375" style="5" customWidth="1"/>
    <col min="14100" max="14100" width="11.25" style="5" customWidth="1"/>
    <col min="14101" max="14104" width="9.375" style="5" customWidth="1"/>
    <col min="14105" max="14105" width="0" style="5" hidden="1" customWidth="1"/>
    <col min="14106" max="14106" width="9.375" style="5" customWidth="1"/>
    <col min="14107" max="14107" width="8.875" style="5" customWidth="1"/>
    <col min="14108" max="14108" width="8.5" style="5" customWidth="1"/>
    <col min="14109" max="14109" width="9" style="5" bestFit="1" customWidth="1"/>
    <col min="14110" max="14336" width="10" style="5"/>
    <col min="14337" max="14337" width="10" style="5" customWidth="1"/>
    <col min="14338" max="14338" width="11.875" style="5" customWidth="1"/>
    <col min="14339" max="14339" width="17.125" style="5" customWidth="1"/>
    <col min="14340" max="14340" width="11" style="5" customWidth="1"/>
    <col min="14341" max="14348" width="0" style="5" hidden="1" customWidth="1"/>
    <col min="14349" max="14349" width="9.5" style="5" customWidth="1"/>
    <col min="14350" max="14350" width="9" style="5" customWidth="1"/>
    <col min="14351" max="14351" width="9.5" style="5" customWidth="1"/>
    <col min="14352" max="14352" width="9.125" style="5" customWidth="1"/>
    <col min="14353" max="14353" width="7.125" style="5" bestFit="1" customWidth="1"/>
    <col min="14354" max="14354" width="8.875" style="5" customWidth="1"/>
    <col min="14355" max="14355" width="8.375" style="5" customWidth="1"/>
    <col min="14356" max="14356" width="11.25" style="5" customWidth="1"/>
    <col min="14357" max="14360" width="9.375" style="5" customWidth="1"/>
    <col min="14361" max="14361" width="0" style="5" hidden="1" customWidth="1"/>
    <col min="14362" max="14362" width="9.375" style="5" customWidth="1"/>
    <col min="14363" max="14363" width="8.875" style="5" customWidth="1"/>
    <col min="14364" max="14364" width="8.5" style="5" customWidth="1"/>
    <col min="14365" max="14365" width="9" style="5" bestFit="1" customWidth="1"/>
    <col min="14366" max="14592" width="10" style="5"/>
    <col min="14593" max="14593" width="10" style="5" customWidth="1"/>
    <col min="14594" max="14594" width="11.875" style="5" customWidth="1"/>
    <col min="14595" max="14595" width="17.125" style="5" customWidth="1"/>
    <col min="14596" max="14596" width="11" style="5" customWidth="1"/>
    <col min="14597" max="14604" width="0" style="5" hidden="1" customWidth="1"/>
    <col min="14605" max="14605" width="9.5" style="5" customWidth="1"/>
    <col min="14606" max="14606" width="9" style="5" customWidth="1"/>
    <col min="14607" max="14607" width="9.5" style="5" customWidth="1"/>
    <col min="14608" max="14608" width="9.125" style="5" customWidth="1"/>
    <col min="14609" max="14609" width="7.125" style="5" bestFit="1" customWidth="1"/>
    <col min="14610" max="14610" width="8.875" style="5" customWidth="1"/>
    <col min="14611" max="14611" width="8.375" style="5" customWidth="1"/>
    <col min="14612" max="14612" width="11.25" style="5" customWidth="1"/>
    <col min="14613" max="14616" width="9.375" style="5" customWidth="1"/>
    <col min="14617" max="14617" width="0" style="5" hidden="1" customWidth="1"/>
    <col min="14618" max="14618" width="9.375" style="5" customWidth="1"/>
    <col min="14619" max="14619" width="8.875" style="5" customWidth="1"/>
    <col min="14620" max="14620" width="8.5" style="5" customWidth="1"/>
    <col min="14621" max="14621" width="9" style="5" bestFit="1" customWidth="1"/>
    <col min="14622" max="14848" width="10" style="5"/>
    <col min="14849" max="14849" width="10" style="5" customWidth="1"/>
    <col min="14850" max="14850" width="11.875" style="5" customWidth="1"/>
    <col min="14851" max="14851" width="17.125" style="5" customWidth="1"/>
    <col min="14852" max="14852" width="11" style="5" customWidth="1"/>
    <col min="14853" max="14860" width="0" style="5" hidden="1" customWidth="1"/>
    <col min="14861" max="14861" width="9.5" style="5" customWidth="1"/>
    <col min="14862" max="14862" width="9" style="5" customWidth="1"/>
    <col min="14863" max="14863" width="9.5" style="5" customWidth="1"/>
    <col min="14864" max="14864" width="9.125" style="5" customWidth="1"/>
    <col min="14865" max="14865" width="7.125" style="5" bestFit="1" customWidth="1"/>
    <col min="14866" max="14866" width="8.875" style="5" customWidth="1"/>
    <col min="14867" max="14867" width="8.375" style="5" customWidth="1"/>
    <col min="14868" max="14868" width="11.25" style="5" customWidth="1"/>
    <col min="14869" max="14872" width="9.375" style="5" customWidth="1"/>
    <col min="14873" max="14873" width="0" style="5" hidden="1" customWidth="1"/>
    <col min="14874" max="14874" width="9.375" style="5" customWidth="1"/>
    <col min="14875" max="14875" width="8.875" style="5" customWidth="1"/>
    <col min="14876" max="14876" width="8.5" style="5" customWidth="1"/>
    <col min="14877" max="14877" width="9" style="5" bestFit="1" customWidth="1"/>
    <col min="14878" max="15104" width="10" style="5"/>
    <col min="15105" max="15105" width="10" style="5" customWidth="1"/>
    <col min="15106" max="15106" width="11.875" style="5" customWidth="1"/>
    <col min="15107" max="15107" width="17.125" style="5" customWidth="1"/>
    <col min="15108" max="15108" width="11" style="5" customWidth="1"/>
    <col min="15109" max="15116" width="0" style="5" hidden="1" customWidth="1"/>
    <col min="15117" max="15117" width="9.5" style="5" customWidth="1"/>
    <col min="15118" max="15118" width="9" style="5" customWidth="1"/>
    <col min="15119" max="15119" width="9.5" style="5" customWidth="1"/>
    <col min="15120" max="15120" width="9.125" style="5" customWidth="1"/>
    <col min="15121" max="15121" width="7.125" style="5" bestFit="1" customWidth="1"/>
    <col min="15122" max="15122" width="8.875" style="5" customWidth="1"/>
    <col min="15123" max="15123" width="8.375" style="5" customWidth="1"/>
    <col min="15124" max="15124" width="11.25" style="5" customWidth="1"/>
    <col min="15125" max="15128" width="9.375" style="5" customWidth="1"/>
    <col min="15129" max="15129" width="0" style="5" hidden="1" customWidth="1"/>
    <col min="15130" max="15130" width="9.375" style="5" customWidth="1"/>
    <col min="15131" max="15131" width="8.875" style="5" customWidth="1"/>
    <col min="15132" max="15132" width="8.5" style="5" customWidth="1"/>
    <col min="15133" max="15133" width="9" style="5" bestFit="1" customWidth="1"/>
    <col min="15134" max="15360" width="10" style="5"/>
    <col min="15361" max="15361" width="10" style="5" customWidth="1"/>
    <col min="15362" max="15362" width="11.875" style="5" customWidth="1"/>
    <col min="15363" max="15363" width="17.125" style="5" customWidth="1"/>
    <col min="15364" max="15364" width="11" style="5" customWidth="1"/>
    <col min="15365" max="15372" width="0" style="5" hidden="1" customWidth="1"/>
    <col min="15373" max="15373" width="9.5" style="5" customWidth="1"/>
    <col min="15374" max="15374" width="9" style="5" customWidth="1"/>
    <col min="15375" max="15375" width="9.5" style="5" customWidth="1"/>
    <col min="15376" max="15376" width="9.125" style="5" customWidth="1"/>
    <col min="15377" max="15377" width="7.125" style="5" bestFit="1" customWidth="1"/>
    <col min="15378" max="15378" width="8.875" style="5" customWidth="1"/>
    <col min="15379" max="15379" width="8.375" style="5" customWidth="1"/>
    <col min="15380" max="15380" width="11.25" style="5" customWidth="1"/>
    <col min="15381" max="15384" width="9.375" style="5" customWidth="1"/>
    <col min="15385" max="15385" width="0" style="5" hidden="1" customWidth="1"/>
    <col min="15386" max="15386" width="9.375" style="5" customWidth="1"/>
    <col min="15387" max="15387" width="8.875" style="5" customWidth="1"/>
    <col min="15388" max="15388" width="8.5" style="5" customWidth="1"/>
    <col min="15389" max="15389" width="9" style="5" bestFit="1" customWidth="1"/>
    <col min="15390" max="15616" width="10" style="5"/>
    <col min="15617" max="15617" width="10" style="5" customWidth="1"/>
    <col min="15618" max="15618" width="11.875" style="5" customWidth="1"/>
    <col min="15619" max="15619" width="17.125" style="5" customWidth="1"/>
    <col min="15620" max="15620" width="11" style="5" customWidth="1"/>
    <col min="15621" max="15628" width="0" style="5" hidden="1" customWidth="1"/>
    <col min="15629" max="15629" width="9.5" style="5" customWidth="1"/>
    <col min="15630" max="15630" width="9" style="5" customWidth="1"/>
    <col min="15631" max="15631" width="9.5" style="5" customWidth="1"/>
    <col min="15632" max="15632" width="9.125" style="5" customWidth="1"/>
    <col min="15633" max="15633" width="7.125" style="5" bestFit="1" customWidth="1"/>
    <col min="15634" max="15634" width="8.875" style="5" customWidth="1"/>
    <col min="15635" max="15635" width="8.375" style="5" customWidth="1"/>
    <col min="15636" max="15636" width="11.25" style="5" customWidth="1"/>
    <col min="15637" max="15640" width="9.375" style="5" customWidth="1"/>
    <col min="15641" max="15641" width="0" style="5" hidden="1" customWidth="1"/>
    <col min="15642" max="15642" width="9.375" style="5" customWidth="1"/>
    <col min="15643" max="15643" width="8.875" style="5" customWidth="1"/>
    <col min="15644" max="15644" width="8.5" style="5" customWidth="1"/>
    <col min="15645" max="15645" width="9" style="5" bestFit="1" customWidth="1"/>
    <col min="15646" max="15872" width="10" style="5"/>
    <col min="15873" max="15873" width="10" style="5" customWidth="1"/>
    <col min="15874" max="15874" width="11.875" style="5" customWidth="1"/>
    <col min="15875" max="15875" width="17.125" style="5" customWidth="1"/>
    <col min="15876" max="15876" width="11" style="5" customWidth="1"/>
    <col min="15877" max="15884" width="0" style="5" hidden="1" customWidth="1"/>
    <col min="15885" max="15885" width="9.5" style="5" customWidth="1"/>
    <col min="15886" max="15886" width="9" style="5" customWidth="1"/>
    <col min="15887" max="15887" width="9.5" style="5" customWidth="1"/>
    <col min="15888" max="15888" width="9.125" style="5" customWidth="1"/>
    <col min="15889" max="15889" width="7.125" style="5" bestFit="1" customWidth="1"/>
    <col min="15890" max="15890" width="8.875" style="5" customWidth="1"/>
    <col min="15891" max="15891" width="8.375" style="5" customWidth="1"/>
    <col min="15892" max="15892" width="11.25" style="5" customWidth="1"/>
    <col min="15893" max="15896" width="9.375" style="5" customWidth="1"/>
    <col min="15897" max="15897" width="0" style="5" hidden="1" customWidth="1"/>
    <col min="15898" max="15898" width="9.375" style="5" customWidth="1"/>
    <col min="15899" max="15899" width="8.875" style="5" customWidth="1"/>
    <col min="15900" max="15900" width="8.5" style="5" customWidth="1"/>
    <col min="15901" max="15901" width="9" style="5" bestFit="1" customWidth="1"/>
    <col min="15902" max="16128" width="10" style="5"/>
    <col min="16129" max="16129" width="10" style="5" customWidth="1"/>
    <col min="16130" max="16130" width="11.875" style="5" customWidth="1"/>
    <col min="16131" max="16131" width="17.125" style="5" customWidth="1"/>
    <col min="16132" max="16132" width="11" style="5" customWidth="1"/>
    <col min="16133" max="16140" width="0" style="5" hidden="1" customWidth="1"/>
    <col min="16141" max="16141" width="9.5" style="5" customWidth="1"/>
    <col min="16142" max="16142" width="9" style="5" customWidth="1"/>
    <col min="16143" max="16143" width="9.5" style="5" customWidth="1"/>
    <col min="16144" max="16144" width="9.125" style="5" customWidth="1"/>
    <col min="16145" max="16145" width="7.125" style="5" bestFit="1" customWidth="1"/>
    <col min="16146" max="16146" width="8.875" style="5" customWidth="1"/>
    <col min="16147" max="16147" width="8.375" style="5" customWidth="1"/>
    <col min="16148" max="16148" width="11.25" style="5" customWidth="1"/>
    <col min="16149" max="16152" width="9.375" style="5" customWidth="1"/>
    <col min="16153" max="16153" width="0" style="5" hidden="1" customWidth="1"/>
    <col min="16154" max="16154" width="9.375" style="5" customWidth="1"/>
    <col min="16155" max="16155" width="8.875" style="5" customWidth="1"/>
    <col min="16156" max="16156" width="8.5" style="5" customWidth="1"/>
    <col min="16157" max="16157" width="9" style="5" bestFit="1" customWidth="1"/>
    <col min="16158" max="16384" width="10" style="5"/>
  </cols>
  <sheetData>
    <row r="1" spans="1:39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1"/>
      <c r="AE1" s="1"/>
      <c r="AF1" s="1"/>
      <c r="AG1" s="1"/>
      <c r="AH1" s="1"/>
      <c r="AI1" s="1"/>
      <c r="AJ1" s="1"/>
      <c r="AK1" s="1"/>
      <c r="AL1" s="1"/>
    </row>
    <row r="2" spans="1:39" x14ac:dyDescent="0.25">
      <c r="A2" s="118" t="s">
        <v>0</v>
      </c>
      <c r="B2" s="118"/>
      <c r="C2" s="118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1"/>
      <c r="AE2" s="1"/>
      <c r="AF2" s="1"/>
      <c r="AG2" s="1"/>
      <c r="AH2" s="1"/>
      <c r="AI2" s="1"/>
      <c r="AJ2" s="1"/>
      <c r="AK2" s="1"/>
      <c r="AL2" s="1"/>
    </row>
    <row r="3" spans="1:39" x14ac:dyDescent="0.25">
      <c r="A3" s="119" t="s">
        <v>1</v>
      </c>
      <c r="B3" s="119"/>
      <c r="C3" s="119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1"/>
      <c r="AE3" s="1"/>
      <c r="AF3" s="1"/>
      <c r="AG3" s="1"/>
      <c r="AH3" s="1"/>
      <c r="AI3" s="1"/>
      <c r="AJ3" s="1"/>
      <c r="AK3" s="1"/>
      <c r="AL3" s="1"/>
    </row>
    <row r="4" spans="1:39" ht="9.75" customHeight="1" x14ac:dyDescent="0.25">
      <c r="A4" s="9"/>
      <c r="B4" s="9"/>
      <c r="C4" s="9"/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1"/>
      <c r="AE4" s="1"/>
      <c r="AF4" s="1"/>
      <c r="AG4" s="1"/>
      <c r="AH4" s="1"/>
      <c r="AI4" s="1"/>
      <c r="AJ4" s="1"/>
      <c r="AK4" s="1"/>
      <c r="AL4" s="1"/>
    </row>
    <row r="5" spans="1:39" ht="23.25" x14ac:dyDescent="0.35">
      <c r="A5" s="1"/>
      <c r="B5" s="1"/>
      <c r="C5" s="1"/>
      <c r="D5" s="1"/>
      <c r="E5" s="120" t="s">
        <v>2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2"/>
      <c r="AD5" s="1"/>
      <c r="AE5" s="1"/>
      <c r="AF5" s="1"/>
      <c r="AG5" s="1"/>
      <c r="AH5" s="1"/>
      <c r="AI5" s="1"/>
      <c r="AJ5" s="1"/>
      <c r="AK5" s="1"/>
      <c r="AL5" s="1"/>
    </row>
    <row r="6" spans="1:39" s="18" customFormat="1" ht="69.75" customHeight="1" x14ac:dyDescent="0.25">
      <c r="A6" s="123" t="s">
        <v>3</v>
      </c>
      <c r="B6" s="124"/>
      <c r="C6" s="10" t="s">
        <v>4</v>
      </c>
      <c r="D6" s="11" t="s">
        <v>5</v>
      </c>
      <c r="E6" s="12" t="s">
        <v>6</v>
      </c>
      <c r="F6" s="13" t="s">
        <v>7</v>
      </c>
      <c r="G6" s="13" t="s">
        <v>8</v>
      </c>
      <c r="H6" s="14" t="s">
        <v>9</v>
      </c>
      <c r="I6" s="14" t="s">
        <v>10</v>
      </c>
      <c r="J6" s="14" t="s">
        <v>11</v>
      </c>
      <c r="K6" s="14" t="s">
        <v>12</v>
      </c>
      <c r="L6" s="14"/>
      <c r="M6" s="15" t="s">
        <v>13</v>
      </c>
      <c r="N6" s="15" t="s">
        <v>14</v>
      </c>
      <c r="O6" s="15" t="s">
        <v>15</v>
      </c>
      <c r="P6" s="15" t="s">
        <v>16</v>
      </c>
      <c r="Q6" s="15" t="s">
        <v>17</v>
      </c>
      <c r="R6" s="15" t="s">
        <v>18</v>
      </c>
      <c r="S6" s="15" t="s">
        <v>19</v>
      </c>
      <c r="T6" s="15" t="s">
        <v>20</v>
      </c>
      <c r="U6" s="15" t="s">
        <v>21</v>
      </c>
      <c r="V6" s="15" t="s">
        <v>22</v>
      </c>
      <c r="W6" s="15" t="s">
        <v>23</v>
      </c>
      <c r="X6" s="15" t="s">
        <v>24</v>
      </c>
      <c r="Y6" s="16" t="s">
        <v>25</v>
      </c>
      <c r="Z6" s="15" t="s">
        <v>26</v>
      </c>
      <c r="AA6" s="15" t="s">
        <v>27</v>
      </c>
      <c r="AB6" s="15" t="s">
        <v>28</v>
      </c>
      <c r="AC6" s="15" t="s">
        <v>29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s="27" customFormat="1" ht="12" x14ac:dyDescent="0.2">
      <c r="A7" s="19" t="s">
        <v>30</v>
      </c>
      <c r="B7" s="19" t="s">
        <v>31</v>
      </c>
      <c r="C7" s="19" t="s">
        <v>32</v>
      </c>
      <c r="D7" s="20">
        <f>31581.5304+(31582*3)/100</f>
        <v>32528.990399999999</v>
      </c>
      <c r="E7" s="21">
        <v>20</v>
      </c>
      <c r="F7" s="22">
        <f t="shared" ref="F7:F46" si="0">(D7/(150*5))</f>
        <v>43.3719872</v>
      </c>
      <c r="G7" s="22">
        <f>(D7/(150*5))/10+(D7/(150*5))/5</f>
        <v>13.01159616</v>
      </c>
      <c r="H7" s="23">
        <v>4</v>
      </c>
      <c r="I7" s="23">
        <v>4</v>
      </c>
      <c r="J7" s="23">
        <v>4</v>
      </c>
      <c r="K7" s="23"/>
      <c r="L7" s="23"/>
      <c r="M7" s="23">
        <f>F7*3*5</f>
        <v>650.57980799999996</v>
      </c>
      <c r="N7" s="23">
        <f>3*2*1.3</f>
        <v>7.8000000000000007</v>
      </c>
      <c r="O7" s="23">
        <f>(F7*2*G7+30+8+1+25)/5*1.1</f>
        <v>262.3890641253592</v>
      </c>
      <c r="P7" s="23">
        <f>G7*5*6</f>
        <v>390.34788479999997</v>
      </c>
      <c r="Q7" s="23">
        <f t="shared" ref="Q7:Q37" si="1">10*3</f>
        <v>30</v>
      </c>
      <c r="R7" s="23">
        <f>20*1.1</f>
        <v>22</v>
      </c>
      <c r="S7" s="23">
        <f>F7*1.1</f>
        <v>47.709185920000003</v>
      </c>
      <c r="T7" s="23">
        <f>8*4*1.1</f>
        <v>35.200000000000003</v>
      </c>
      <c r="U7" s="23">
        <f>F7</f>
        <v>43.3719872</v>
      </c>
      <c r="V7" s="24">
        <f>15</f>
        <v>15</v>
      </c>
      <c r="W7" s="25">
        <v>4</v>
      </c>
      <c r="X7" s="25">
        <f>F7*1.1</f>
        <v>47.709185920000003</v>
      </c>
      <c r="Y7" s="25">
        <f>F7*1.1</f>
        <v>47.709185920000003</v>
      </c>
      <c r="Z7" s="25">
        <v>10</v>
      </c>
      <c r="AA7" s="25">
        <v>15</v>
      </c>
      <c r="AB7" s="25">
        <v>10</v>
      </c>
      <c r="AC7" s="25">
        <f>+D7*1.1</f>
        <v>35781.889439999999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39" s="40" customFormat="1" ht="22.5" customHeight="1" x14ac:dyDescent="0.2">
      <c r="A8" s="125" t="s">
        <v>33</v>
      </c>
      <c r="B8" s="126"/>
      <c r="C8" s="28">
        <v>1</v>
      </c>
      <c r="D8" s="29">
        <f t="shared" ref="D8:AC8" si="2">SUM(D7:D7)</f>
        <v>32528.990399999999</v>
      </c>
      <c r="E8" s="30">
        <f t="shared" si="2"/>
        <v>20</v>
      </c>
      <c r="F8" s="31">
        <f t="shared" si="2"/>
        <v>43.3719872</v>
      </c>
      <c r="G8" s="31">
        <f t="shared" si="2"/>
        <v>13.01159616</v>
      </c>
      <c r="H8" s="31">
        <f t="shared" si="2"/>
        <v>4</v>
      </c>
      <c r="I8" s="31">
        <f t="shared" si="2"/>
        <v>4</v>
      </c>
      <c r="J8" s="31">
        <f t="shared" si="2"/>
        <v>4</v>
      </c>
      <c r="K8" s="31">
        <f t="shared" si="2"/>
        <v>0</v>
      </c>
      <c r="L8" s="32">
        <f t="shared" si="2"/>
        <v>0</v>
      </c>
      <c r="M8" s="33">
        <f t="shared" si="2"/>
        <v>650.57980799999996</v>
      </c>
      <c r="N8" s="34">
        <f t="shared" si="2"/>
        <v>7.8000000000000007</v>
      </c>
      <c r="O8" s="34">
        <f t="shared" si="2"/>
        <v>262.3890641253592</v>
      </c>
      <c r="P8" s="34">
        <f t="shared" si="2"/>
        <v>390.34788479999997</v>
      </c>
      <c r="Q8" s="34">
        <f t="shared" si="2"/>
        <v>30</v>
      </c>
      <c r="R8" s="34">
        <f t="shared" si="2"/>
        <v>22</v>
      </c>
      <c r="S8" s="34">
        <f t="shared" si="2"/>
        <v>47.709185920000003</v>
      </c>
      <c r="T8" s="35">
        <f t="shared" si="2"/>
        <v>35.200000000000003</v>
      </c>
      <c r="U8" s="36">
        <f t="shared" si="2"/>
        <v>43.3719872</v>
      </c>
      <c r="V8" s="35">
        <f t="shared" si="2"/>
        <v>15</v>
      </c>
      <c r="W8" s="37">
        <f t="shared" si="2"/>
        <v>4</v>
      </c>
      <c r="X8" s="37">
        <f t="shared" si="2"/>
        <v>47.709185920000003</v>
      </c>
      <c r="Y8" s="38">
        <f t="shared" si="2"/>
        <v>47.709185920000003</v>
      </c>
      <c r="Z8" s="38">
        <f t="shared" si="2"/>
        <v>10</v>
      </c>
      <c r="AA8" s="38">
        <f t="shared" si="2"/>
        <v>15</v>
      </c>
      <c r="AB8" s="38">
        <f t="shared" si="2"/>
        <v>10</v>
      </c>
      <c r="AC8" s="38">
        <f t="shared" si="2"/>
        <v>35781.889439999999</v>
      </c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s="27" customFormat="1" ht="12" customHeight="1" x14ac:dyDescent="0.2">
      <c r="A9" s="41" t="s">
        <v>30</v>
      </c>
      <c r="B9" s="41" t="s">
        <v>34</v>
      </c>
      <c r="C9" s="41" t="s">
        <v>35</v>
      </c>
      <c r="D9" s="42">
        <f>30196.5615+(30197*3)/100</f>
        <v>31102.4715</v>
      </c>
      <c r="E9" s="43">
        <v>20</v>
      </c>
      <c r="F9" s="44">
        <f t="shared" si="0"/>
        <v>41.469962000000002</v>
      </c>
      <c r="G9" s="44">
        <f>(D9/(150*5))/10+(D9/(150*5))/5</f>
        <v>12.440988600000001</v>
      </c>
      <c r="H9" s="45">
        <v>4</v>
      </c>
      <c r="I9" s="45">
        <v>4</v>
      </c>
      <c r="J9" s="45">
        <v>4</v>
      </c>
      <c r="K9" s="45"/>
      <c r="L9" s="45"/>
      <c r="M9" s="45">
        <f>F9*3*5*2</f>
        <v>1244.0988600000001</v>
      </c>
      <c r="N9" s="45">
        <f>3*2*1.3</f>
        <v>7.8000000000000007</v>
      </c>
      <c r="O9" s="45">
        <f>(F9*2*G9+30+8+1+25)/5*2*1.1</f>
        <v>482.17604554630128</v>
      </c>
      <c r="P9" s="45">
        <f>G9*5*6*2</f>
        <v>746.45931599999994</v>
      </c>
      <c r="Q9" s="45">
        <f t="shared" si="1"/>
        <v>30</v>
      </c>
      <c r="R9" s="45">
        <f>20*2*1.1</f>
        <v>44</v>
      </c>
      <c r="S9" s="45">
        <f>F9*2*1.1</f>
        <v>91.233916400000012</v>
      </c>
      <c r="T9" s="45">
        <f>8*4*2*1.1</f>
        <v>70.400000000000006</v>
      </c>
      <c r="U9" s="45">
        <f>F9*2*2</f>
        <v>165.87984800000001</v>
      </c>
      <c r="V9" s="46">
        <f>15*2</f>
        <v>30</v>
      </c>
      <c r="W9" s="47">
        <v>4</v>
      </c>
      <c r="X9" s="47">
        <f>F9*1.1</f>
        <v>45.616958200000006</v>
      </c>
      <c r="Y9" s="47">
        <f>F9*2*1.1</f>
        <v>91.233916400000012</v>
      </c>
      <c r="Z9" s="47">
        <v>20</v>
      </c>
      <c r="AA9" s="47">
        <v>30</v>
      </c>
      <c r="AB9" s="47">
        <v>20</v>
      </c>
      <c r="AC9" s="47">
        <f>+D9*1.1</f>
        <v>34212.718650000003</v>
      </c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s="27" customFormat="1" ht="20.25" customHeight="1" x14ac:dyDescent="0.2">
      <c r="A10" s="127" t="s">
        <v>36</v>
      </c>
      <c r="B10" s="128"/>
      <c r="C10" s="48">
        <v>1</v>
      </c>
      <c r="D10" s="49">
        <f>D9</f>
        <v>31102.4715</v>
      </c>
      <c r="E10" s="50">
        <f t="shared" ref="E10:AC10" si="3">E9</f>
        <v>20</v>
      </c>
      <c r="F10" s="51">
        <f t="shared" si="3"/>
        <v>41.469962000000002</v>
      </c>
      <c r="G10" s="51">
        <f t="shared" si="3"/>
        <v>12.440988600000001</v>
      </c>
      <c r="H10" s="51">
        <f t="shared" si="3"/>
        <v>4</v>
      </c>
      <c r="I10" s="51">
        <f t="shared" si="3"/>
        <v>4</v>
      </c>
      <c r="J10" s="51">
        <f t="shared" si="3"/>
        <v>4</v>
      </c>
      <c r="K10" s="51">
        <f t="shared" si="3"/>
        <v>0</v>
      </c>
      <c r="L10" s="52">
        <f t="shared" si="3"/>
        <v>0</v>
      </c>
      <c r="M10" s="50">
        <f t="shared" si="3"/>
        <v>1244.0988600000001</v>
      </c>
      <c r="N10" s="51">
        <f t="shared" si="3"/>
        <v>7.8000000000000007</v>
      </c>
      <c r="O10" s="51">
        <f t="shared" si="3"/>
        <v>482.17604554630128</v>
      </c>
      <c r="P10" s="51">
        <f t="shared" si="3"/>
        <v>746.45931599999994</v>
      </c>
      <c r="Q10" s="51">
        <f t="shared" si="3"/>
        <v>30</v>
      </c>
      <c r="R10" s="51">
        <f t="shared" si="3"/>
        <v>44</v>
      </c>
      <c r="S10" s="51">
        <f t="shared" si="3"/>
        <v>91.233916400000012</v>
      </c>
      <c r="T10" s="53">
        <f t="shared" si="3"/>
        <v>70.400000000000006</v>
      </c>
      <c r="U10" s="54">
        <f t="shared" si="3"/>
        <v>165.87984800000001</v>
      </c>
      <c r="V10" s="53">
        <f t="shared" si="3"/>
        <v>30</v>
      </c>
      <c r="W10" s="55">
        <f t="shared" si="3"/>
        <v>4</v>
      </c>
      <c r="X10" s="55">
        <f t="shared" si="3"/>
        <v>45.616958200000006</v>
      </c>
      <c r="Y10" s="55">
        <f t="shared" si="3"/>
        <v>91.233916400000012</v>
      </c>
      <c r="Z10" s="55">
        <f t="shared" si="3"/>
        <v>20</v>
      </c>
      <c r="AA10" s="55">
        <f t="shared" si="3"/>
        <v>30</v>
      </c>
      <c r="AB10" s="55">
        <f t="shared" si="3"/>
        <v>20</v>
      </c>
      <c r="AC10" s="55">
        <f t="shared" si="3"/>
        <v>34212.718650000003</v>
      </c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39" s="27" customFormat="1" ht="12" customHeight="1" x14ac:dyDescent="0.2">
      <c r="A11" s="41" t="s">
        <v>30</v>
      </c>
      <c r="B11" s="56" t="s">
        <v>37</v>
      </c>
      <c r="C11" s="57" t="s">
        <v>38</v>
      </c>
      <c r="D11" s="42">
        <f>35574.6447+(35575*3)/100</f>
        <v>36641.894699999997</v>
      </c>
      <c r="E11" s="21">
        <v>20</v>
      </c>
      <c r="F11" s="44">
        <f t="shared" si="0"/>
        <v>48.855859599999995</v>
      </c>
      <c r="G11" s="44">
        <f>(D11/(150*5))/10+(D11/(150*5))/5</f>
        <v>14.656757879999997</v>
      </c>
      <c r="H11" s="45">
        <v>4</v>
      </c>
      <c r="I11" s="23">
        <v>4</v>
      </c>
      <c r="J11" s="23">
        <v>4</v>
      </c>
      <c r="K11" s="23"/>
      <c r="L11" s="58"/>
      <c r="M11" s="43">
        <f>F11*3*5*2</f>
        <v>1465.6757879999998</v>
      </c>
      <c r="N11" s="45">
        <f>3*2*1.3</f>
        <v>7.8000000000000007</v>
      </c>
      <c r="O11" s="23">
        <f>(F11*2*G11+30+8+1+25)/5*2*1.1</f>
        <v>658.30028455529668</v>
      </c>
      <c r="P11" s="45">
        <f>G11*5*6*2</f>
        <v>879.40547279999987</v>
      </c>
      <c r="Q11" s="23">
        <f t="shared" si="1"/>
        <v>30</v>
      </c>
      <c r="R11" s="45">
        <f>20*2*1.1</f>
        <v>44</v>
      </c>
      <c r="S11" s="45">
        <f>F11*2*1.1</f>
        <v>107.48289112000001</v>
      </c>
      <c r="T11" s="46">
        <f>8*4*2*1.1</f>
        <v>70.400000000000006</v>
      </c>
      <c r="U11" s="59">
        <f>F11*2*2</f>
        <v>195.42343839999998</v>
      </c>
      <c r="V11" s="46">
        <f>15*2</f>
        <v>30</v>
      </c>
      <c r="W11" s="47">
        <v>4</v>
      </c>
      <c r="X11" s="47">
        <f>F11*1.1</f>
        <v>53.741445560000003</v>
      </c>
      <c r="Y11" s="47">
        <f>F11*2*1.1</f>
        <v>107.48289112000001</v>
      </c>
      <c r="Z11" s="47">
        <v>20</v>
      </c>
      <c r="AA11" s="47">
        <v>30</v>
      </c>
      <c r="AB11" s="47">
        <v>20</v>
      </c>
      <c r="AC11" s="47">
        <f>+D11*1.1</f>
        <v>40306.084170000002</v>
      </c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s="27" customFormat="1" ht="21" customHeight="1" x14ac:dyDescent="0.2">
      <c r="A12" s="113" t="s">
        <v>39</v>
      </c>
      <c r="B12" s="116"/>
      <c r="C12" s="60">
        <v>1</v>
      </c>
      <c r="D12" s="61">
        <f>D11</f>
        <v>36641.894699999997</v>
      </c>
      <c r="E12" s="62">
        <f t="shared" ref="E12:AC12" si="4">E11</f>
        <v>20</v>
      </c>
      <c r="F12" s="63">
        <f t="shared" si="4"/>
        <v>48.855859599999995</v>
      </c>
      <c r="G12" s="63">
        <f t="shared" si="4"/>
        <v>14.656757879999997</v>
      </c>
      <c r="H12" s="63">
        <f t="shared" si="4"/>
        <v>4</v>
      </c>
      <c r="I12" s="63">
        <f t="shared" si="4"/>
        <v>4</v>
      </c>
      <c r="J12" s="63">
        <f t="shared" si="4"/>
        <v>4</v>
      </c>
      <c r="K12" s="63">
        <f t="shared" si="4"/>
        <v>0</v>
      </c>
      <c r="L12" s="64">
        <f t="shared" si="4"/>
        <v>0</v>
      </c>
      <c r="M12" s="62">
        <f t="shared" si="4"/>
        <v>1465.6757879999998</v>
      </c>
      <c r="N12" s="63">
        <f t="shared" si="4"/>
        <v>7.8000000000000007</v>
      </c>
      <c r="O12" s="63">
        <f t="shared" si="4"/>
        <v>658.30028455529668</v>
      </c>
      <c r="P12" s="63">
        <f t="shared" si="4"/>
        <v>879.40547279999987</v>
      </c>
      <c r="Q12" s="63">
        <f t="shared" si="4"/>
        <v>30</v>
      </c>
      <c r="R12" s="63">
        <f t="shared" si="4"/>
        <v>44</v>
      </c>
      <c r="S12" s="63">
        <f t="shared" si="4"/>
        <v>107.48289112000001</v>
      </c>
      <c r="T12" s="65">
        <f t="shared" si="4"/>
        <v>70.400000000000006</v>
      </c>
      <c r="U12" s="66">
        <f t="shared" si="4"/>
        <v>195.42343839999998</v>
      </c>
      <c r="V12" s="67">
        <f t="shared" si="4"/>
        <v>30</v>
      </c>
      <c r="W12" s="68">
        <f t="shared" si="4"/>
        <v>4</v>
      </c>
      <c r="X12" s="68">
        <f t="shared" si="4"/>
        <v>53.741445560000003</v>
      </c>
      <c r="Y12" s="68">
        <f t="shared" si="4"/>
        <v>107.48289112000001</v>
      </c>
      <c r="Z12" s="68">
        <f t="shared" si="4"/>
        <v>20</v>
      </c>
      <c r="AA12" s="68">
        <f t="shared" si="4"/>
        <v>30</v>
      </c>
      <c r="AB12" s="68">
        <f t="shared" si="4"/>
        <v>20</v>
      </c>
      <c r="AC12" s="68">
        <f t="shared" si="4"/>
        <v>40306.084170000002</v>
      </c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39" s="27" customFormat="1" ht="12" customHeight="1" x14ac:dyDescent="0.2">
      <c r="A13" s="41" t="s">
        <v>30</v>
      </c>
      <c r="B13" s="56" t="s">
        <v>40</v>
      </c>
      <c r="C13" s="57" t="s">
        <v>41</v>
      </c>
      <c r="D13" s="42">
        <f>24036.9864+(24037*3)/100</f>
        <v>24758.096400000002</v>
      </c>
      <c r="E13" s="21">
        <v>20</v>
      </c>
      <c r="F13" s="44">
        <f t="shared" si="0"/>
        <v>33.010795200000004</v>
      </c>
      <c r="G13" s="44">
        <f>(D13/(150*5))/10+(D13/(150*5))/5</f>
        <v>9.9032385600000019</v>
      </c>
      <c r="H13" s="45">
        <v>4</v>
      </c>
      <c r="I13" s="23">
        <v>4</v>
      </c>
      <c r="J13" s="23">
        <v>4</v>
      </c>
      <c r="K13" s="23"/>
      <c r="L13" s="58"/>
      <c r="M13" s="43">
        <f>F13*3*5*2</f>
        <v>990.32385600000009</v>
      </c>
      <c r="N13" s="45">
        <f>3*2*1.3</f>
        <v>7.8000000000000007</v>
      </c>
      <c r="O13" s="23">
        <f>(F13*2*G13+30+8+1+25)/5*2*1.1</f>
        <v>315.84412633039472</v>
      </c>
      <c r="P13" s="45">
        <f>G13*5*6*2</f>
        <v>594.19431360000021</v>
      </c>
      <c r="Q13" s="23">
        <f t="shared" si="1"/>
        <v>30</v>
      </c>
      <c r="R13" s="45">
        <f>20*2*1.1</f>
        <v>44</v>
      </c>
      <c r="S13" s="45">
        <f>F13*2*1.1</f>
        <v>72.623749440000012</v>
      </c>
      <c r="T13" s="46">
        <f>8*4*2*1.1</f>
        <v>70.400000000000006</v>
      </c>
      <c r="U13" s="59">
        <f>F13*2*2</f>
        <v>132.04318080000002</v>
      </c>
      <c r="V13" s="46">
        <f>15*2</f>
        <v>30</v>
      </c>
      <c r="W13" s="47">
        <v>4</v>
      </c>
      <c r="X13" s="47">
        <f>F13*1.1</f>
        <v>36.311874720000006</v>
      </c>
      <c r="Y13" s="47">
        <f>F13*2*1.1</f>
        <v>72.623749440000012</v>
      </c>
      <c r="Z13" s="47">
        <v>20</v>
      </c>
      <c r="AA13" s="47">
        <v>30</v>
      </c>
      <c r="AB13" s="47">
        <v>20</v>
      </c>
      <c r="AC13" s="47">
        <f>+D13*1.1</f>
        <v>27233.906040000005</v>
      </c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39" s="27" customFormat="1" ht="21" customHeight="1" x14ac:dyDescent="0.2">
      <c r="A14" s="113" t="s">
        <v>42</v>
      </c>
      <c r="B14" s="117"/>
      <c r="C14" s="60">
        <v>1</v>
      </c>
      <c r="D14" s="61">
        <f>D13</f>
        <v>24758.096400000002</v>
      </c>
      <c r="E14" s="62">
        <f t="shared" ref="E14:AC14" si="5">E13</f>
        <v>20</v>
      </c>
      <c r="F14" s="63">
        <f t="shared" si="5"/>
        <v>33.010795200000004</v>
      </c>
      <c r="G14" s="63">
        <f t="shared" si="5"/>
        <v>9.9032385600000019</v>
      </c>
      <c r="H14" s="63">
        <f t="shared" si="5"/>
        <v>4</v>
      </c>
      <c r="I14" s="63">
        <f t="shared" si="5"/>
        <v>4</v>
      </c>
      <c r="J14" s="63">
        <f t="shared" si="5"/>
        <v>4</v>
      </c>
      <c r="K14" s="63">
        <f t="shared" si="5"/>
        <v>0</v>
      </c>
      <c r="L14" s="64">
        <f t="shared" si="5"/>
        <v>0</v>
      </c>
      <c r="M14" s="62">
        <f t="shared" si="5"/>
        <v>990.32385600000009</v>
      </c>
      <c r="N14" s="63">
        <f t="shared" si="5"/>
        <v>7.8000000000000007</v>
      </c>
      <c r="O14" s="63">
        <f t="shared" si="5"/>
        <v>315.84412633039472</v>
      </c>
      <c r="P14" s="63">
        <f t="shared" si="5"/>
        <v>594.19431360000021</v>
      </c>
      <c r="Q14" s="63">
        <f t="shared" si="5"/>
        <v>30</v>
      </c>
      <c r="R14" s="63">
        <f t="shared" si="5"/>
        <v>44</v>
      </c>
      <c r="S14" s="63">
        <f t="shared" si="5"/>
        <v>72.623749440000012</v>
      </c>
      <c r="T14" s="65">
        <f t="shared" si="5"/>
        <v>70.400000000000006</v>
      </c>
      <c r="U14" s="66">
        <f t="shared" si="5"/>
        <v>132.04318080000002</v>
      </c>
      <c r="V14" s="65">
        <f t="shared" si="5"/>
        <v>30</v>
      </c>
      <c r="W14" s="68">
        <f t="shared" si="5"/>
        <v>4</v>
      </c>
      <c r="X14" s="68">
        <f t="shared" si="5"/>
        <v>36.311874720000006</v>
      </c>
      <c r="Y14" s="68">
        <f t="shared" si="5"/>
        <v>72.623749440000012</v>
      </c>
      <c r="Z14" s="68">
        <f t="shared" si="5"/>
        <v>20</v>
      </c>
      <c r="AA14" s="68">
        <f t="shared" si="5"/>
        <v>30</v>
      </c>
      <c r="AB14" s="68">
        <f t="shared" si="5"/>
        <v>20</v>
      </c>
      <c r="AC14" s="68">
        <f t="shared" si="5"/>
        <v>27233.906040000005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 s="27" customFormat="1" ht="12.75" x14ac:dyDescent="0.2">
      <c r="A15" s="109" t="s">
        <v>43</v>
      </c>
      <c r="B15" s="110"/>
      <c r="C15" s="69">
        <f>C8+C10+C12+C14</f>
        <v>4</v>
      </c>
      <c r="D15" s="70">
        <f>D14+D12+D10+D8</f>
        <v>125031.45299999999</v>
      </c>
      <c r="E15" s="71">
        <f t="shared" ref="E15:AC15" si="6">E14+E12+E10+E8</f>
        <v>80</v>
      </c>
      <c r="F15" s="70">
        <f t="shared" si="6"/>
        <v>166.70860400000001</v>
      </c>
      <c r="G15" s="70">
        <f t="shared" si="6"/>
        <v>50.0125812</v>
      </c>
      <c r="H15" s="70">
        <f t="shared" si="6"/>
        <v>16</v>
      </c>
      <c r="I15" s="70">
        <f t="shared" si="6"/>
        <v>16</v>
      </c>
      <c r="J15" s="70">
        <f t="shared" si="6"/>
        <v>16</v>
      </c>
      <c r="K15" s="70">
        <f t="shared" si="6"/>
        <v>0</v>
      </c>
      <c r="L15" s="70">
        <f t="shared" si="6"/>
        <v>0</v>
      </c>
      <c r="M15" s="71">
        <f t="shared" si="6"/>
        <v>4350.678312</v>
      </c>
      <c r="N15" s="70">
        <f t="shared" si="6"/>
        <v>31.200000000000003</v>
      </c>
      <c r="O15" s="70">
        <f t="shared" si="6"/>
        <v>1718.7095205573519</v>
      </c>
      <c r="P15" s="70">
        <f t="shared" si="6"/>
        <v>2610.4069872</v>
      </c>
      <c r="Q15" s="70">
        <f t="shared" si="6"/>
        <v>120</v>
      </c>
      <c r="R15" s="70">
        <f t="shared" si="6"/>
        <v>154</v>
      </c>
      <c r="S15" s="70">
        <f t="shared" si="6"/>
        <v>319.04974288</v>
      </c>
      <c r="T15" s="72">
        <f t="shared" si="6"/>
        <v>246.40000000000003</v>
      </c>
      <c r="U15" s="70">
        <f t="shared" si="6"/>
        <v>536.71845440000004</v>
      </c>
      <c r="V15" s="72">
        <f t="shared" si="6"/>
        <v>105</v>
      </c>
      <c r="W15" s="72">
        <f t="shared" si="6"/>
        <v>16</v>
      </c>
      <c r="X15" s="72">
        <f t="shared" si="6"/>
        <v>183.37946440000002</v>
      </c>
      <c r="Y15" s="72">
        <f t="shared" si="6"/>
        <v>319.04974288</v>
      </c>
      <c r="Z15" s="72">
        <f t="shared" si="6"/>
        <v>70</v>
      </c>
      <c r="AA15" s="72">
        <f t="shared" si="6"/>
        <v>105</v>
      </c>
      <c r="AB15" s="72">
        <f t="shared" si="6"/>
        <v>70</v>
      </c>
      <c r="AC15" s="72">
        <f t="shared" si="6"/>
        <v>137534.59830000001</v>
      </c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39" s="27" customFormat="1" ht="12" x14ac:dyDescent="0.2">
      <c r="A16" s="41" t="s">
        <v>44</v>
      </c>
      <c r="B16" s="56" t="s">
        <v>45</v>
      </c>
      <c r="C16" s="57" t="s">
        <v>46</v>
      </c>
      <c r="D16" s="42">
        <f>25303.6553011557+(25304*3)/100</f>
        <v>26062.7753011557</v>
      </c>
      <c r="E16" s="21">
        <v>20</v>
      </c>
      <c r="F16" s="44">
        <f t="shared" si="0"/>
        <v>34.750367068207602</v>
      </c>
      <c r="G16" s="44">
        <f>(D16/(150*5))/10+(D16/(150*5))/5</f>
        <v>10.425110120462282</v>
      </c>
      <c r="H16" s="45">
        <v>4</v>
      </c>
      <c r="I16" s="23">
        <v>4</v>
      </c>
      <c r="J16" s="23">
        <v>4</v>
      </c>
      <c r="K16" s="23"/>
      <c r="L16" s="58"/>
      <c r="M16" s="43">
        <f>F16*3*5*2</f>
        <v>1042.5110120462282</v>
      </c>
      <c r="N16" s="45">
        <f>3*2*1.3</f>
        <v>7.8000000000000007</v>
      </c>
      <c r="O16" s="23">
        <f>(F16*2*G16+30+8+1+25)/5*2*1.1</f>
        <v>346.96323500304425</v>
      </c>
      <c r="P16" s="45">
        <f>G16*5*6*2</f>
        <v>625.50660722773682</v>
      </c>
      <c r="Q16" s="23">
        <f t="shared" si="1"/>
        <v>30</v>
      </c>
      <c r="R16" s="45">
        <f>20*2*1.1</f>
        <v>44</v>
      </c>
      <c r="S16" s="45">
        <f>F16*2*1.1</f>
        <v>76.450807550056737</v>
      </c>
      <c r="T16" s="46">
        <f>8*4*2*1.1</f>
        <v>70.400000000000006</v>
      </c>
      <c r="U16" s="59">
        <f>F16*2*2</f>
        <v>139.00146827283041</v>
      </c>
      <c r="V16" s="46">
        <f>15*2</f>
        <v>30</v>
      </c>
      <c r="W16" s="47">
        <v>4</v>
      </c>
      <c r="X16" s="47">
        <f>F16*1.1</f>
        <v>38.225403775028369</v>
      </c>
      <c r="Y16" s="47">
        <f>F16*2*1.1</f>
        <v>76.450807550056737</v>
      </c>
      <c r="Z16" s="47">
        <v>20</v>
      </c>
      <c r="AA16" s="47">
        <v>30</v>
      </c>
      <c r="AB16" s="47">
        <v>20</v>
      </c>
      <c r="AC16" s="47">
        <f>+D16*1.1</f>
        <v>28669.05283127127</v>
      </c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39" s="27" customFormat="1" ht="12" x14ac:dyDescent="0.2">
      <c r="A17" s="41" t="s">
        <v>44</v>
      </c>
      <c r="B17" s="56" t="s">
        <v>45</v>
      </c>
      <c r="C17" s="57" t="s">
        <v>47</v>
      </c>
      <c r="D17" s="42">
        <f>25969.7089047375+(25970*3)/100</f>
        <v>26748.8089047375</v>
      </c>
      <c r="E17" s="21">
        <v>20</v>
      </c>
      <c r="F17" s="44">
        <f t="shared" si="0"/>
        <v>35.665078539649997</v>
      </c>
      <c r="G17" s="44">
        <f>(D17/(150*5))/10+(D17/(150*5))/5</f>
        <v>10.699523561894999</v>
      </c>
      <c r="H17" s="45">
        <v>4</v>
      </c>
      <c r="I17" s="23">
        <v>4</v>
      </c>
      <c r="J17" s="23">
        <v>4</v>
      </c>
      <c r="K17" s="23"/>
      <c r="L17" s="58"/>
      <c r="M17" s="43">
        <f t="shared" ref="M17:M22" si="7">F17*3*5*2</f>
        <v>1069.9523561894998</v>
      </c>
      <c r="N17" s="45">
        <f t="shared" ref="N17:N22" si="8">3*2*1.3</f>
        <v>7.8000000000000007</v>
      </c>
      <c r="O17" s="23">
        <f>(F17*2*G17+30+8+1+25)/5*2*1.1</f>
        <v>363.96742639120237</v>
      </c>
      <c r="P17" s="45">
        <f>G17*5*6*2</f>
        <v>641.97141371369992</v>
      </c>
      <c r="Q17" s="23">
        <f t="shared" si="1"/>
        <v>30</v>
      </c>
      <c r="R17" s="45">
        <f t="shared" ref="R17:R22" si="9">20*2*1.1</f>
        <v>44</v>
      </c>
      <c r="S17" s="45">
        <f>F17*2*1.1</f>
        <v>78.463172787229993</v>
      </c>
      <c r="T17" s="46">
        <f t="shared" ref="T17:T22" si="10">8*4*2*1.1</f>
        <v>70.400000000000006</v>
      </c>
      <c r="U17" s="59">
        <f>F17*2*2</f>
        <v>142.66031415859999</v>
      </c>
      <c r="V17" s="46">
        <f t="shared" ref="V17:V22" si="11">15*2</f>
        <v>30</v>
      </c>
      <c r="W17" s="47">
        <v>4</v>
      </c>
      <c r="X17" s="47">
        <f>F17*1.1</f>
        <v>39.231586393614997</v>
      </c>
      <c r="Y17" s="47">
        <f>F17*2*1.1</f>
        <v>78.463172787229993</v>
      </c>
      <c r="Z17" s="47">
        <v>20</v>
      </c>
      <c r="AA17" s="47">
        <v>30</v>
      </c>
      <c r="AB17" s="47">
        <v>20</v>
      </c>
      <c r="AC17" s="47">
        <f>+D17*1.1</f>
        <v>29423.689795211252</v>
      </c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 s="40" customFormat="1" ht="12" x14ac:dyDescent="0.2">
      <c r="A18" s="41" t="s">
        <v>44</v>
      </c>
      <c r="B18" s="56" t="s">
        <v>45</v>
      </c>
      <c r="C18" s="57" t="s">
        <v>48</v>
      </c>
      <c r="D18" s="42">
        <f>21417.2396149614+(21417*3)/100</f>
        <v>22059.749614961398</v>
      </c>
      <c r="E18" s="21">
        <v>20</v>
      </c>
      <c r="F18" s="44">
        <f t="shared" si="0"/>
        <v>29.412999486615199</v>
      </c>
      <c r="G18" s="44">
        <f>(D18/(150*5))/10+(D18/(150*5))/5</f>
        <v>8.8238998459845597</v>
      </c>
      <c r="H18" s="45">
        <v>4</v>
      </c>
      <c r="I18" s="23">
        <v>4</v>
      </c>
      <c r="J18" s="23">
        <v>4</v>
      </c>
      <c r="K18" s="23"/>
      <c r="L18" s="58"/>
      <c r="M18" s="43">
        <f t="shared" si="7"/>
        <v>882.38998459845584</v>
      </c>
      <c r="N18" s="45">
        <f t="shared" si="8"/>
        <v>7.8000000000000007</v>
      </c>
      <c r="O18" s="23">
        <f>(F18*2*G18+30+8+1+25)/5*2*1.1</f>
        <v>256.55287824310125</v>
      </c>
      <c r="P18" s="45">
        <f>G18*5*6*2</f>
        <v>529.43399075907359</v>
      </c>
      <c r="Q18" s="23">
        <f t="shared" si="1"/>
        <v>30</v>
      </c>
      <c r="R18" s="45">
        <f t="shared" si="9"/>
        <v>44</v>
      </c>
      <c r="S18" s="45">
        <f>F18*2*1.1</f>
        <v>64.708598870553445</v>
      </c>
      <c r="T18" s="46">
        <f t="shared" si="10"/>
        <v>70.400000000000006</v>
      </c>
      <c r="U18" s="59">
        <f>F18*2*2</f>
        <v>117.6519979464608</v>
      </c>
      <c r="V18" s="46">
        <f t="shared" si="11"/>
        <v>30</v>
      </c>
      <c r="W18" s="47">
        <v>4</v>
      </c>
      <c r="X18" s="47">
        <f>F18*1.1</f>
        <v>32.354299435276722</v>
      </c>
      <c r="Y18" s="47">
        <f>F18*2*1.1</f>
        <v>64.708598870553445</v>
      </c>
      <c r="Z18" s="47">
        <v>20</v>
      </c>
      <c r="AA18" s="47">
        <v>30</v>
      </c>
      <c r="AB18" s="47">
        <v>20</v>
      </c>
      <c r="AC18" s="47">
        <f>+D18*1.1</f>
        <v>24265.724576457538</v>
      </c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s="27" customFormat="1" ht="21.75" customHeight="1" x14ac:dyDescent="0.2">
      <c r="A19" s="113" t="s">
        <v>49</v>
      </c>
      <c r="B19" s="114"/>
      <c r="C19" s="73">
        <v>3</v>
      </c>
      <c r="D19" s="61">
        <f t="shared" ref="D19:AC19" si="12">SUM(D16:D18)</f>
        <v>74871.333820854605</v>
      </c>
      <c r="E19" s="62">
        <f t="shared" si="12"/>
        <v>60</v>
      </c>
      <c r="F19" s="63">
        <f t="shared" si="12"/>
        <v>99.828445094472812</v>
      </c>
      <c r="G19" s="63">
        <f t="shared" si="12"/>
        <v>29.948533528341841</v>
      </c>
      <c r="H19" s="63">
        <f t="shared" si="12"/>
        <v>12</v>
      </c>
      <c r="I19" s="63">
        <f t="shared" si="12"/>
        <v>12</v>
      </c>
      <c r="J19" s="63">
        <f t="shared" si="12"/>
        <v>12</v>
      </c>
      <c r="K19" s="63">
        <f t="shared" si="12"/>
        <v>0</v>
      </c>
      <c r="L19" s="64">
        <f t="shared" si="12"/>
        <v>0</v>
      </c>
      <c r="M19" s="62">
        <f t="shared" si="12"/>
        <v>2994.8533528341841</v>
      </c>
      <c r="N19" s="63">
        <f t="shared" si="12"/>
        <v>23.400000000000002</v>
      </c>
      <c r="O19" s="63">
        <f t="shared" si="12"/>
        <v>967.4835396373478</v>
      </c>
      <c r="P19" s="63">
        <f t="shared" si="12"/>
        <v>1796.9120117005102</v>
      </c>
      <c r="Q19" s="63">
        <f t="shared" si="12"/>
        <v>90</v>
      </c>
      <c r="R19" s="63">
        <f t="shared" si="12"/>
        <v>132</v>
      </c>
      <c r="S19" s="63">
        <f t="shared" si="12"/>
        <v>219.62257920784015</v>
      </c>
      <c r="T19" s="65">
        <f t="shared" si="12"/>
        <v>211.20000000000002</v>
      </c>
      <c r="U19" s="66">
        <f t="shared" si="12"/>
        <v>399.31378037789125</v>
      </c>
      <c r="V19" s="65">
        <f t="shared" si="12"/>
        <v>90</v>
      </c>
      <c r="W19" s="68">
        <f t="shared" si="12"/>
        <v>12</v>
      </c>
      <c r="X19" s="68">
        <f t="shared" si="12"/>
        <v>109.81128960392007</v>
      </c>
      <c r="Y19" s="68">
        <f t="shared" si="12"/>
        <v>219.62257920784015</v>
      </c>
      <c r="Z19" s="68">
        <f t="shared" si="12"/>
        <v>60</v>
      </c>
      <c r="AA19" s="68">
        <f t="shared" si="12"/>
        <v>90</v>
      </c>
      <c r="AB19" s="68">
        <f t="shared" si="12"/>
        <v>60</v>
      </c>
      <c r="AC19" s="68">
        <f t="shared" si="12"/>
        <v>82358.467202940054</v>
      </c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 s="27" customFormat="1" ht="12" x14ac:dyDescent="0.2">
      <c r="A20" s="41" t="s">
        <v>44</v>
      </c>
      <c r="B20" s="56" t="s">
        <v>50</v>
      </c>
      <c r="C20" s="74" t="s">
        <v>51</v>
      </c>
      <c r="D20" s="42">
        <f>31942.818453+(31943*3)/100</f>
        <v>32901.108453000001</v>
      </c>
      <c r="E20" s="21">
        <v>20</v>
      </c>
      <c r="F20" s="44">
        <f t="shared" si="0"/>
        <v>43.868144604000001</v>
      </c>
      <c r="G20" s="44">
        <f>(D20/(150*5))/10+(D20/(150*5))/5</f>
        <v>13.1604433812</v>
      </c>
      <c r="H20" s="45">
        <v>4</v>
      </c>
      <c r="I20" s="23">
        <v>4</v>
      </c>
      <c r="J20" s="23">
        <v>4</v>
      </c>
      <c r="K20" s="23"/>
      <c r="L20" s="58"/>
      <c r="M20" s="43">
        <f t="shared" si="7"/>
        <v>1316.04433812</v>
      </c>
      <c r="N20" s="45">
        <f t="shared" si="8"/>
        <v>7.8000000000000007</v>
      </c>
      <c r="O20" s="23">
        <f>(F20*2*G20+30+8+1+25)/5*2*1.1</f>
        <v>536.20532530332798</v>
      </c>
      <c r="P20" s="45">
        <f>G20*5*6*2</f>
        <v>789.62660287199992</v>
      </c>
      <c r="Q20" s="23">
        <f t="shared" si="1"/>
        <v>30</v>
      </c>
      <c r="R20" s="45">
        <f t="shared" si="9"/>
        <v>44</v>
      </c>
      <c r="S20" s="45">
        <f>F20*2*1.1</f>
        <v>96.50991812880001</v>
      </c>
      <c r="T20" s="46">
        <f t="shared" si="10"/>
        <v>70.400000000000006</v>
      </c>
      <c r="U20" s="59">
        <f>F20*2*2</f>
        <v>175.472578416</v>
      </c>
      <c r="V20" s="46">
        <f t="shared" si="11"/>
        <v>30</v>
      </c>
      <c r="W20" s="47">
        <v>4</v>
      </c>
      <c r="X20" s="47">
        <f>F20*1.1</f>
        <v>48.254959064400005</v>
      </c>
      <c r="Y20" s="47">
        <f>F20*2*1.1</f>
        <v>96.50991812880001</v>
      </c>
      <c r="Z20" s="47">
        <v>20</v>
      </c>
      <c r="AA20" s="47">
        <v>30</v>
      </c>
      <c r="AB20" s="47">
        <v>20</v>
      </c>
      <c r="AC20" s="47">
        <f>+D20*1.1</f>
        <v>36191.219298300006</v>
      </c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 s="27" customFormat="1" ht="19.5" customHeight="1" x14ac:dyDescent="0.2">
      <c r="A21" s="75" t="s">
        <v>52</v>
      </c>
      <c r="B21" s="76"/>
      <c r="C21" s="60">
        <v>1</v>
      </c>
      <c r="D21" s="61">
        <f t="shared" ref="D21:AC21" si="13">SUM(D20:D20)</f>
        <v>32901.108453000001</v>
      </c>
      <c r="E21" s="62">
        <f t="shared" si="13"/>
        <v>20</v>
      </c>
      <c r="F21" s="63">
        <f t="shared" si="13"/>
        <v>43.868144604000001</v>
      </c>
      <c r="G21" s="63">
        <f t="shared" si="13"/>
        <v>13.1604433812</v>
      </c>
      <c r="H21" s="63">
        <f t="shared" si="13"/>
        <v>4</v>
      </c>
      <c r="I21" s="63">
        <f t="shared" si="13"/>
        <v>4</v>
      </c>
      <c r="J21" s="63">
        <f t="shared" si="13"/>
        <v>4</v>
      </c>
      <c r="K21" s="63">
        <f t="shared" si="13"/>
        <v>0</v>
      </c>
      <c r="L21" s="64">
        <f t="shared" si="13"/>
        <v>0</v>
      </c>
      <c r="M21" s="62">
        <f t="shared" si="13"/>
        <v>1316.04433812</v>
      </c>
      <c r="N21" s="63">
        <f t="shared" si="13"/>
        <v>7.8000000000000007</v>
      </c>
      <c r="O21" s="63">
        <f t="shared" si="13"/>
        <v>536.20532530332798</v>
      </c>
      <c r="P21" s="63">
        <f t="shared" si="13"/>
        <v>789.62660287199992</v>
      </c>
      <c r="Q21" s="63">
        <f t="shared" si="13"/>
        <v>30</v>
      </c>
      <c r="R21" s="63">
        <f t="shared" si="13"/>
        <v>44</v>
      </c>
      <c r="S21" s="63">
        <f t="shared" si="13"/>
        <v>96.50991812880001</v>
      </c>
      <c r="T21" s="65">
        <f t="shared" si="13"/>
        <v>70.400000000000006</v>
      </c>
      <c r="U21" s="66">
        <f t="shared" si="13"/>
        <v>175.472578416</v>
      </c>
      <c r="V21" s="65">
        <f t="shared" si="13"/>
        <v>30</v>
      </c>
      <c r="W21" s="68">
        <f t="shared" si="13"/>
        <v>4</v>
      </c>
      <c r="X21" s="68">
        <f t="shared" si="13"/>
        <v>48.254959064400005</v>
      </c>
      <c r="Y21" s="68">
        <f t="shared" si="13"/>
        <v>96.50991812880001</v>
      </c>
      <c r="Z21" s="68">
        <f t="shared" si="13"/>
        <v>20</v>
      </c>
      <c r="AA21" s="68">
        <f t="shared" si="13"/>
        <v>30</v>
      </c>
      <c r="AB21" s="68">
        <f t="shared" si="13"/>
        <v>20</v>
      </c>
      <c r="AC21" s="68">
        <f t="shared" si="13"/>
        <v>36191.219298300006</v>
      </c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 s="27" customFormat="1" ht="12" x14ac:dyDescent="0.2">
      <c r="A22" s="41" t="s">
        <v>44</v>
      </c>
      <c r="B22" s="56" t="s">
        <v>53</v>
      </c>
      <c r="C22" s="74" t="s">
        <v>54</v>
      </c>
      <c r="D22" s="42">
        <f>26644.9804254732+(26645*3)/100</f>
        <v>27444.330425473199</v>
      </c>
      <c r="E22" s="21">
        <v>20</v>
      </c>
      <c r="F22" s="44">
        <f t="shared" si="0"/>
        <v>36.592440567297601</v>
      </c>
      <c r="G22" s="44">
        <f>(D22/(150*5))/10+(D22/(150*5))/5</f>
        <v>10.977732170189281</v>
      </c>
      <c r="H22" s="45">
        <v>4</v>
      </c>
      <c r="I22" s="23">
        <v>4</v>
      </c>
      <c r="J22" s="23">
        <v>4</v>
      </c>
      <c r="K22" s="23"/>
      <c r="L22" s="58"/>
      <c r="M22" s="43">
        <f t="shared" si="7"/>
        <v>1097.7732170189281</v>
      </c>
      <c r="N22" s="45">
        <f t="shared" si="8"/>
        <v>7.8000000000000007</v>
      </c>
      <c r="O22" s="23">
        <f>(F22*2*G22+30+8+1+25)/5*2*1.1</f>
        <v>381.65777056119873</v>
      </c>
      <c r="P22" s="45">
        <f>G22*5*6*2</f>
        <v>658.66393021135696</v>
      </c>
      <c r="Q22" s="23">
        <f t="shared" si="1"/>
        <v>30</v>
      </c>
      <c r="R22" s="45">
        <f t="shared" si="9"/>
        <v>44</v>
      </c>
      <c r="S22" s="45">
        <f>F22*2*1.1</f>
        <v>80.503369248054724</v>
      </c>
      <c r="T22" s="46">
        <f t="shared" si="10"/>
        <v>70.400000000000006</v>
      </c>
      <c r="U22" s="59">
        <f>F22*2*2</f>
        <v>146.3697622691904</v>
      </c>
      <c r="V22" s="46">
        <f t="shared" si="11"/>
        <v>30</v>
      </c>
      <c r="W22" s="47">
        <v>4</v>
      </c>
      <c r="X22" s="47">
        <f>F22*1.1</f>
        <v>40.251684624027362</v>
      </c>
      <c r="Y22" s="47">
        <f>F22*2*1.1</f>
        <v>80.503369248054724</v>
      </c>
      <c r="Z22" s="47">
        <v>20</v>
      </c>
      <c r="AA22" s="47">
        <v>30</v>
      </c>
      <c r="AB22" s="47">
        <v>20</v>
      </c>
      <c r="AC22" s="47">
        <f>+D22*1.1</f>
        <v>30188.763468020523</v>
      </c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 s="27" customFormat="1" ht="12" x14ac:dyDescent="0.2">
      <c r="A23" s="41" t="s">
        <v>44</v>
      </c>
      <c r="B23" s="56" t="s">
        <v>53</v>
      </c>
      <c r="C23" s="74" t="s">
        <v>55</v>
      </c>
      <c r="D23" s="42">
        <f>30657.1379559207+(30657*3)/100</f>
        <v>31576.847955920701</v>
      </c>
      <c r="E23" s="21">
        <v>20</v>
      </c>
      <c r="F23" s="44">
        <f t="shared" si="0"/>
        <v>42.102463941227604</v>
      </c>
      <c r="G23" s="44">
        <f>(D23/(150*5))/10+(D23/(150*5))/5</f>
        <v>12.630739182368282</v>
      </c>
      <c r="H23" s="45">
        <v>4</v>
      </c>
      <c r="I23" s="23">
        <v>4</v>
      </c>
      <c r="J23" s="23">
        <v>4</v>
      </c>
      <c r="K23" s="23"/>
      <c r="L23" s="58"/>
      <c r="M23" s="43">
        <f>F23*3*5*2</f>
        <v>1263.0739182368281</v>
      </c>
      <c r="N23" s="45">
        <f>3*2*1.3</f>
        <v>7.8000000000000007</v>
      </c>
      <c r="O23" s="23">
        <f>(F23*2*G23+30+8+1+25)/5*2*1.1</f>
        <v>496.13101205950602</v>
      </c>
      <c r="P23" s="45">
        <f>G23*5*6*2</f>
        <v>757.84435094209698</v>
      </c>
      <c r="Q23" s="23">
        <f t="shared" si="1"/>
        <v>30</v>
      </c>
      <c r="R23" s="45">
        <f>20*2*1.1</f>
        <v>44</v>
      </c>
      <c r="S23" s="45">
        <f>F23*2*1.1</f>
        <v>92.625420670700734</v>
      </c>
      <c r="T23" s="46">
        <f>8*4*2*1.1</f>
        <v>70.400000000000006</v>
      </c>
      <c r="U23" s="59">
        <f>F23*2*2</f>
        <v>168.40985576491042</v>
      </c>
      <c r="V23" s="46">
        <f>15*2</f>
        <v>30</v>
      </c>
      <c r="W23" s="47">
        <v>4</v>
      </c>
      <c r="X23" s="47">
        <f>F23*1.1</f>
        <v>46.312710335350367</v>
      </c>
      <c r="Y23" s="47">
        <f>F23*2*1.1</f>
        <v>92.625420670700734</v>
      </c>
      <c r="Z23" s="47">
        <v>20</v>
      </c>
      <c r="AA23" s="47">
        <v>30</v>
      </c>
      <c r="AB23" s="47">
        <v>20</v>
      </c>
      <c r="AC23" s="47">
        <f>+D23*1.1</f>
        <v>34734.532751512772</v>
      </c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 s="40" customFormat="1" ht="12" x14ac:dyDescent="0.2">
      <c r="A24" s="41" t="s">
        <v>44</v>
      </c>
      <c r="B24" s="56" t="s">
        <v>53</v>
      </c>
      <c r="C24" s="74" t="s">
        <v>56</v>
      </c>
      <c r="D24" s="42">
        <f>25127.5694478312+(25128*3)/100</f>
        <v>25881.4094478312</v>
      </c>
      <c r="E24" s="21">
        <v>20</v>
      </c>
      <c r="F24" s="44">
        <f t="shared" si="0"/>
        <v>34.508545930441599</v>
      </c>
      <c r="G24" s="44">
        <f>(D24/(150*5))/10+(D24/(150*5))/5</f>
        <v>10.352563779132481</v>
      </c>
      <c r="H24" s="45">
        <v>4</v>
      </c>
      <c r="I24" s="23">
        <v>4</v>
      </c>
      <c r="J24" s="23">
        <v>4</v>
      </c>
      <c r="K24" s="23"/>
      <c r="L24" s="58"/>
      <c r="M24" s="43">
        <f>F24*3*5*2</f>
        <v>1035.2563779132479</v>
      </c>
      <c r="N24" s="45">
        <f>3*2*1.3</f>
        <v>7.8000000000000007</v>
      </c>
      <c r="O24" s="23">
        <f>(F24*2*G24+30+8+1+25)/5*2*1.1</f>
        <v>342.54169194961696</v>
      </c>
      <c r="P24" s="45">
        <f>G24*5*6*2</f>
        <v>621.15382674794887</v>
      </c>
      <c r="Q24" s="23">
        <f t="shared" si="1"/>
        <v>30</v>
      </c>
      <c r="R24" s="45">
        <f>20*2*1.1</f>
        <v>44</v>
      </c>
      <c r="S24" s="45">
        <f>F24*2*1.1</f>
        <v>75.918801046971524</v>
      </c>
      <c r="T24" s="46">
        <f>8*4*2*1.1</f>
        <v>70.400000000000006</v>
      </c>
      <c r="U24" s="59">
        <f>F24*2*2</f>
        <v>138.0341837217664</v>
      </c>
      <c r="V24" s="46">
        <f>15*2</f>
        <v>30</v>
      </c>
      <c r="W24" s="47">
        <v>4</v>
      </c>
      <c r="X24" s="47">
        <f>F24*1.1</f>
        <v>37.959400523485762</v>
      </c>
      <c r="Y24" s="47">
        <f>F24*2*1.1</f>
        <v>75.918801046971524</v>
      </c>
      <c r="Z24" s="47">
        <v>20</v>
      </c>
      <c r="AA24" s="47">
        <v>30</v>
      </c>
      <c r="AB24" s="47">
        <v>20</v>
      </c>
      <c r="AC24" s="47">
        <f>+D24*1.1</f>
        <v>28469.550392614321</v>
      </c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s="27" customFormat="1" ht="21.75" customHeight="1" x14ac:dyDescent="0.2">
      <c r="A25" s="113" t="s">
        <v>57</v>
      </c>
      <c r="B25" s="114"/>
      <c r="C25" s="73">
        <v>3</v>
      </c>
      <c r="D25" s="61">
        <f t="shared" ref="D25:AC25" si="14">SUM(D22:D24)</f>
        <v>84902.5878292251</v>
      </c>
      <c r="E25" s="62">
        <f t="shared" si="14"/>
        <v>60</v>
      </c>
      <c r="F25" s="63">
        <f t="shared" si="14"/>
        <v>113.20345043896681</v>
      </c>
      <c r="G25" s="63">
        <f t="shared" si="14"/>
        <v>33.961035131690046</v>
      </c>
      <c r="H25" s="63">
        <f t="shared" si="14"/>
        <v>12</v>
      </c>
      <c r="I25" s="63">
        <f t="shared" si="14"/>
        <v>12</v>
      </c>
      <c r="J25" s="63">
        <f t="shared" si="14"/>
        <v>12</v>
      </c>
      <c r="K25" s="63">
        <f t="shared" si="14"/>
        <v>0</v>
      </c>
      <c r="L25" s="64">
        <f t="shared" si="14"/>
        <v>0</v>
      </c>
      <c r="M25" s="62">
        <f t="shared" si="14"/>
        <v>3396.1035131690041</v>
      </c>
      <c r="N25" s="63">
        <f t="shared" si="14"/>
        <v>23.400000000000002</v>
      </c>
      <c r="O25" s="63">
        <f t="shared" si="14"/>
        <v>1220.3304745703217</v>
      </c>
      <c r="P25" s="63">
        <f t="shared" si="14"/>
        <v>2037.6621079014028</v>
      </c>
      <c r="Q25" s="63">
        <f t="shared" si="14"/>
        <v>90</v>
      </c>
      <c r="R25" s="63">
        <f t="shared" si="14"/>
        <v>132</v>
      </c>
      <c r="S25" s="63">
        <f t="shared" si="14"/>
        <v>249.04759096572695</v>
      </c>
      <c r="T25" s="65">
        <f t="shared" si="14"/>
        <v>211.20000000000002</v>
      </c>
      <c r="U25" s="66">
        <f t="shared" si="14"/>
        <v>452.81380175586725</v>
      </c>
      <c r="V25" s="65">
        <f t="shared" si="14"/>
        <v>90</v>
      </c>
      <c r="W25" s="68">
        <f t="shared" si="14"/>
        <v>12</v>
      </c>
      <c r="X25" s="68">
        <f t="shared" si="14"/>
        <v>124.52379548286348</v>
      </c>
      <c r="Y25" s="68">
        <f t="shared" si="14"/>
        <v>249.04759096572695</v>
      </c>
      <c r="Z25" s="68">
        <f t="shared" si="14"/>
        <v>60</v>
      </c>
      <c r="AA25" s="68">
        <f t="shared" si="14"/>
        <v>90</v>
      </c>
      <c r="AB25" s="68">
        <f t="shared" si="14"/>
        <v>60</v>
      </c>
      <c r="AC25" s="68">
        <f t="shared" si="14"/>
        <v>93392.846612147609</v>
      </c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spans="1:39" ht="13.5" customHeight="1" x14ac:dyDescent="0.25">
      <c r="A26" s="41" t="s">
        <v>44</v>
      </c>
      <c r="B26" s="56" t="s">
        <v>58</v>
      </c>
      <c r="C26" s="74" t="s">
        <v>59</v>
      </c>
      <c r="D26" s="42">
        <f>19842.69+(19843*3)/100</f>
        <v>20437.98</v>
      </c>
      <c r="E26" s="21">
        <v>20</v>
      </c>
      <c r="F26" s="44">
        <f t="shared" si="0"/>
        <v>27.250640000000001</v>
      </c>
      <c r="G26" s="44">
        <f>(D26/(150*5))/10+(D26/(150*5))/5</f>
        <v>8.1751920000000009</v>
      </c>
      <c r="H26" s="45">
        <v>4</v>
      </c>
      <c r="I26" s="23">
        <v>4</v>
      </c>
      <c r="J26" s="23">
        <v>4</v>
      </c>
      <c r="K26" s="23"/>
      <c r="L26" s="58"/>
      <c r="M26" s="43">
        <f>F26*3*5*2</f>
        <v>817.51919999999996</v>
      </c>
      <c r="N26" s="45">
        <f>3*2*1.3</f>
        <v>7.8000000000000007</v>
      </c>
      <c r="O26" s="23">
        <f>(F26*2*G26+30+8+1+25)/5*2*1.1</f>
        <v>224.20570842813447</v>
      </c>
      <c r="P26" s="45">
        <f>G26*5*6*2</f>
        <v>490.51152000000008</v>
      </c>
      <c r="Q26" s="23">
        <f t="shared" si="1"/>
        <v>30</v>
      </c>
      <c r="R26" s="45">
        <f>20*2*1.1</f>
        <v>44</v>
      </c>
      <c r="S26" s="45">
        <f>F26*2*1.1</f>
        <v>59.951408000000008</v>
      </c>
      <c r="T26" s="46">
        <f>8*4*2*1.1</f>
        <v>70.400000000000006</v>
      </c>
      <c r="U26" s="59">
        <f>F26*2*2</f>
        <v>109.00256</v>
      </c>
      <c r="V26" s="46">
        <f>15*2</f>
        <v>30</v>
      </c>
      <c r="W26" s="47">
        <v>4</v>
      </c>
      <c r="X26" s="47">
        <f>F26*1.1</f>
        <v>29.975704000000004</v>
      </c>
      <c r="Y26" s="47">
        <f>F26*2*1.1</f>
        <v>59.951408000000008</v>
      </c>
      <c r="Z26" s="47">
        <v>20</v>
      </c>
      <c r="AA26" s="47">
        <v>30</v>
      </c>
      <c r="AB26" s="47">
        <v>20</v>
      </c>
      <c r="AC26" s="47">
        <f>+D26*1.1</f>
        <v>22481.778000000002</v>
      </c>
      <c r="AD26" s="77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7.25" customHeight="1" x14ac:dyDescent="0.25">
      <c r="A27" s="113" t="s">
        <v>60</v>
      </c>
      <c r="B27" s="115"/>
      <c r="C27" s="78">
        <v>1</v>
      </c>
      <c r="D27" s="79">
        <f t="shared" ref="D27:AC27" si="15">SUM(D26:D26)</f>
        <v>20437.98</v>
      </c>
      <c r="E27" s="62">
        <f t="shared" si="15"/>
        <v>20</v>
      </c>
      <c r="F27" s="63">
        <f t="shared" si="15"/>
        <v>27.250640000000001</v>
      </c>
      <c r="G27" s="63">
        <f t="shared" si="15"/>
        <v>8.1751920000000009</v>
      </c>
      <c r="H27" s="80">
        <f t="shared" si="15"/>
        <v>4</v>
      </c>
      <c r="I27" s="80">
        <f t="shared" si="15"/>
        <v>4</v>
      </c>
      <c r="J27" s="80">
        <f t="shared" si="15"/>
        <v>4</v>
      </c>
      <c r="K27" s="80">
        <f t="shared" si="15"/>
        <v>0</v>
      </c>
      <c r="L27" s="81">
        <f t="shared" si="15"/>
        <v>0</v>
      </c>
      <c r="M27" s="62">
        <f t="shared" si="15"/>
        <v>817.51919999999996</v>
      </c>
      <c r="N27" s="63">
        <f t="shared" si="15"/>
        <v>7.8000000000000007</v>
      </c>
      <c r="O27" s="82">
        <f t="shared" si="15"/>
        <v>224.20570842813447</v>
      </c>
      <c r="P27" s="63">
        <f t="shared" si="15"/>
        <v>490.51152000000008</v>
      </c>
      <c r="Q27" s="63">
        <f t="shared" si="15"/>
        <v>30</v>
      </c>
      <c r="R27" s="63">
        <f t="shared" si="15"/>
        <v>44</v>
      </c>
      <c r="S27" s="63">
        <f t="shared" si="15"/>
        <v>59.951408000000008</v>
      </c>
      <c r="T27" s="65">
        <f t="shared" si="15"/>
        <v>70.400000000000006</v>
      </c>
      <c r="U27" s="66">
        <f t="shared" si="15"/>
        <v>109.00256</v>
      </c>
      <c r="V27" s="65">
        <f t="shared" si="15"/>
        <v>30</v>
      </c>
      <c r="W27" s="68">
        <f t="shared" si="15"/>
        <v>4</v>
      </c>
      <c r="X27" s="68">
        <f t="shared" si="15"/>
        <v>29.975704000000004</v>
      </c>
      <c r="Y27" s="68">
        <f t="shared" si="15"/>
        <v>59.951408000000008</v>
      </c>
      <c r="Z27" s="68">
        <f t="shared" si="15"/>
        <v>20</v>
      </c>
      <c r="AA27" s="68">
        <f t="shared" si="15"/>
        <v>30</v>
      </c>
      <c r="AB27" s="68">
        <f t="shared" si="15"/>
        <v>20</v>
      </c>
      <c r="AC27" s="68">
        <f t="shared" si="15"/>
        <v>22481.778000000002</v>
      </c>
      <c r="AD27" s="83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5">
      <c r="A28" s="109" t="s">
        <v>61</v>
      </c>
      <c r="B28" s="110"/>
      <c r="C28" s="69">
        <f>C19+C21+C25+C27</f>
        <v>8</v>
      </c>
      <c r="D28" s="70">
        <f t="shared" ref="D28:AC28" si="16">D27+D25+D21+D19</f>
        <v>213113.01010307969</v>
      </c>
      <c r="E28" s="71">
        <f t="shared" si="16"/>
        <v>160</v>
      </c>
      <c r="F28" s="70">
        <f t="shared" si="16"/>
        <v>284.15068013743962</v>
      </c>
      <c r="G28" s="70">
        <f t="shared" si="16"/>
        <v>85.245204041231887</v>
      </c>
      <c r="H28" s="70">
        <f t="shared" si="16"/>
        <v>32</v>
      </c>
      <c r="I28" s="70">
        <f t="shared" si="16"/>
        <v>32</v>
      </c>
      <c r="J28" s="70">
        <f t="shared" si="16"/>
        <v>32</v>
      </c>
      <c r="K28" s="70">
        <f t="shared" si="16"/>
        <v>0</v>
      </c>
      <c r="L28" s="70">
        <f t="shared" si="16"/>
        <v>0</v>
      </c>
      <c r="M28" s="71">
        <f t="shared" si="16"/>
        <v>8524.5204041231882</v>
      </c>
      <c r="N28" s="70">
        <f t="shared" si="16"/>
        <v>62.400000000000006</v>
      </c>
      <c r="O28" s="70">
        <f t="shared" si="16"/>
        <v>2948.2250479391323</v>
      </c>
      <c r="P28" s="70">
        <f t="shared" si="16"/>
        <v>5114.7122424739136</v>
      </c>
      <c r="Q28" s="70">
        <f t="shared" si="16"/>
        <v>240</v>
      </c>
      <c r="R28" s="70">
        <f t="shared" si="16"/>
        <v>352</v>
      </c>
      <c r="S28" s="70">
        <f t="shared" si="16"/>
        <v>625.13149630236717</v>
      </c>
      <c r="T28" s="72">
        <f t="shared" si="16"/>
        <v>563.20000000000005</v>
      </c>
      <c r="U28" s="70">
        <f t="shared" si="16"/>
        <v>1136.6027205497585</v>
      </c>
      <c r="V28" s="72">
        <f t="shared" si="16"/>
        <v>240</v>
      </c>
      <c r="W28" s="72">
        <f t="shared" si="16"/>
        <v>32</v>
      </c>
      <c r="X28" s="72">
        <f t="shared" si="16"/>
        <v>312.56574815118358</v>
      </c>
      <c r="Y28" s="72">
        <f t="shared" si="16"/>
        <v>625.13149630236717</v>
      </c>
      <c r="Z28" s="72">
        <f t="shared" si="16"/>
        <v>160</v>
      </c>
      <c r="AA28" s="72">
        <f t="shared" si="16"/>
        <v>240</v>
      </c>
      <c r="AB28" s="72">
        <f t="shared" si="16"/>
        <v>160</v>
      </c>
      <c r="AC28" s="72">
        <f t="shared" si="16"/>
        <v>234424.31111338767</v>
      </c>
      <c r="AD28" s="83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5">
      <c r="A29" s="41" t="s">
        <v>62</v>
      </c>
      <c r="B29" s="56" t="s">
        <v>63</v>
      </c>
      <c r="C29" s="57" t="s">
        <v>64</v>
      </c>
      <c r="D29" s="42">
        <f>18288.3813+(18288*3)/100</f>
        <v>18837.0213</v>
      </c>
      <c r="E29" s="21">
        <v>20</v>
      </c>
      <c r="F29" s="44">
        <f t="shared" si="0"/>
        <v>25.116028400000001</v>
      </c>
      <c r="G29" s="44">
        <f>(D29/(150*5))/10+(D29/(150*5))/5</f>
        <v>7.5348085200000003</v>
      </c>
      <c r="H29" s="45">
        <v>4</v>
      </c>
      <c r="I29" s="23">
        <v>4</v>
      </c>
      <c r="J29" s="23">
        <v>4</v>
      </c>
      <c r="K29" s="23"/>
      <c r="L29" s="58"/>
      <c r="M29" s="43">
        <f>F29*3*5*2</f>
        <v>753.48085200000003</v>
      </c>
      <c r="N29" s="45">
        <f>3*2*1.3</f>
        <v>7.8000000000000007</v>
      </c>
      <c r="O29" s="23">
        <f>(F29*2*G29+30+8+1+25)/5*2*1.1</f>
        <v>194.69512900365618</v>
      </c>
      <c r="P29" s="45">
        <f>G29*5*6*2</f>
        <v>452.08851119999997</v>
      </c>
      <c r="Q29" s="23">
        <f t="shared" si="1"/>
        <v>30</v>
      </c>
      <c r="R29" s="45">
        <f>20*2*1.1</f>
        <v>44</v>
      </c>
      <c r="S29" s="45">
        <f>F29*2*1.1</f>
        <v>55.255262480000006</v>
      </c>
      <c r="T29" s="46">
        <f>8*4*2*1.1</f>
        <v>70.400000000000006</v>
      </c>
      <c r="U29" s="59">
        <f>F29*2*2</f>
        <v>100.4641136</v>
      </c>
      <c r="V29" s="46">
        <f>15*2</f>
        <v>30</v>
      </c>
      <c r="W29" s="47">
        <v>4</v>
      </c>
      <c r="X29" s="47">
        <f>F29*1.1</f>
        <v>27.627631240000003</v>
      </c>
      <c r="Y29" s="47">
        <f>F29*2*1.1</f>
        <v>55.255262480000006</v>
      </c>
      <c r="Z29" s="47">
        <v>20</v>
      </c>
      <c r="AA29" s="47">
        <v>30</v>
      </c>
      <c r="AB29" s="47">
        <v>20</v>
      </c>
      <c r="AC29" s="47">
        <f>+D29*1.1</f>
        <v>20720.723430000002</v>
      </c>
      <c r="AD29" s="83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5">
      <c r="A30" s="41" t="s">
        <v>62</v>
      </c>
      <c r="B30" s="56" t="s">
        <v>63</v>
      </c>
      <c r="C30" s="57" t="s">
        <v>65</v>
      </c>
      <c r="D30" s="42">
        <f>20002.1262+(20002*3)/100</f>
        <v>20602.1862</v>
      </c>
      <c r="E30" s="21">
        <v>20</v>
      </c>
      <c r="F30" s="44">
        <f t="shared" si="0"/>
        <v>27.469581600000001</v>
      </c>
      <c r="G30" s="44">
        <f>(D30/(150*5))/10+(D30/(150*5))/5</f>
        <v>8.2408744800000004</v>
      </c>
      <c r="H30" s="45">
        <v>4</v>
      </c>
      <c r="I30" s="23">
        <v>4</v>
      </c>
      <c r="J30" s="23">
        <v>4</v>
      </c>
      <c r="K30" s="23"/>
      <c r="L30" s="58"/>
      <c r="M30" s="43">
        <f>F30*3*5</f>
        <v>412.04372400000005</v>
      </c>
      <c r="N30" s="45">
        <f>3*2*1.3</f>
        <v>7.8000000000000007</v>
      </c>
      <c r="O30" s="45">
        <f>(F30*2*G30+30+8+1+25)/5*1.1</f>
        <v>113.68428455283573</v>
      </c>
      <c r="P30" s="45">
        <f>G30*5*6</f>
        <v>247.22623440000001</v>
      </c>
      <c r="Q30" s="45">
        <f>10*3</f>
        <v>30</v>
      </c>
      <c r="R30" s="45">
        <f>20*1.1</f>
        <v>22</v>
      </c>
      <c r="S30" s="45">
        <f>F30*1.1</f>
        <v>30.216539760000003</v>
      </c>
      <c r="T30" s="46">
        <f>8*4*1.1</f>
        <v>35.200000000000003</v>
      </c>
      <c r="U30" s="59">
        <f>F30</f>
        <v>27.469581600000001</v>
      </c>
      <c r="V30" s="46">
        <f>15</f>
        <v>15</v>
      </c>
      <c r="W30" s="47">
        <v>4</v>
      </c>
      <c r="X30" s="47">
        <f>F30*1.1</f>
        <v>30.216539760000003</v>
      </c>
      <c r="Y30" s="47">
        <f>F30*1.1</f>
        <v>30.216539760000003</v>
      </c>
      <c r="Z30" s="47">
        <v>10</v>
      </c>
      <c r="AA30" s="47">
        <v>15</v>
      </c>
      <c r="AB30" s="47">
        <v>10</v>
      </c>
      <c r="AC30" s="47">
        <f>+D30*1.1</f>
        <v>22662.404820000003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5">
      <c r="A31" s="41" t="s">
        <v>62</v>
      </c>
      <c r="B31" s="56" t="s">
        <v>63</v>
      </c>
      <c r="C31" s="84" t="s">
        <v>66</v>
      </c>
      <c r="D31" s="42">
        <f>31853.6358+(31854*3)/100</f>
        <v>32809.255799999999</v>
      </c>
      <c r="E31" s="21">
        <v>20</v>
      </c>
      <c r="F31" s="44">
        <f t="shared" si="0"/>
        <v>43.745674399999999</v>
      </c>
      <c r="G31" s="44">
        <f>(D31/(150*5))/10+(D31/(150*5))/5</f>
        <v>13.12370232</v>
      </c>
      <c r="H31" s="45">
        <v>4</v>
      </c>
      <c r="I31" s="23">
        <v>4</v>
      </c>
      <c r="J31" s="23">
        <v>4</v>
      </c>
      <c r="K31" s="23"/>
      <c r="L31" s="58"/>
      <c r="M31" s="43">
        <f>F31*3*5*2</f>
        <v>1312.3702320000002</v>
      </c>
      <c r="N31" s="45">
        <f>3*2*1.3</f>
        <v>7.8000000000000007</v>
      </c>
      <c r="O31" s="23">
        <f>(F31*2*G31+30+8+1+25)/5*2*1.1</f>
        <v>533.37258357965527</v>
      </c>
      <c r="P31" s="45">
        <f>G31*5*6*2</f>
        <v>787.42213920000006</v>
      </c>
      <c r="Q31" s="23">
        <f t="shared" si="1"/>
        <v>30</v>
      </c>
      <c r="R31" s="45">
        <f>20*2*1.1</f>
        <v>44</v>
      </c>
      <c r="S31" s="45">
        <f>F31*2*1.1</f>
        <v>96.240483680000011</v>
      </c>
      <c r="T31" s="46">
        <f>8*4*2*1.1</f>
        <v>70.400000000000006</v>
      </c>
      <c r="U31" s="59">
        <f>F31*2*2</f>
        <v>174.98269759999999</v>
      </c>
      <c r="V31" s="46">
        <f>15*2</f>
        <v>30</v>
      </c>
      <c r="W31" s="47">
        <v>4</v>
      </c>
      <c r="X31" s="47">
        <f>F31*1.1</f>
        <v>48.120241840000006</v>
      </c>
      <c r="Y31" s="47">
        <f>F31*2*1.1</f>
        <v>96.240483680000011</v>
      </c>
      <c r="Z31" s="47">
        <v>20</v>
      </c>
      <c r="AA31" s="47">
        <v>30</v>
      </c>
      <c r="AB31" s="47">
        <v>20</v>
      </c>
      <c r="AC31" s="47">
        <f>+D31*1.1</f>
        <v>36090.181380000002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8.75" customHeight="1" x14ac:dyDescent="0.25">
      <c r="A32" s="113" t="s">
        <v>67</v>
      </c>
      <c r="B32" s="114"/>
      <c r="C32" s="85">
        <v>3</v>
      </c>
      <c r="D32" s="61">
        <f>SUM(D29:D31)</f>
        <v>72248.463300000003</v>
      </c>
      <c r="E32" s="62">
        <f t="shared" ref="E32:AC32" si="17">SUM(E29:E31)</f>
        <v>60</v>
      </c>
      <c r="F32" s="63">
        <f t="shared" si="17"/>
        <v>96.331284400000001</v>
      </c>
      <c r="G32" s="63">
        <f t="shared" si="17"/>
        <v>28.89938532</v>
      </c>
      <c r="H32" s="63">
        <f t="shared" si="17"/>
        <v>12</v>
      </c>
      <c r="I32" s="63">
        <f t="shared" si="17"/>
        <v>12</v>
      </c>
      <c r="J32" s="63">
        <f t="shared" si="17"/>
        <v>12</v>
      </c>
      <c r="K32" s="63">
        <f t="shared" si="17"/>
        <v>0</v>
      </c>
      <c r="L32" s="64">
        <f t="shared" si="17"/>
        <v>0</v>
      </c>
      <c r="M32" s="62">
        <f t="shared" si="17"/>
        <v>2477.894808</v>
      </c>
      <c r="N32" s="63">
        <f t="shared" si="17"/>
        <v>23.400000000000002</v>
      </c>
      <c r="O32" s="63">
        <f t="shared" si="17"/>
        <v>841.75199713614711</v>
      </c>
      <c r="P32" s="63">
        <f t="shared" si="17"/>
        <v>1486.7368848000001</v>
      </c>
      <c r="Q32" s="63">
        <f t="shared" si="17"/>
        <v>90</v>
      </c>
      <c r="R32" s="63">
        <f t="shared" si="17"/>
        <v>110</v>
      </c>
      <c r="S32" s="63">
        <f t="shared" si="17"/>
        <v>181.71228592000003</v>
      </c>
      <c r="T32" s="65">
        <f t="shared" si="17"/>
        <v>176</v>
      </c>
      <c r="U32" s="66">
        <f t="shared" si="17"/>
        <v>302.91639279999998</v>
      </c>
      <c r="V32" s="65">
        <f t="shared" si="17"/>
        <v>75</v>
      </c>
      <c r="W32" s="68">
        <f t="shared" si="17"/>
        <v>12</v>
      </c>
      <c r="X32" s="68">
        <f t="shared" si="17"/>
        <v>105.96441284000001</v>
      </c>
      <c r="Y32" s="68">
        <f t="shared" si="17"/>
        <v>181.71228592000003</v>
      </c>
      <c r="Z32" s="68">
        <f t="shared" si="17"/>
        <v>50</v>
      </c>
      <c r="AA32" s="68">
        <f t="shared" si="17"/>
        <v>75</v>
      </c>
      <c r="AB32" s="68">
        <f t="shared" si="17"/>
        <v>50</v>
      </c>
      <c r="AC32" s="68">
        <f t="shared" si="17"/>
        <v>79473.309630000003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5">
      <c r="A33" s="41" t="s">
        <v>62</v>
      </c>
      <c r="B33" s="86" t="s">
        <v>68</v>
      </c>
      <c r="C33" s="57" t="s">
        <v>69</v>
      </c>
      <c r="D33" s="42">
        <f>30232.4673+(30232*3)/100</f>
        <v>31139.427299999999</v>
      </c>
      <c r="E33" s="21">
        <v>20</v>
      </c>
      <c r="F33" s="44">
        <f t="shared" si="0"/>
        <v>41.519236399999997</v>
      </c>
      <c r="G33" s="44">
        <f>(D33/(150*5))/10+(D33/(150*5))/5</f>
        <v>12.455770919999999</v>
      </c>
      <c r="H33" s="45">
        <v>4</v>
      </c>
      <c r="I33" s="23">
        <v>4</v>
      </c>
      <c r="J33" s="23">
        <v>4</v>
      </c>
      <c r="K33" s="23"/>
      <c r="L33" s="58"/>
      <c r="M33" s="43">
        <f>F33*3*5*2</f>
        <v>1245.577092</v>
      </c>
      <c r="N33" s="45">
        <f>3*2*1.3</f>
        <v>7.8000000000000007</v>
      </c>
      <c r="O33" s="23">
        <f>(F33*2*G33+30+8+1+25)/5*2*1.1</f>
        <v>483.25560568711836</v>
      </c>
      <c r="P33" s="45">
        <f>G33*5*6*2</f>
        <v>747.34625519999997</v>
      </c>
      <c r="Q33" s="23">
        <f t="shared" si="1"/>
        <v>30</v>
      </c>
      <c r="R33" s="45">
        <f>20*2*1.1</f>
        <v>44</v>
      </c>
      <c r="S33" s="45">
        <f>F33*2*1.1</f>
        <v>91.342320080000007</v>
      </c>
      <c r="T33" s="46">
        <f>8*4*2*1.1</f>
        <v>70.400000000000006</v>
      </c>
      <c r="U33" s="59">
        <f>F33*2*2</f>
        <v>166.07694559999999</v>
      </c>
      <c r="V33" s="46">
        <f>15*2</f>
        <v>30</v>
      </c>
      <c r="W33" s="47">
        <v>4</v>
      </c>
      <c r="X33" s="47">
        <f>F33*1.1</f>
        <v>45.671160040000004</v>
      </c>
      <c r="Y33" s="47">
        <f>F33*2*1.1</f>
        <v>91.342320080000007</v>
      </c>
      <c r="Z33" s="47">
        <v>20</v>
      </c>
      <c r="AA33" s="47">
        <v>30</v>
      </c>
      <c r="AB33" s="47">
        <v>20</v>
      </c>
      <c r="AC33" s="47">
        <f>+D33*1.1</f>
        <v>34253.370030000005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5">
      <c r="A34" s="41" t="s">
        <v>62</v>
      </c>
      <c r="B34" s="86" t="s">
        <v>68</v>
      </c>
      <c r="C34" s="57" t="s">
        <v>70</v>
      </c>
      <c r="D34" s="42">
        <f>41784.1851+(41784*3)/100</f>
        <v>43037.705099999999</v>
      </c>
      <c r="E34" s="21">
        <v>20</v>
      </c>
      <c r="F34" s="44">
        <f t="shared" si="0"/>
        <v>57.383606799999995</v>
      </c>
      <c r="G34" s="44">
        <f>(D34/(150*5))/10+(D34/(150*5))/5</f>
        <v>17.215082039999999</v>
      </c>
      <c r="H34" s="45">
        <v>4</v>
      </c>
      <c r="I34" s="23">
        <v>4</v>
      </c>
      <c r="J34" s="23">
        <v>4</v>
      </c>
      <c r="K34" s="23"/>
      <c r="L34" s="58"/>
      <c r="M34" s="43">
        <f>F34*3*5*2</f>
        <v>1721.5082039999998</v>
      </c>
      <c r="N34" s="45">
        <f>3*2*1.3</f>
        <v>7.8000000000000007</v>
      </c>
      <c r="O34" s="23">
        <f>(F34*2*G34+30+8+1+25)/5*2*1.1</f>
        <v>897.47987895552967</v>
      </c>
      <c r="P34" s="45">
        <f>G34*5*6*2</f>
        <v>1032.9049224</v>
      </c>
      <c r="Q34" s="23">
        <f t="shared" si="1"/>
        <v>30</v>
      </c>
      <c r="R34" s="45">
        <f>20*2*1.1</f>
        <v>44</v>
      </c>
      <c r="S34" s="45">
        <f>F34*2*1.1</f>
        <v>126.24393496</v>
      </c>
      <c r="T34" s="46">
        <f>8*4*2*1.1</f>
        <v>70.400000000000006</v>
      </c>
      <c r="U34" s="59">
        <f>F34*2*2</f>
        <v>229.53442719999998</v>
      </c>
      <c r="V34" s="46">
        <f>15*2</f>
        <v>30</v>
      </c>
      <c r="W34" s="47">
        <v>4</v>
      </c>
      <c r="X34" s="47">
        <f>F34*1.1</f>
        <v>63.121967480000002</v>
      </c>
      <c r="Y34" s="47">
        <f>F34*2*1.1</f>
        <v>126.24393496</v>
      </c>
      <c r="Z34" s="47">
        <v>20</v>
      </c>
      <c r="AA34" s="47">
        <v>30</v>
      </c>
      <c r="AB34" s="47">
        <v>20</v>
      </c>
      <c r="AC34" s="47">
        <f>+D34*1.1</f>
        <v>47341.475610000001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9.5" customHeight="1" x14ac:dyDescent="0.25">
      <c r="A35" s="75" t="s">
        <v>71</v>
      </c>
      <c r="B35" s="87"/>
      <c r="C35" s="88">
        <v>2</v>
      </c>
      <c r="D35" s="61">
        <f>SUM(D33:D34)</f>
        <v>74177.132400000002</v>
      </c>
      <c r="E35" s="62">
        <f t="shared" ref="E35:AC35" si="18">SUM(E33:E34)</f>
        <v>40</v>
      </c>
      <c r="F35" s="63">
        <f t="shared" si="18"/>
        <v>98.902843199999992</v>
      </c>
      <c r="G35" s="63">
        <f t="shared" si="18"/>
        <v>29.670852959999998</v>
      </c>
      <c r="H35" s="63">
        <f t="shared" si="18"/>
        <v>8</v>
      </c>
      <c r="I35" s="63">
        <f t="shared" si="18"/>
        <v>8</v>
      </c>
      <c r="J35" s="63">
        <f t="shared" si="18"/>
        <v>8</v>
      </c>
      <c r="K35" s="63">
        <f t="shared" si="18"/>
        <v>0</v>
      </c>
      <c r="L35" s="64">
        <f t="shared" si="18"/>
        <v>0</v>
      </c>
      <c r="M35" s="62">
        <f t="shared" si="18"/>
        <v>2967.0852959999997</v>
      </c>
      <c r="N35" s="63">
        <f t="shared" si="18"/>
        <v>15.600000000000001</v>
      </c>
      <c r="O35" s="63">
        <f t="shared" si="18"/>
        <v>1380.7354846426481</v>
      </c>
      <c r="P35" s="63">
        <f t="shared" si="18"/>
        <v>1780.2511776000001</v>
      </c>
      <c r="Q35" s="63">
        <f t="shared" si="18"/>
        <v>60</v>
      </c>
      <c r="R35" s="63">
        <f t="shared" si="18"/>
        <v>88</v>
      </c>
      <c r="S35" s="63">
        <f t="shared" si="18"/>
        <v>217.58625504000003</v>
      </c>
      <c r="T35" s="65">
        <f t="shared" si="18"/>
        <v>140.80000000000001</v>
      </c>
      <c r="U35" s="66">
        <f t="shared" si="18"/>
        <v>395.61137279999997</v>
      </c>
      <c r="V35" s="65">
        <f t="shared" si="18"/>
        <v>60</v>
      </c>
      <c r="W35" s="68">
        <f t="shared" si="18"/>
        <v>8</v>
      </c>
      <c r="X35" s="68">
        <f t="shared" si="18"/>
        <v>108.79312752000001</v>
      </c>
      <c r="Y35" s="68">
        <f t="shared" si="18"/>
        <v>217.58625504000003</v>
      </c>
      <c r="Z35" s="68">
        <f t="shared" si="18"/>
        <v>40</v>
      </c>
      <c r="AA35" s="68">
        <f t="shared" si="18"/>
        <v>60</v>
      </c>
      <c r="AB35" s="68">
        <f t="shared" si="18"/>
        <v>40</v>
      </c>
      <c r="AC35" s="68">
        <f t="shared" si="18"/>
        <v>81594.845640000014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5">
      <c r="A36" s="41" t="s">
        <v>62</v>
      </c>
      <c r="B36" s="86" t="s">
        <v>72</v>
      </c>
      <c r="C36" s="89" t="s">
        <v>73</v>
      </c>
      <c r="D36" s="42">
        <f>29297.1861+(29297*3)/100</f>
        <v>30176.096099999999</v>
      </c>
      <c r="E36" s="21">
        <v>20</v>
      </c>
      <c r="F36" s="44">
        <f t="shared" si="0"/>
        <v>40.234794799999996</v>
      </c>
      <c r="G36" s="44">
        <f>(D36/(150*5))/10+(D36/(150*5))/5</f>
        <v>12.07043844</v>
      </c>
      <c r="H36" s="45">
        <v>4</v>
      </c>
      <c r="I36" s="23">
        <v>4</v>
      </c>
      <c r="J36" s="23">
        <v>4</v>
      </c>
      <c r="K36" s="23"/>
      <c r="L36" s="58"/>
      <c r="M36" s="43">
        <f>F36*3*5*2</f>
        <v>1207.0438439999998</v>
      </c>
      <c r="N36" s="45">
        <f>3*2*1.3</f>
        <v>7.8000000000000007</v>
      </c>
      <c r="O36" s="23">
        <f>(F36*2*G36+30+8+1+25)/5*2*1.1</f>
        <v>455.53342012590025</v>
      </c>
      <c r="P36" s="45">
        <f>G36*5*6*2</f>
        <v>724.22630640000011</v>
      </c>
      <c r="Q36" s="23">
        <f t="shared" si="1"/>
        <v>30</v>
      </c>
      <c r="R36" s="45">
        <f>20*2*1.1</f>
        <v>44</v>
      </c>
      <c r="S36" s="45">
        <f>F36*2*1.1</f>
        <v>88.516548560000004</v>
      </c>
      <c r="T36" s="46">
        <f>8*4*2*1.1</f>
        <v>70.400000000000006</v>
      </c>
      <c r="U36" s="59">
        <f>F36*2*2</f>
        <v>160.93917919999998</v>
      </c>
      <c r="V36" s="46">
        <f>15*2</f>
        <v>30</v>
      </c>
      <c r="W36" s="47">
        <v>4</v>
      </c>
      <c r="X36" s="47">
        <f>F36*1.1</f>
        <v>44.258274280000002</v>
      </c>
      <c r="Y36" s="47">
        <f>F36*2*1.1</f>
        <v>88.516548560000004</v>
      </c>
      <c r="Z36" s="47">
        <v>20</v>
      </c>
      <c r="AA36" s="47">
        <v>30</v>
      </c>
      <c r="AB36" s="47">
        <v>20</v>
      </c>
      <c r="AC36" s="47">
        <f>+D36*1.1</f>
        <v>33193.705710000002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5">
      <c r="A37" s="41" t="s">
        <v>62</v>
      </c>
      <c r="B37" s="86" t="s">
        <v>72</v>
      </c>
      <c r="C37" s="74" t="s">
        <v>74</v>
      </c>
      <c r="D37" s="42">
        <f>30387.7707+(30388*3)/100</f>
        <v>31299.4107</v>
      </c>
      <c r="E37" s="21">
        <v>20</v>
      </c>
      <c r="F37" s="44">
        <f t="shared" si="0"/>
        <v>41.732547600000004</v>
      </c>
      <c r="G37" s="44">
        <f>(D37/(150*5))/10+(D37/(150*5))/5</f>
        <v>12.519764280000002</v>
      </c>
      <c r="H37" s="45">
        <v>4</v>
      </c>
      <c r="I37" s="23">
        <v>4</v>
      </c>
      <c r="J37" s="23">
        <v>4</v>
      </c>
      <c r="K37" s="23"/>
      <c r="L37" s="58"/>
      <c r="M37" s="43">
        <f>F37*3*5*2</f>
        <v>1251.9764280000002</v>
      </c>
      <c r="N37" s="45">
        <f>3*2*1.3</f>
        <v>7.8000000000000007</v>
      </c>
      <c r="O37" s="23">
        <f>(F37*2*G37+30+8+1+25)/5*2*1.1</f>
        <v>487.9438597051743</v>
      </c>
      <c r="P37" s="45">
        <f>G37*5*6*2</f>
        <v>751.18585680000012</v>
      </c>
      <c r="Q37" s="23">
        <f t="shared" si="1"/>
        <v>30</v>
      </c>
      <c r="R37" s="45">
        <f>20*2*1.1</f>
        <v>44</v>
      </c>
      <c r="S37" s="45">
        <f>F37*2*1.1</f>
        <v>91.81160472000002</v>
      </c>
      <c r="T37" s="46">
        <f>8*4*2*1.1</f>
        <v>70.400000000000006</v>
      </c>
      <c r="U37" s="59">
        <f>F37*2*2</f>
        <v>166.93019040000001</v>
      </c>
      <c r="V37" s="46">
        <f>15*2</f>
        <v>30</v>
      </c>
      <c r="W37" s="47">
        <v>4</v>
      </c>
      <c r="X37" s="47">
        <f>F37*1.1</f>
        <v>45.90580236000001</v>
      </c>
      <c r="Y37" s="47">
        <f>F37*2*1.1</f>
        <v>91.81160472000002</v>
      </c>
      <c r="Z37" s="47">
        <v>20</v>
      </c>
      <c r="AA37" s="47">
        <v>30</v>
      </c>
      <c r="AB37" s="47">
        <v>20</v>
      </c>
      <c r="AC37" s="47">
        <f>+D37*1.1</f>
        <v>34429.351770000001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8" customHeight="1" x14ac:dyDescent="0.25">
      <c r="A38" s="75" t="s">
        <v>75</v>
      </c>
      <c r="B38" s="87"/>
      <c r="C38" s="60">
        <v>2</v>
      </c>
      <c r="D38" s="61">
        <f t="shared" ref="D38:AC38" si="19">SUM(D36:D37)</f>
        <v>61475.506800000003</v>
      </c>
      <c r="E38" s="62">
        <f t="shared" si="19"/>
        <v>40</v>
      </c>
      <c r="F38" s="63">
        <f t="shared" si="19"/>
        <v>81.967342400000007</v>
      </c>
      <c r="G38" s="63">
        <f t="shared" si="19"/>
        <v>24.590202720000001</v>
      </c>
      <c r="H38" s="63">
        <f t="shared" si="19"/>
        <v>8</v>
      </c>
      <c r="I38" s="63">
        <f t="shared" si="19"/>
        <v>8</v>
      </c>
      <c r="J38" s="63">
        <f t="shared" si="19"/>
        <v>8</v>
      </c>
      <c r="K38" s="63">
        <f t="shared" si="19"/>
        <v>0</v>
      </c>
      <c r="L38" s="64">
        <f t="shared" si="19"/>
        <v>0</v>
      </c>
      <c r="M38" s="62">
        <f t="shared" si="19"/>
        <v>2459.0202719999997</v>
      </c>
      <c r="N38" s="63">
        <f t="shared" si="19"/>
        <v>15.600000000000001</v>
      </c>
      <c r="O38" s="63">
        <f t="shared" si="19"/>
        <v>943.47727983107461</v>
      </c>
      <c r="P38" s="63">
        <f t="shared" si="19"/>
        <v>1475.4121632000001</v>
      </c>
      <c r="Q38" s="63">
        <f t="shared" si="19"/>
        <v>60</v>
      </c>
      <c r="R38" s="63">
        <f t="shared" si="19"/>
        <v>88</v>
      </c>
      <c r="S38" s="63">
        <f t="shared" si="19"/>
        <v>180.32815328000004</v>
      </c>
      <c r="T38" s="65">
        <f t="shared" si="19"/>
        <v>140.80000000000001</v>
      </c>
      <c r="U38" s="66">
        <f t="shared" si="19"/>
        <v>327.86936960000003</v>
      </c>
      <c r="V38" s="65">
        <f t="shared" si="19"/>
        <v>60</v>
      </c>
      <c r="W38" s="68">
        <f t="shared" si="19"/>
        <v>8</v>
      </c>
      <c r="X38" s="68">
        <f t="shared" si="19"/>
        <v>90.164076640000019</v>
      </c>
      <c r="Y38" s="68">
        <f t="shared" si="19"/>
        <v>180.32815328000004</v>
      </c>
      <c r="Z38" s="68">
        <f t="shared" si="19"/>
        <v>40</v>
      </c>
      <c r="AA38" s="68">
        <f t="shared" si="19"/>
        <v>60</v>
      </c>
      <c r="AB38" s="68">
        <f t="shared" si="19"/>
        <v>40</v>
      </c>
      <c r="AC38" s="68">
        <f t="shared" si="19"/>
        <v>67623.057480000003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5">
      <c r="A39" s="41" t="s">
        <v>62</v>
      </c>
      <c r="B39" s="86" t="s">
        <v>76</v>
      </c>
      <c r="C39" s="57" t="s">
        <v>77</v>
      </c>
      <c r="D39" s="42">
        <f>31310.7228+(31311*3)/100</f>
        <v>32250.052800000001</v>
      </c>
      <c r="E39" s="21">
        <v>20</v>
      </c>
      <c r="F39" s="44">
        <f t="shared" si="0"/>
        <v>43.000070399999998</v>
      </c>
      <c r="G39" s="44">
        <f>(D39/(150*5))/10+(D39/(150*5))/5</f>
        <v>12.900021119999998</v>
      </c>
      <c r="H39" s="45">
        <v>4</v>
      </c>
      <c r="I39" s="23">
        <v>4</v>
      </c>
      <c r="J39" s="23">
        <v>4</v>
      </c>
      <c r="K39" s="23"/>
      <c r="L39" s="58"/>
      <c r="M39" s="43">
        <f>F39*3*5*2</f>
        <v>1290.0021119999999</v>
      </c>
      <c r="N39" s="45">
        <f>3*2*1.3</f>
        <v>7.8000000000000007</v>
      </c>
      <c r="O39" s="23">
        <f>(F39*2*G39+30+8+1+25)/5*2*1.1</f>
        <v>516.29759836290827</v>
      </c>
      <c r="P39" s="45">
        <f>G39*5*6*2</f>
        <v>774.0012671999998</v>
      </c>
      <c r="Q39" s="23">
        <f>10*3</f>
        <v>30</v>
      </c>
      <c r="R39" s="45">
        <f>20*2*1.1</f>
        <v>44</v>
      </c>
      <c r="S39" s="45">
        <f>F39*2*1.1</f>
        <v>94.600154880000005</v>
      </c>
      <c r="T39" s="46">
        <f>8*4*2*1.1</f>
        <v>70.400000000000006</v>
      </c>
      <c r="U39" s="59">
        <f>F39*2*2</f>
        <v>172.00028159999999</v>
      </c>
      <c r="V39" s="46">
        <f>15*2</f>
        <v>30</v>
      </c>
      <c r="W39" s="47">
        <v>4</v>
      </c>
      <c r="X39" s="47">
        <f>F39*1.1</f>
        <v>47.300077440000003</v>
      </c>
      <c r="Y39" s="47">
        <f>F39*2*1.1</f>
        <v>94.600154880000005</v>
      </c>
      <c r="Z39" s="47">
        <v>20</v>
      </c>
      <c r="AA39" s="47">
        <v>30</v>
      </c>
      <c r="AB39" s="47">
        <v>20</v>
      </c>
      <c r="AC39" s="47">
        <f>+D39*1.1</f>
        <v>35475.058080000003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5">
      <c r="A40" s="41" t="s">
        <v>62</v>
      </c>
      <c r="B40" s="86" t="s">
        <v>76</v>
      </c>
      <c r="C40" s="57" t="s">
        <v>78</v>
      </c>
      <c r="D40" s="42">
        <f>87272.724+(87273*3)/100</f>
        <v>89890.914000000004</v>
      </c>
      <c r="E40" s="21">
        <v>20</v>
      </c>
      <c r="F40" s="44">
        <f t="shared" si="0"/>
        <v>119.85455200000001</v>
      </c>
      <c r="G40" s="44">
        <f>(D40/(150*5))/10+(D40/(150*5))/5</f>
        <v>35.956365599999998</v>
      </c>
      <c r="H40" s="45">
        <v>4</v>
      </c>
      <c r="I40" s="23">
        <v>4</v>
      </c>
      <c r="J40" s="23">
        <v>4</v>
      </c>
      <c r="K40" s="23"/>
      <c r="L40" s="58"/>
      <c r="M40" s="43">
        <f>F40*3*5*2</f>
        <v>3595.6365600000004</v>
      </c>
      <c r="N40" s="45">
        <f>3*2*1.3</f>
        <v>7.8000000000000007</v>
      </c>
      <c r="O40" s="23">
        <f>(F40*2*G40+30+8+1+25)/5*2*1.1</f>
        <v>3820.5499996718668</v>
      </c>
      <c r="P40" s="45">
        <f>G40*5*6*2</f>
        <v>2157.3819359999998</v>
      </c>
      <c r="Q40" s="23">
        <f>10*3</f>
        <v>30</v>
      </c>
      <c r="R40" s="45">
        <f>20*2*1.1</f>
        <v>44</v>
      </c>
      <c r="S40" s="45">
        <f>F40*2*1.1</f>
        <v>263.68001440000006</v>
      </c>
      <c r="T40" s="46">
        <f>8*4*2*1.1</f>
        <v>70.400000000000006</v>
      </c>
      <c r="U40" s="59">
        <f>F40*2*2</f>
        <v>479.41820800000005</v>
      </c>
      <c r="V40" s="46">
        <f>15*2</f>
        <v>30</v>
      </c>
      <c r="W40" s="47">
        <v>4</v>
      </c>
      <c r="X40" s="47">
        <f>F40*1.1</f>
        <v>131.84000720000003</v>
      </c>
      <c r="Y40" s="47">
        <f>F40*2*1.1</f>
        <v>263.68001440000006</v>
      </c>
      <c r="Z40" s="47">
        <v>20</v>
      </c>
      <c r="AA40" s="47">
        <v>30</v>
      </c>
      <c r="AB40" s="47">
        <v>20</v>
      </c>
      <c r="AC40" s="47">
        <f>+D40*1.1</f>
        <v>98880.005400000009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5">
      <c r="A41" s="41" t="s">
        <v>62</v>
      </c>
      <c r="B41" s="86" t="s">
        <v>76</v>
      </c>
      <c r="C41" s="57" t="s">
        <v>79</v>
      </c>
      <c r="D41" s="42">
        <f>48793.3866+(48793*3)/100</f>
        <v>50257.176599999999</v>
      </c>
      <c r="E41" s="21">
        <v>20</v>
      </c>
      <c r="F41" s="44">
        <f t="shared" si="0"/>
        <v>67.009568799999997</v>
      </c>
      <c r="G41" s="44">
        <f>(D41/(150*5))/10+(D41/(150*5))/5</f>
        <v>20.102870639999999</v>
      </c>
      <c r="H41" s="45">
        <v>4</v>
      </c>
      <c r="I41" s="23">
        <v>4</v>
      </c>
      <c r="J41" s="23">
        <v>4</v>
      </c>
      <c r="K41" s="23"/>
      <c r="L41" s="58"/>
      <c r="M41" s="43">
        <f>F41*3*5*2</f>
        <v>2010.2870639999996</v>
      </c>
      <c r="N41" s="45">
        <f>3*2*1.3</f>
        <v>7.8000000000000007</v>
      </c>
      <c r="O41" s="23">
        <f>(F41*2*G41+30+8+1+25)/5*2*1.1</f>
        <v>1213.5945300411504</v>
      </c>
      <c r="P41" s="45">
        <f>G41*5*6*2</f>
        <v>1206.1722384</v>
      </c>
      <c r="Q41" s="23">
        <f>10*3</f>
        <v>30</v>
      </c>
      <c r="R41" s="45">
        <f>20*2*1.1</f>
        <v>44</v>
      </c>
      <c r="S41" s="45">
        <f>F41*2*1.1</f>
        <v>147.42105136000001</v>
      </c>
      <c r="T41" s="46">
        <f>8*4*2*1.1</f>
        <v>70.400000000000006</v>
      </c>
      <c r="U41" s="59">
        <f>F41*2*2</f>
        <v>268.03827519999999</v>
      </c>
      <c r="V41" s="46">
        <f>15*2</f>
        <v>30</v>
      </c>
      <c r="W41" s="47">
        <v>4</v>
      </c>
      <c r="X41" s="47">
        <f>F41*1.1</f>
        <v>73.710525680000003</v>
      </c>
      <c r="Y41" s="47">
        <f>F41*2*1.1</f>
        <v>147.42105136000001</v>
      </c>
      <c r="Z41" s="47">
        <v>20</v>
      </c>
      <c r="AA41" s="47">
        <v>30</v>
      </c>
      <c r="AB41" s="47">
        <v>20</v>
      </c>
      <c r="AC41" s="47">
        <f>+D41*1.1</f>
        <v>55282.894260000001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5">
      <c r="A42" s="41" t="s">
        <v>62</v>
      </c>
      <c r="B42" s="86" t="s">
        <v>76</v>
      </c>
      <c r="C42" s="57" t="s">
        <v>80</v>
      </c>
      <c r="D42" s="42">
        <f>24863.4687+(24863*3)/100</f>
        <v>25609.358700000001</v>
      </c>
      <c r="E42" s="21">
        <v>20</v>
      </c>
      <c r="F42" s="44">
        <f t="shared" si="0"/>
        <v>34.145811600000002</v>
      </c>
      <c r="G42" s="44">
        <f>(D42/(150*5))/10+(D42/(150*5))/5</f>
        <v>10.243743479999999</v>
      </c>
      <c r="H42" s="45">
        <v>4</v>
      </c>
      <c r="I42" s="23">
        <v>4</v>
      </c>
      <c r="J42" s="23">
        <v>4</v>
      </c>
      <c r="K42" s="23"/>
      <c r="L42" s="58"/>
      <c r="M42" s="43">
        <f>F42*3*5*2</f>
        <v>1024.3743480000001</v>
      </c>
      <c r="N42" s="45">
        <f>3*2*1.3</f>
        <v>7.8000000000000007</v>
      </c>
      <c r="O42" s="23">
        <f>(F42*2*G42+30+8+1+25)/5*2*1.1</f>
        <v>335.96722275319138</v>
      </c>
      <c r="P42" s="45">
        <f>G42*5*6*2</f>
        <v>614.62460879999992</v>
      </c>
      <c r="Q42" s="23">
        <f>10*3</f>
        <v>30</v>
      </c>
      <c r="R42" s="45">
        <f>20*2*1.1</f>
        <v>44</v>
      </c>
      <c r="S42" s="45">
        <f>F42*2*1.1</f>
        <v>75.120785520000013</v>
      </c>
      <c r="T42" s="46">
        <f>8*4*2*1.1</f>
        <v>70.400000000000006</v>
      </c>
      <c r="U42" s="59">
        <f>F42*2*2</f>
        <v>136.58324640000001</v>
      </c>
      <c r="V42" s="46">
        <f>15*2</f>
        <v>30</v>
      </c>
      <c r="W42" s="47">
        <v>4</v>
      </c>
      <c r="X42" s="47">
        <f>F42*1.1</f>
        <v>37.560392760000006</v>
      </c>
      <c r="Y42" s="47">
        <f>F42*2*1.1</f>
        <v>75.120785520000013</v>
      </c>
      <c r="Z42" s="47">
        <v>20</v>
      </c>
      <c r="AA42" s="47">
        <v>30</v>
      </c>
      <c r="AB42" s="47">
        <v>20</v>
      </c>
      <c r="AC42" s="47">
        <f>+D42*1.1</f>
        <v>28170.294570000002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8.75" customHeight="1" x14ac:dyDescent="0.25">
      <c r="A43" s="75" t="s">
        <v>81</v>
      </c>
      <c r="B43" s="87"/>
      <c r="C43" s="60">
        <v>4</v>
      </c>
      <c r="D43" s="61">
        <f t="shared" ref="D43:AC43" si="20">SUM(D39:D42)</f>
        <v>198007.50210000001</v>
      </c>
      <c r="E43" s="62">
        <f t="shared" si="20"/>
        <v>80</v>
      </c>
      <c r="F43" s="63">
        <f t="shared" si="20"/>
        <v>264.0100028</v>
      </c>
      <c r="G43" s="63">
        <f t="shared" si="20"/>
        <v>79.203000839999987</v>
      </c>
      <c r="H43" s="63">
        <f t="shared" si="20"/>
        <v>16</v>
      </c>
      <c r="I43" s="63">
        <f t="shared" si="20"/>
        <v>16</v>
      </c>
      <c r="J43" s="63">
        <f t="shared" si="20"/>
        <v>16</v>
      </c>
      <c r="K43" s="63">
        <f t="shared" si="20"/>
        <v>0</v>
      </c>
      <c r="L43" s="64">
        <f t="shared" si="20"/>
        <v>0</v>
      </c>
      <c r="M43" s="90">
        <f t="shared" si="20"/>
        <v>7920.3000839999995</v>
      </c>
      <c r="N43" s="82">
        <f t="shared" si="20"/>
        <v>31.200000000000003</v>
      </c>
      <c r="O43" s="82">
        <f t="shared" si="20"/>
        <v>5886.4093508291162</v>
      </c>
      <c r="P43" s="82">
        <f t="shared" si="20"/>
        <v>4752.1800503999993</v>
      </c>
      <c r="Q43" s="82">
        <f t="shared" si="20"/>
        <v>120</v>
      </c>
      <c r="R43" s="82">
        <f t="shared" si="20"/>
        <v>176</v>
      </c>
      <c r="S43" s="82">
        <f t="shared" si="20"/>
        <v>580.82200616000011</v>
      </c>
      <c r="T43" s="67">
        <f t="shared" si="20"/>
        <v>281.60000000000002</v>
      </c>
      <c r="U43" s="91">
        <f t="shared" si="20"/>
        <v>1056.0400112</v>
      </c>
      <c r="V43" s="67">
        <f t="shared" si="20"/>
        <v>120</v>
      </c>
      <c r="W43" s="68">
        <f t="shared" si="20"/>
        <v>16</v>
      </c>
      <c r="X43" s="68">
        <f t="shared" si="20"/>
        <v>290.41100308000006</v>
      </c>
      <c r="Y43" s="68">
        <f t="shared" si="20"/>
        <v>580.82200616000011</v>
      </c>
      <c r="Z43" s="68">
        <f t="shared" si="20"/>
        <v>80</v>
      </c>
      <c r="AA43" s="68">
        <f t="shared" si="20"/>
        <v>120</v>
      </c>
      <c r="AB43" s="68">
        <f t="shared" si="20"/>
        <v>80</v>
      </c>
      <c r="AC43" s="68">
        <f t="shared" si="20"/>
        <v>217808.25231000001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5">
      <c r="A44" s="109" t="s">
        <v>82</v>
      </c>
      <c r="B44" s="110"/>
      <c r="C44" s="69">
        <f t="shared" ref="C44:AC44" si="21">C43+C38+C35+C32</f>
        <v>11</v>
      </c>
      <c r="D44" s="70">
        <f t="shared" si="21"/>
        <v>405908.60460000002</v>
      </c>
      <c r="E44" s="71">
        <f t="shared" si="21"/>
        <v>220</v>
      </c>
      <c r="F44" s="70">
        <f t="shared" si="21"/>
        <v>541.21147280000002</v>
      </c>
      <c r="G44" s="70">
        <f t="shared" si="21"/>
        <v>162.36344183999998</v>
      </c>
      <c r="H44" s="70">
        <f t="shared" si="21"/>
        <v>44</v>
      </c>
      <c r="I44" s="70">
        <f t="shared" si="21"/>
        <v>44</v>
      </c>
      <c r="J44" s="70">
        <f t="shared" si="21"/>
        <v>44</v>
      </c>
      <c r="K44" s="70">
        <f t="shared" si="21"/>
        <v>0</v>
      </c>
      <c r="L44" s="70">
        <f t="shared" si="21"/>
        <v>0</v>
      </c>
      <c r="M44" s="71">
        <f t="shared" si="21"/>
        <v>15824.300459999999</v>
      </c>
      <c r="N44" s="70">
        <f t="shared" si="21"/>
        <v>85.800000000000011</v>
      </c>
      <c r="O44" s="70">
        <f t="shared" si="21"/>
        <v>9052.3741124389853</v>
      </c>
      <c r="P44" s="70">
        <f t="shared" si="21"/>
        <v>9494.5802759999988</v>
      </c>
      <c r="Q44" s="70">
        <f t="shared" si="21"/>
        <v>330</v>
      </c>
      <c r="R44" s="70">
        <f t="shared" si="21"/>
        <v>462</v>
      </c>
      <c r="S44" s="70">
        <f t="shared" si="21"/>
        <v>1160.4487004000002</v>
      </c>
      <c r="T44" s="72">
        <f t="shared" si="21"/>
        <v>739.2</v>
      </c>
      <c r="U44" s="70">
        <f t="shared" si="21"/>
        <v>2082.4371464000001</v>
      </c>
      <c r="V44" s="72">
        <f t="shared" si="21"/>
        <v>315</v>
      </c>
      <c r="W44" s="72">
        <f t="shared" si="21"/>
        <v>44</v>
      </c>
      <c r="X44" s="72">
        <f t="shared" si="21"/>
        <v>595.33262008000008</v>
      </c>
      <c r="Y44" s="72">
        <f t="shared" si="21"/>
        <v>1160.4487004000002</v>
      </c>
      <c r="Z44" s="72">
        <f t="shared" si="21"/>
        <v>210</v>
      </c>
      <c r="AA44" s="72">
        <f t="shared" si="21"/>
        <v>315</v>
      </c>
      <c r="AB44" s="72">
        <f t="shared" si="21"/>
        <v>210</v>
      </c>
      <c r="AC44" s="72">
        <f t="shared" si="21"/>
        <v>446499.46506000008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5">
      <c r="A45" s="41" t="s">
        <v>83</v>
      </c>
      <c r="B45" s="92" t="s">
        <v>84</v>
      </c>
      <c r="C45" s="57" t="s">
        <v>85</v>
      </c>
      <c r="D45" s="42">
        <f>32286.66+(32287*3)/100</f>
        <v>33255.269999999997</v>
      </c>
      <c r="E45" s="43">
        <v>20</v>
      </c>
      <c r="F45" s="44">
        <f t="shared" si="0"/>
        <v>44.340359999999997</v>
      </c>
      <c r="G45" s="44">
        <f>(D45/(150*5))/10+(D45/(150*5))/5</f>
        <v>13.302108</v>
      </c>
      <c r="H45" s="45">
        <v>4</v>
      </c>
      <c r="I45" s="23">
        <v>4</v>
      </c>
      <c r="J45" s="23">
        <v>4</v>
      </c>
      <c r="K45" s="23"/>
      <c r="L45" s="58"/>
      <c r="M45" s="43">
        <f t="shared" ref="M45:M66" si="22">F45*3*5*2</f>
        <v>1330.2107999999998</v>
      </c>
      <c r="N45" s="45">
        <f t="shared" ref="N45:N66" si="23">3*2*1.3</f>
        <v>7.8000000000000007</v>
      </c>
      <c r="O45" s="23">
        <f>(F45*2*G45+30+8+1+25)/5*2*1.1</f>
        <v>547.20182658141448</v>
      </c>
      <c r="P45" s="45">
        <f>G45*5*6*2</f>
        <v>798.12648000000013</v>
      </c>
      <c r="Q45" s="23">
        <f t="shared" ref="Q45:Q66" si="24">10*3</f>
        <v>30</v>
      </c>
      <c r="R45" s="45">
        <f t="shared" ref="R45:R66" si="25">20*2*1.1</f>
        <v>44</v>
      </c>
      <c r="S45" s="45">
        <f>F45*2*1.1</f>
        <v>97.548792000000006</v>
      </c>
      <c r="T45" s="46">
        <f t="shared" ref="T45:T66" si="26">8*4*2*1.1</f>
        <v>70.400000000000006</v>
      </c>
      <c r="U45" s="59">
        <f>F45*2*2</f>
        <v>177.36143999999999</v>
      </c>
      <c r="V45" s="45">
        <f t="shared" ref="V45:V66" si="27">15*2</f>
        <v>30</v>
      </c>
      <c r="W45" s="46">
        <v>4</v>
      </c>
      <c r="X45" s="47">
        <f>F45*1.1</f>
        <v>48.774396000000003</v>
      </c>
      <c r="Y45" s="47">
        <f>F45*2*1.1</f>
        <v>97.548792000000006</v>
      </c>
      <c r="Z45" s="47">
        <v>20</v>
      </c>
      <c r="AA45" s="47">
        <v>30</v>
      </c>
      <c r="AB45" s="47">
        <v>20</v>
      </c>
      <c r="AC45" s="47">
        <f>+D45*1.1</f>
        <v>36580.796999999999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5">
      <c r="A46" s="41" t="s">
        <v>83</v>
      </c>
      <c r="B46" s="92" t="s">
        <v>84</v>
      </c>
      <c r="C46" s="57" t="s">
        <v>86</v>
      </c>
      <c r="D46" s="42">
        <f>62983+(62983*3)/100</f>
        <v>64872.49</v>
      </c>
      <c r="E46" s="43">
        <v>20</v>
      </c>
      <c r="F46" s="44">
        <f t="shared" si="0"/>
        <v>86.496653333333327</v>
      </c>
      <c r="G46" s="44">
        <f>(D46/(150*5))/10+(D46/(150*5))/5</f>
        <v>25.948996000000001</v>
      </c>
      <c r="H46" s="45">
        <v>4</v>
      </c>
      <c r="I46" s="23">
        <v>4</v>
      </c>
      <c r="J46" s="23">
        <v>4</v>
      </c>
      <c r="K46" s="23"/>
      <c r="L46" s="58"/>
      <c r="M46" s="43">
        <f t="shared" si="22"/>
        <v>2594.8995999999997</v>
      </c>
      <c r="N46" s="45">
        <f t="shared" si="23"/>
        <v>7.8000000000000007</v>
      </c>
      <c r="O46" s="23">
        <f>(F46*2*G46+30+8+1+25)/5*2*1.1</f>
        <v>2003.3211539968472</v>
      </c>
      <c r="P46" s="45">
        <f>G46*5*6*2</f>
        <v>1556.93976</v>
      </c>
      <c r="Q46" s="23">
        <f t="shared" si="24"/>
        <v>30</v>
      </c>
      <c r="R46" s="45">
        <f t="shared" si="25"/>
        <v>44</v>
      </c>
      <c r="S46" s="45">
        <f>F46*2*1.1</f>
        <v>190.29263733333335</v>
      </c>
      <c r="T46" s="46">
        <f t="shared" si="26"/>
        <v>70.400000000000006</v>
      </c>
      <c r="U46" s="59">
        <f>F46*2*2</f>
        <v>345.98661333333331</v>
      </c>
      <c r="V46" s="45">
        <f t="shared" si="27"/>
        <v>30</v>
      </c>
      <c r="W46" s="46">
        <v>4</v>
      </c>
      <c r="X46" s="47">
        <f>F46*1.1</f>
        <v>95.146318666666673</v>
      </c>
      <c r="Y46" s="47">
        <f>F46*2*1.1</f>
        <v>190.29263733333335</v>
      </c>
      <c r="Z46" s="47">
        <v>20</v>
      </c>
      <c r="AA46" s="47">
        <v>30</v>
      </c>
      <c r="AB46" s="47">
        <v>20</v>
      </c>
      <c r="AC46" s="47">
        <f>+D46*1.1</f>
        <v>71359.739000000001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7.25" customHeight="1" x14ac:dyDescent="0.25">
      <c r="A47" s="75" t="s">
        <v>87</v>
      </c>
      <c r="B47" s="87"/>
      <c r="C47" s="60">
        <v>2</v>
      </c>
      <c r="D47" s="61">
        <f t="shared" ref="D47:AC47" si="28">SUM(D45:D46)</f>
        <v>98127.76</v>
      </c>
      <c r="E47" s="62">
        <f t="shared" si="28"/>
        <v>40</v>
      </c>
      <c r="F47" s="63">
        <f t="shared" si="28"/>
        <v>130.83701333333332</v>
      </c>
      <c r="G47" s="63">
        <f t="shared" si="28"/>
        <v>39.251103999999998</v>
      </c>
      <c r="H47" s="63">
        <f t="shared" si="28"/>
        <v>8</v>
      </c>
      <c r="I47" s="63">
        <f t="shared" si="28"/>
        <v>8</v>
      </c>
      <c r="J47" s="63">
        <f t="shared" si="28"/>
        <v>8</v>
      </c>
      <c r="K47" s="63">
        <f t="shared" si="28"/>
        <v>0</v>
      </c>
      <c r="L47" s="64">
        <f t="shared" si="28"/>
        <v>0</v>
      </c>
      <c r="M47" s="62">
        <f t="shared" si="28"/>
        <v>3925.1103999999996</v>
      </c>
      <c r="N47" s="63">
        <f t="shared" si="28"/>
        <v>15.600000000000001</v>
      </c>
      <c r="O47" s="63">
        <f t="shared" si="28"/>
        <v>2550.5229805782619</v>
      </c>
      <c r="P47" s="63">
        <f t="shared" si="28"/>
        <v>2355.0662400000001</v>
      </c>
      <c r="Q47" s="63">
        <f t="shared" si="28"/>
        <v>60</v>
      </c>
      <c r="R47" s="63">
        <f t="shared" si="28"/>
        <v>88</v>
      </c>
      <c r="S47" s="63">
        <f t="shared" si="28"/>
        <v>287.84142933333334</v>
      </c>
      <c r="T47" s="65">
        <f t="shared" si="28"/>
        <v>140.80000000000001</v>
      </c>
      <c r="U47" s="66">
        <f t="shared" si="28"/>
        <v>523.34805333333327</v>
      </c>
      <c r="V47" s="63">
        <f t="shared" si="28"/>
        <v>60</v>
      </c>
      <c r="W47" s="65">
        <f t="shared" si="28"/>
        <v>8</v>
      </c>
      <c r="X47" s="68">
        <f t="shared" si="28"/>
        <v>143.92071466666667</v>
      </c>
      <c r="Y47" s="68">
        <f t="shared" si="28"/>
        <v>287.84142933333334</v>
      </c>
      <c r="Z47" s="68">
        <f t="shared" si="28"/>
        <v>40</v>
      </c>
      <c r="AA47" s="68">
        <f t="shared" si="28"/>
        <v>60</v>
      </c>
      <c r="AB47" s="68">
        <f t="shared" si="28"/>
        <v>40</v>
      </c>
      <c r="AC47" s="68">
        <f t="shared" si="28"/>
        <v>107940.53599999999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5">
      <c r="A48" s="109" t="s">
        <v>88</v>
      </c>
      <c r="B48" s="110"/>
      <c r="C48" s="69">
        <f>C47</f>
        <v>2</v>
      </c>
      <c r="D48" s="69">
        <f>D47</f>
        <v>98127.76</v>
      </c>
      <c r="E48" s="71" t="e">
        <f>#REF!+E47</f>
        <v>#REF!</v>
      </c>
      <c r="F48" s="70" t="e">
        <f>#REF!+F47</f>
        <v>#REF!</v>
      </c>
      <c r="G48" s="70" t="e">
        <f>#REF!+G47</f>
        <v>#REF!</v>
      </c>
      <c r="H48" s="70" t="e">
        <f>#REF!+H47</f>
        <v>#REF!</v>
      </c>
      <c r="I48" s="70" t="e">
        <f>#REF!+I47</f>
        <v>#REF!</v>
      </c>
      <c r="J48" s="70" t="e">
        <f>#REF!+J47</f>
        <v>#REF!</v>
      </c>
      <c r="K48" s="70" t="e">
        <f>#REF!+K47</f>
        <v>#REF!</v>
      </c>
      <c r="L48" s="70" t="e">
        <f>#REF!+L47</f>
        <v>#REF!</v>
      </c>
      <c r="M48" s="69">
        <f>M47</f>
        <v>3925.1103999999996</v>
      </c>
      <c r="N48" s="69">
        <f t="shared" ref="N48:AC48" si="29">N47</f>
        <v>15.600000000000001</v>
      </c>
      <c r="O48" s="69">
        <f t="shared" si="29"/>
        <v>2550.5229805782619</v>
      </c>
      <c r="P48" s="69">
        <f t="shared" si="29"/>
        <v>2355.0662400000001</v>
      </c>
      <c r="Q48" s="69">
        <f t="shared" si="29"/>
        <v>60</v>
      </c>
      <c r="R48" s="69">
        <f t="shared" si="29"/>
        <v>88</v>
      </c>
      <c r="S48" s="69">
        <f t="shared" si="29"/>
        <v>287.84142933333334</v>
      </c>
      <c r="T48" s="69">
        <f t="shared" si="29"/>
        <v>140.80000000000001</v>
      </c>
      <c r="U48" s="69">
        <f t="shared" si="29"/>
        <v>523.34805333333327</v>
      </c>
      <c r="V48" s="69">
        <f t="shared" si="29"/>
        <v>60</v>
      </c>
      <c r="W48" s="69">
        <f t="shared" si="29"/>
        <v>8</v>
      </c>
      <c r="X48" s="69">
        <f t="shared" si="29"/>
        <v>143.92071466666667</v>
      </c>
      <c r="Y48" s="69">
        <f t="shared" si="29"/>
        <v>287.84142933333334</v>
      </c>
      <c r="Z48" s="69">
        <f t="shared" si="29"/>
        <v>40</v>
      </c>
      <c r="AA48" s="69">
        <f t="shared" si="29"/>
        <v>60</v>
      </c>
      <c r="AB48" s="69">
        <f t="shared" si="29"/>
        <v>40</v>
      </c>
      <c r="AC48" s="69">
        <f t="shared" si="29"/>
        <v>107940.53599999999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5">
      <c r="A49" s="41" t="s">
        <v>89</v>
      </c>
      <c r="B49" s="93" t="s">
        <v>90</v>
      </c>
      <c r="C49" s="94" t="s">
        <v>91</v>
      </c>
      <c r="D49" s="95">
        <f>24417.228822+(24417*3)/100</f>
        <v>25149.738821999999</v>
      </c>
      <c r="E49" s="43">
        <v>20</v>
      </c>
      <c r="F49" s="44">
        <f t="shared" ref="F49:F66" si="30">(D49/(150*5))</f>
        <v>33.532985095999997</v>
      </c>
      <c r="G49" s="44">
        <f>(D49/(150*5))/10+(D49/(150*5))/5</f>
        <v>10.059895528799998</v>
      </c>
      <c r="H49" s="45">
        <v>4</v>
      </c>
      <c r="I49" s="23">
        <v>4</v>
      </c>
      <c r="J49" s="23">
        <v>4</v>
      </c>
      <c r="K49" s="23"/>
      <c r="L49" s="58"/>
      <c r="M49" s="43">
        <f t="shared" si="22"/>
        <v>1005.9895528799998</v>
      </c>
      <c r="N49" s="45">
        <f t="shared" si="23"/>
        <v>7.8000000000000007</v>
      </c>
      <c r="O49" s="23">
        <f>(F49*2*G49+30+8+1+25)/5*2*1.1</f>
        <v>325.0177276144193</v>
      </c>
      <c r="P49" s="45">
        <f>G49*5*6*2</f>
        <v>603.59373172799997</v>
      </c>
      <c r="Q49" s="23">
        <f t="shared" si="24"/>
        <v>30</v>
      </c>
      <c r="R49" s="45">
        <f t="shared" si="25"/>
        <v>44</v>
      </c>
      <c r="S49" s="45">
        <f>F49*2*1.1</f>
        <v>73.772567211199998</v>
      </c>
      <c r="T49" s="46">
        <f t="shared" si="26"/>
        <v>70.400000000000006</v>
      </c>
      <c r="U49" s="47">
        <f>F49*2*2</f>
        <v>134.13194038399999</v>
      </c>
      <c r="V49" s="59">
        <f t="shared" si="27"/>
        <v>30</v>
      </c>
      <c r="W49" s="46">
        <v>4</v>
      </c>
      <c r="X49" s="47">
        <f>F49*1.1</f>
        <v>36.886283605599999</v>
      </c>
      <c r="Y49" s="47">
        <f>F49*2*1.1</f>
        <v>73.772567211199998</v>
      </c>
      <c r="Z49" s="47">
        <v>20</v>
      </c>
      <c r="AA49" s="47">
        <v>30</v>
      </c>
      <c r="AB49" s="47">
        <v>20</v>
      </c>
      <c r="AC49" s="47">
        <f>+D49*1.1</f>
        <v>27664.712704200003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5">
      <c r="A50" s="41" t="s">
        <v>89</v>
      </c>
      <c r="B50" s="93" t="s">
        <v>90</v>
      </c>
      <c r="C50" s="96" t="s">
        <v>92</v>
      </c>
      <c r="D50" s="95">
        <f>47894.733642+(47895*3)/100</f>
        <v>49331.583641999998</v>
      </c>
      <c r="E50" s="43">
        <v>20</v>
      </c>
      <c r="F50" s="44">
        <f t="shared" si="30"/>
        <v>65.775444855999993</v>
      </c>
      <c r="G50" s="44">
        <f>(D50/(150*5))/10+(D50/(150*5))/5</f>
        <v>19.732633456799995</v>
      </c>
      <c r="H50" s="45">
        <v>4</v>
      </c>
      <c r="I50" s="23">
        <v>4</v>
      </c>
      <c r="J50" s="23">
        <v>4</v>
      </c>
      <c r="K50" s="23"/>
      <c r="L50" s="58"/>
      <c r="M50" s="43">
        <f t="shared" si="22"/>
        <v>1973.2633456799999</v>
      </c>
      <c r="N50" s="45">
        <f t="shared" si="23"/>
        <v>7.8000000000000007</v>
      </c>
      <c r="O50" s="23">
        <f>(F50*2*G50+30+8+1+25)/5*2*1.1</f>
        <v>1170.3320145452396</v>
      </c>
      <c r="P50" s="45">
        <f>G50*5*6*2</f>
        <v>1183.9580074079995</v>
      </c>
      <c r="Q50" s="23">
        <f t="shared" si="24"/>
        <v>30</v>
      </c>
      <c r="R50" s="45">
        <f t="shared" si="25"/>
        <v>44</v>
      </c>
      <c r="S50" s="45">
        <f>F50*2*1.1</f>
        <v>144.70597868319999</v>
      </c>
      <c r="T50" s="46">
        <f t="shared" si="26"/>
        <v>70.400000000000006</v>
      </c>
      <c r="U50" s="47">
        <f>F50*2*2</f>
        <v>263.10177942399997</v>
      </c>
      <c r="V50" s="59">
        <f t="shared" si="27"/>
        <v>30</v>
      </c>
      <c r="W50" s="46">
        <v>4</v>
      </c>
      <c r="X50" s="47">
        <f>F50*1.1</f>
        <v>72.352989341599994</v>
      </c>
      <c r="Y50" s="47">
        <f>F50*2*1.1</f>
        <v>144.70597868319999</v>
      </c>
      <c r="Z50" s="47">
        <v>20</v>
      </c>
      <c r="AA50" s="47">
        <v>30</v>
      </c>
      <c r="AB50" s="47">
        <v>20</v>
      </c>
      <c r="AC50" s="47">
        <f>+D50*1.1</f>
        <v>54264.742006200002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x14ac:dyDescent="0.25">
      <c r="A51" s="113" t="s">
        <v>93</v>
      </c>
      <c r="B51" s="115"/>
      <c r="C51" s="97">
        <v>2</v>
      </c>
      <c r="D51" s="79">
        <f t="shared" ref="D51:AC51" si="31">SUM(D49:D50)</f>
        <v>74481.322463999997</v>
      </c>
      <c r="E51" s="62">
        <f t="shared" si="31"/>
        <v>40</v>
      </c>
      <c r="F51" s="63">
        <f t="shared" si="31"/>
        <v>99.308429951999983</v>
      </c>
      <c r="G51" s="63">
        <f t="shared" si="31"/>
        <v>29.792528985599994</v>
      </c>
      <c r="H51" s="63">
        <f t="shared" si="31"/>
        <v>8</v>
      </c>
      <c r="I51" s="63">
        <f t="shared" si="31"/>
        <v>8</v>
      </c>
      <c r="J51" s="63">
        <f t="shared" si="31"/>
        <v>8</v>
      </c>
      <c r="K51" s="63">
        <f t="shared" si="31"/>
        <v>0</v>
      </c>
      <c r="L51" s="64">
        <f t="shared" si="31"/>
        <v>0</v>
      </c>
      <c r="M51" s="62">
        <f t="shared" si="31"/>
        <v>2979.2528985599997</v>
      </c>
      <c r="N51" s="63">
        <f t="shared" si="31"/>
        <v>15.600000000000001</v>
      </c>
      <c r="O51" s="63">
        <f t="shared" si="31"/>
        <v>1495.3497421596589</v>
      </c>
      <c r="P51" s="63">
        <f t="shared" si="31"/>
        <v>1787.5517391359995</v>
      </c>
      <c r="Q51" s="63">
        <f t="shared" si="31"/>
        <v>60</v>
      </c>
      <c r="R51" s="63">
        <f t="shared" si="31"/>
        <v>88</v>
      </c>
      <c r="S51" s="63">
        <f t="shared" si="31"/>
        <v>218.47854589439999</v>
      </c>
      <c r="T51" s="65">
        <f t="shared" si="31"/>
        <v>140.80000000000001</v>
      </c>
      <c r="U51" s="68">
        <f t="shared" si="31"/>
        <v>397.23371980799993</v>
      </c>
      <c r="V51" s="66">
        <f t="shared" si="31"/>
        <v>60</v>
      </c>
      <c r="W51" s="65">
        <f t="shared" si="31"/>
        <v>8</v>
      </c>
      <c r="X51" s="68">
        <f t="shared" si="31"/>
        <v>109.23927294719999</v>
      </c>
      <c r="Y51" s="68">
        <f t="shared" si="31"/>
        <v>218.47854589439999</v>
      </c>
      <c r="Z51" s="68">
        <f t="shared" si="31"/>
        <v>40</v>
      </c>
      <c r="AA51" s="68">
        <f t="shared" si="31"/>
        <v>60</v>
      </c>
      <c r="AB51" s="68">
        <f t="shared" si="31"/>
        <v>40</v>
      </c>
      <c r="AC51" s="68">
        <f t="shared" si="31"/>
        <v>81929.454710400008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5">
      <c r="A52" s="41" t="s">
        <v>89</v>
      </c>
      <c r="B52" s="93" t="s">
        <v>94</v>
      </c>
      <c r="C52" s="94" t="s">
        <v>95</v>
      </c>
      <c r="D52" s="95">
        <f>23265.186903+(23265*3)/100</f>
        <v>23963.136903000002</v>
      </c>
      <c r="E52" s="43">
        <v>20</v>
      </c>
      <c r="F52" s="44">
        <f t="shared" si="30"/>
        <v>31.950849204000004</v>
      </c>
      <c r="G52" s="44">
        <f t="shared" ref="G52:G61" si="32">(D52/(150*5))/10+(D52/(150*5))/5</f>
        <v>9.5852547612000016</v>
      </c>
      <c r="H52" s="45">
        <v>4</v>
      </c>
      <c r="I52" s="23">
        <v>4</v>
      </c>
      <c r="J52" s="23">
        <v>4</v>
      </c>
      <c r="K52" s="23"/>
      <c r="L52" s="58"/>
      <c r="M52" s="43">
        <f t="shared" si="22"/>
        <v>958.52547612000012</v>
      </c>
      <c r="N52" s="45">
        <f t="shared" si="23"/>
        <v>7.8000000000000007</v>
      </c>
      <c r="O52" s="23">
        <f t="shared" ref="O52:O61" si="33">(F52*2*G52+30+8+1+25)/5*2*1.1</f>
        <v>297.6661859221814</v>
      </c>
      <c r="P52" s="45">
        <f t="shared" ref="P52:P61" si="34">G52*5*6*2</f>
        <v>575.11528567200014</v>
      </c>
      <c r="Q52" s="23">
        <f t="shared" si="24"/>
        <v>30</v>
      </c>
      <c r="R52" s="45">
        <f t="shared" si="25"/>
        <v>44</v>
      </c>
      <c r="S52" s="45">
        <f t="shared" ref="S52:S61" si="35">F52*2*1.1</f>
        <v>70.291868248800014</v>
      </c>
      <c r="T52" s="46">
        <f t="shared" si="26"/>
        <v>70.400000000000006</v>
      </c>
      <c r="U52" s="47">
        <f t="shared" ref="U52:U61" si="36">F52*2*2</f>
        <v>127.80339681600002</v>
      </c>
      <c r="V52" s="59">
        <f t="shared" si="27"/>
        <v>30</v>
      </c>
      <c r="W52" s="46">
        <v>4</v>
      </c>
      <c r="X52" s="47">
        <f t="shared" ref="X52:X61" si="37">F52*1.1</f>
        <v>35.145934124400007</v>
      </c>
      <c r="Y52" s="47">
        <f t="shared" ref="Y52:Y61" si="38">F52*2*1.1</f>
        <v>70.291868248800014</v>
      </c>
      <c r="Z52" s="47">
        <v>20</v>
      </c>
      <c r="AA52" s="47">
        <v>30</v>
      </c>
      <c r="AB52" s="47">
        <v>20</v>
      </c>
      <c r="AC52" s="47">
        <f t="shared" ref="AC52:AC61" si="39">+D52*1.1</f>
        <v>26359.450593300004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5">
      <c r="A53" s="41" t="s">
        <v>89</v>
      </c>
      <c r="B53" s="93" t="s">
        <v>94</v>
      </c>
      <c r="C53" s="96" t="s">
        <v>96</v>
      </c>
      <c r="D53" s="95">
        <f>25563.255438+(25563*3)/100</f>
        <v>26330.145438</v>
      </c>
      <c r="E53" s="43">
        <v>20</v>
      </c>
      <c r="F53" s="44">
        <f t="shared" si="30"/>
        <v>35.106860583999996</v>
      </c>
      <c r="G53" s="44">
        <f t="shared" si="32"/>
        <v>10.5320581752</v>
      </c>
      <c r="H53" s="45">
        <v>4</v>
      </c>
      <c r="I53" s="23">
        <v>4</v>
      </c>
      <c r="J53" s="23">
        <v>4</v>
      </c>
      <c r="K53" s="23"/>
      <c r="L53" s="58"/>
      <c r="M53" s="43">
        <f t="shared" si="22"/>
        <v>1053.2058175199998</v>
      </c>
      <c r="N53" s="45">
        <f t="shared" si="23"/>
        <v>7.8000000000000007</v>
      </c>
      <c r="O53" s="23">
        <f t="shared" si="33"/>
        <v>353.53779825700497</v>
      </c>
      <c r="P53" s="45">
        <f t="shared" si="34"/>
        <v>631.92349051199994</v>
      </c>
      <c r="Q53" s="23">
        <f t="shared" si="24"/>
        <v>30</v>
      </c>
      <c r="R53" s="45">
        <f t="shared" si="25"/>
        <v>44</v>
      </c>
      <c r="S53" s="45">
        <f t="shared" si="35"/>
        <v>77.235093284800001</v>
      </c>
      <c r="T53" s="46">
        <f t="shared" si="26"/>
        <v>70.400000000000006</v>
      </c>
      <c r="U53" s="47">
        <f t="shared" si="36"/>
        <v>140.42744233599998</v>
      </c>
      <c r="V53" s="59">
        <f t="shared" si="27"/>
        <v>30</v>
      </c>
      <c r="W53" s="46">
        <v>4</v>
      </c>
      <c r="X53" s="47">
        <f t="shared" si="37"/>
        <v>38.617546642400001</v>
      </c>
      <c r="Y53" s="47">
        <f t="shared" si="38"/>
        <v>77.235093284800001</v>
      </c>
      <c r="Z53" s="47">
        <v>20</v>
      </c>
      <c r="AA53" s="47">
        <v>30</v>
      </c>
      <c r="AB53" s="47">
        <v>20</v>
      </c>
      <c r="AC53" s="47">
        <f t="shared" si="39"/>
        <v>28963.159981800003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5">
      <c r="A54" s="41" t="s">
        <v>89</v>
      </c>
      <c r="B54" s="93" t="s">
        <v>94</v>
      </c>
      <c r="C54" s="94" t="s">
        <v>97</v>
      </c>
      <c r="D54" s="95">
        <f>27314.154189+(27314*3)/100</f>
        <v>28133.574188999999</v>
      </c>
      <c r="E54" s="43">
        <v>20</v>
      </c>
      <c r="F54" s="44">
        <f t="shared" si="30"/>
        <v>37.511432251999999</v>
      </c>
      <c r="G54" s="44">
        <f t="shared" si="32"/>
        <v>11.2534296756</v>
      </c>
      <c r="H54" s="45">
        <v>4</v>
      </c>
      <c r="I54" s="23">
        <v>4</v>
      </c>
      <c r="J54" s="23">
        <v>4</v>
      </c>
      <c r="K54" s="23"/>
      <c r="L54" s="58"/>
      <c r="M54" s="43">
        <f t="shared" si="22"/>
        <v>1125.34296756</v>
      </c>
      <c r="N54" s="45">
        <f t="shared" si="23"/>
        <v>7.8000000000000007</v>
      </c>
      <c r="O54" s="23">
        <f t="shared" si="33"/>
        <v>399.63639309344586</v>
      </c>
      <c r="P54" s="45">
        <f t="shared" si="34"/>
        <v>675.20578053600002</v>
      </c>
      <c r="Q54" s="23">
        <f t="shared" si="24"/>
        <v>30</v>
      </c>
      <c r="R54" s="45">
        <f t="shared" si="25"/>
        <v>44</v>
      </c>
      <c r="S54" s="45">
        <f t="shared" si="35"/>
        <v>82.525150954400004</v>
      </c>
      <c r="T54" s="46">
        <f t="shared" si="26"/>
        <v>70.400000000000006</v>
      </c>
      <c r="U54" s="47">
        <f t="shared" si="36"/>
        <v>150.045729008</v>
      </c>
      <c r="V54" s="59">
        <f t="shared" si="27"/>
        <v>30</v>
      </c>
      <c r="W54" s="46">
        <v>4</v>
      </c>
      <c r="X54" s="47">
        <f t="shared" si="37"/>
        <v>41.262575477200002</v>
      </c>
      <c r="Y54" s="47">
        <f t="shared" si="38"/>
        <v>82.525150954400004</v>
      </c>
      <c r="Z54" s="47">
        <v>20</v>
      </c>
      <c r="AA54" s="47">
        <v>30</v>
      </c>
      <c r="AB54" s="47">
        <v>20</v>
      </c>
      <c r="AC54" s="47">
        <f t="shared" si="39"/>
        <v>30946.931607900002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5">
      <c r="A55" s="41" t="s">
        <v>89</v>
      </c>
      <c r="B55" s="93" t="s">
        <v>94</v>
      </c>
      <c r="C55" s="94" t="s">
        <v>98</v>
      </c>
      <c r="D55" s="95">
        <f>11141.555101+(11142*3)/100</f>
        <v>11475.815101</v>
      </c>
      <c r="E55" s="43">
        <v>20</v>
      </c>
      <c r="F55" s="44">
        <f t="shared" si="30"/>
        <v>15.301086801333334</v>
      </c>
      <c r="G55" s="44">
        <f t="shared" si="32"/>
        <v>4.5903260404000008</v>
      </c>
      <c r="H55" s="45">
        <v>4</v>
      </c>
      <c r="I55" s="23">
        <v>4</v>
      </c>
      <c r="J55" s="23">
        <v>4</v>
      </c>
      <c r="K55" s="23"/>
      <c r="L55" s="58"/>
      <c r="M55" s="43">
        <f t="shared" si="22"/>
        <v>459.03260404000002</v>
      </c>
      <c r="N55" s="45">
        <f t="shared" si="23"/>
        <v>7.8000000000000007</v>
      </c>
      <c r="O55" s="23">
        <f t="shared" si="33"/>
        <v>89.968539927711433</v>
      </c>
      <c r="P55" s="45">
        <f t="shared" si="34"/>
        <v>275.41956242400005</v>
      </c>
      <c r="Q55" s="23">
        <f t="shared" si="24"/>
        <v>30</v>
      </c>
      <c r="R55" s="45">
        <f t="shared" si="25"/>
        <v>44</v>
      </c>
      <c r="S55" s="45">
        <f t="shared" si="35"/>
        <v>33.662390962933337</v>
      </c>
      <c r="T55" s="46">
        <f t="shared" si="26"/>
        <v>70.400000000000006</v>
      </c>
      <c r="U55" s="47">
        <f t="shared" si="36"/>
        <v>61.204347205333335</v>
      </c>
      <c r="V55" s="59">
        <f t="shared" si="27"/>
        <v>30</v>
      </c>
      <c r="W55" s="46">
        <v>4</v>
      </c>
      <c r="X55" s="47">
        <f t="shared" si="37"/>
        <v>16.831195481466668</v>
      </c>
      <c r="Y55" s="47">
        <f t="shared" si="38"/>
        <v>33.662390962933337</v>
      </c>
      <c r="Z55" s="47">
        <v>20</v>
      </c>
      <c r="AA55" s="47">
        <v>30</v>
      </c>
      <c r="AB55" s="47">
        <v>20</v>
      </c>
      <c r="AC55" s="47">
        <f t="shared" si="39"/>
        <v>12623.396611100001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5">
      <c r="A56" s="41" t="s">
        <v>89</v>
      </c>
      <c r="B56" s="93" t="s">
        <v>94</v>
      </c>
      <c r="C56" s="94" t="s">
        <v>99</v>
      </c>
      <c r="D56" s="95">
        <f>29395.894605+(29396*3)/100</f>
        <v>30277.774605000002</v>
      </c>
      <c r="E56" s="43">
        <v>20</v>
      </c>
      <c r="F56" s="44">
        <f t="shared" si="30"/>
        <v>40.370366140000002</v>
      </c>
      <c r="G56" s="44">
        <f t="shared" si="32"/>
        <v>12.111109841999999</v>
      </c>
      <c r="H56" s="45">
        <v>4</v>
      </c>
      <c r="I56" s="23">
        <v>4</v>
      </c>
      <c r="J56" s="23">
        <v>4</v>
      </c>
      <c r="K56" s="23"/>
      <c r="L56" s="58"/>
      <c r="M56" s="43">
        <f t="shared" si="22"/>
        <v>1211.1109842000001</v>
      </c>
      <c r="N56" s="45">
        <f t="shared" si="23"/>
        <v>7.8000000000000007</v>
      </c>
      <c r="O56" s="23">
        <f t="shared" si="33"/>
        <v>458.4183460413019</v>
      </c>
      <c r="P56" s="45">
        <f t="shared" si="34"/>
        <v>726.66659052</v>
      </c>
      <c r="Q56" s="23">
        <f t="shared" si="24"/>
        <v>30</v>
      </c>
      <c r="R56" s="45">
        <f t="shared" si="25"/>
        <v>44</v>
      </c>
      <c r="S56" s="45">
        <f t="shared" si="35"/>
        <v>88.814805508000006</v>
      </c>
      <c r="T56" s="46">
        <f t="shared" si="26"/>
        <v>70.400000000000006</v>
      </c>
      <c r="U56" s="47">
        <f t="shared" si="36"/>
        <v>161.48146456000001</v>
      </c>
      <c r="V56" s="59">
        <f t="shared" si="27"/>
        <v>30</v>
      </c>
      <c r="W56" s="46">
        <v>4</v>
      </c>
      <c r="X56" s="47">
        <f t="shared" si="37"/>
        <v>44.407402754000003</v>
      </c>
      <c r="Y56" s="47">
        <f t="shared" si="38"/>
        <v>88.814805508000006</v>
      </c>
      <c r="Z56" s="47">
        <v>20</v>
      </c>
      <c r="AA56" s="47">
        <v>30</v>
      </c>
      <c r="AB56" s="47">
        <v>20</v>
      </c>
      <c r="AC56" s="47">
        <f t="shared" si="39"/>
        <v>33305.552065500007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5">
      <c r="A57" s="41" t="s">
        <v>89</v>
      </c>
      <c r="B57" s="93" t="s">
        <v>94</v>
      </c>
      <c r="C57" s="94" t="s">
        <v>100</v>
      </c>
      <c r="D57" s="95">
        <f>25545.655107+(25546*3)/100</f>
        <v>26312.035107</v>
      </c>
      <c r="E57" s="43">
        <v>20</v>
      </c>
      <c r="F57" s="44">
        <f t="shared" si="30"/>
        <v>35.082713476000002</v>
      </c>
      <c r="G57" s="44">
        <f t="shared" si="32"/>
        <v>10.524814042799999</v>
      </c>
      <c r="H57" s="45">
        <v>4</v>
      </c>
      <c r="I57" s="23">
        <v>4</v>
      </c>
      <c r="J57" s="23">
        <v>4</v>
      </c>
      <c r="K57" s="23"/>
      <c r="L57" s="58"/>
      <c r="M57" s="43">
        <f t="shared" si="22"/>
        <v>1052.4814042799999</v>
      </c>
      <c r="N57" s="45">
        <f t="shared" si="23"/>
        <v>7.8000000000000007</v>
      </c>
      <c r="O57" s="23">
        <f t="shared" si="33"/>
        <v>353.09035119752554</v>
      </c>
      <c r="P57" s="45">
        <f t="shared" si="34"/>
        <v>631.488842568</v>
      </c>
      <c r="Q57" s="23">
        <f t="shared" si="24"/>
        <v>30</v>
      </c>
      <c r="R57" s="45">
        <f t="shared" si="25"/>
        <v>44</v>
      </c>
      <c r="S57" s="45">
        <f t="shared" si="35"/>
        <v>77.181969647200006</v>
      </c>
      <c r="T57" s="46">
        <f t="shared" si="26"/>
        <v>70.400000000000006</v>
      </c>
      <c r="U57" s="47">
        <f t="shared" si="36"/>
        <v>140.33085390400001</v>
      </c>
      <c r="V57" s="59">
        <f t="shared" si="27"/>
        <v>30</v>
      </c>
      <c r="W57" s="46">
        <v>4</v>
      </c>
      <c r="X57" s="47">
        <f t="shared" si="37"/>
        <v>38.590984823600003</v>
      </c>
      <c r="Y57" s="47">
        <f t="shared" si="38"/>
        <v>77.181969647200006</v>
      </c>
      <c r="Z57" s="47">
        <v>20</v>
      </c>
      <c r="AA57" s="47">
        <v>30</v>
      </c>
      <c r="AB57" s="47">
        <v>20</v>
      </c>
      <c r="AC57" s="47">
        <f t="shared" si="39"/>
        <v>28943.238617700001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5">
      <c r="A58" s="41" t="s">
        <v>89</v>
      </c>
      <c r="B58" s="93" t="s">
        <v>94</v>
      </c>
      <c r="C58" s="94" t="s">
        <v>101</v>
      </c>
      <c r="D58" s="95">
        <f>18467.648577+(18468*3)/100</f>
        <v>19021.688577000001</v>
      </c>
      <c r="E58" s="43">
        <v>20</v>
      </c>
      <c r="F58" s="44">
        <f t="shared" si="30"/>
        <v>25.362251436000001</v>
      </c>
      <c r="G58" s="44">
        <f t="shared" si="32"/>
        <v>7.6086754308000009</v>
      </c>
      <c r="H58" s="45">
        <v>4</v>
      </c>
      <c r="I58" s="23">
        <v>4</v>
      </c>
      <c r="J58" s="23">
        <v>4</v>
      </c>
      <c r="K58" s="23"/>
      <c r="L58" s="58"/>
      <c r="M58" s="43">
        <f t="shared" si="22"/>
        <v>760.8675430799999</v>
      </c>
      <c r="N58" s="45">
        <f t="shared" si="23"/>
        <v>7.8000000000000007</v>
      </c>
      <c r="O58" s="23">
        <f t="shared" si="33"/>
        <v>197.97636264636142</v>
      </c>
      <c r="P58" s="45">
        <f t="shared" si="34"/>
        <v>456.52052584800003</v>
      </c>
      <c r="Q58" s="23">
        <f t="shared" si="24"/>
        <v>30</v>
      </c>
      <c r="R58" s="45">
        <f t="shared" si="25"/>
        <v>44</v>
      </c>
      <c r="S58" s="45">
        <f t="shared" si="35"/>
        <v>55.796953159200008</v>
      </c>
      <c r="T58" s="46">
        <f t="shared" si="26"/>
        <v>70.400000000000006</v>
      </c>
      <c r="U58" s="47">
        <f t="shared" si="36"/>
        <v>101.449005744</v>
      </c>
      <c r="V58" s="59">
        <f t="shared" si="27"/>
        <v>30</v>
      </c>
      <c r="W58" s="46">
        <v>4</v>
      </c>
      <c r="X58" s="47">
        <f t="shared" si="37"/>
        <v>27.898476579600004</v>
      </c>
      <c r="Y58" s="47">
        <f t="shared" si="38"/>
        <v>55.796953159200008</v>
      </c>
      <c r="Z58" s="47">
        <v>20</v>
      </c>
      <c r="AA58" s="47">
        <v>30</v>
      </c>
      <c r="AB58" s="47">
        <v>20</v>
      </c>
      <c r="AC58" s="47">
        <f t="shared" si="39"/>
        <v>20923.857434700003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5">
      <c r="A59" s="41" t="s">
        <v>89</v>
      </c>
      <c r="B59" s="93" t="s">
        <v>94</v>
      </c>
      <c r="C59" s="94" t="s">
        <v>102</v>
      </c>
      <c r="D59" s="95">
        <f>14208.368475+(14208*3)/100</f>
        <v>14634.608474999999</v>
      </c>
      <c r="E59" s="43">
        <v>20</v>
      </c>
      <c r="F59" s="44">
        <f t="shared" si="30"/>
        <v>19.512811299999999</v>
      </c>
      <c r="G59" s="44">
        <f t="shared" si="32"/>
        <v>5.8538433899999998</v>
      </c>
      <c r="H59" s="45">
        <v>4</v>
      </c>
      <c r="I59" s="23">
        <v>4</v>
      </c>
      <c r="J59" s="23">
        <v>4</v>
      </c>
      <c r="K59" s="23"/>
      <c r="L59" s="58"/>
      <c r="M59" s="43">
        <f t="shared" si="22"/>
        <v>585.38433899999995</v>
      </c>
      <c r="N59" s="45">
        <f t="shared" si="23"/>
        <v>7.8000000000000007</v>
      </c>
      <c r="O59" s="23">
        <f t="shared" si="33"/>
        <v>128.67794847496361</v>
      </c>
      <c r="P59" s="45">
        <f t="shared" si="34"/>
        <v>351.23060340000001</v>
      </c>
      <c r="Q59" s="23">
        <f t="shared" si="24"/>
        <v>30</v>
      </c>
      <c r="R59" s="45">
        <f t="shared" si="25"/>
        <v>44</v>
      </c>
      <c r="S59" s="45">
        <f t="shared" si="35"/>
        <v>42.928184860000002</v>
      </c>
      <c r="T59" s="46">
        <f t="shared" si="26"/>
        <v>70.400000000000006</v>
      </c>
      <c r="U59" s="47">
        <f t="shared" si="36"/>
        <v>78.051245199999997</v>
      </c>
      <c r="V59" s="59">
        <f t="shared" si="27"/>
        <v>30</v>
      </c>
      <c r="W59" s="46">
        <v>4</v>
      </c>
      <c r="X59" s="47">
        <f t="shared" si="37"/>
        <v>21.464092430000001</v>
      </c>
      <c r="Y59" s="47">
        <f t="shared" si="38"/>
        <v>42.928184860000002</v>
      </c>
      <c r="Z59" s="47">
        <v>20</v>
      </c>
      <c r="AA59" s="47">
        <v>30</v>
      </c>
      <c r="AB59" s="47">
        <v>20</v>
      </c>
      <c r="AC59" s="47">
        <f t="shared" si="39"/>
        <v>16098.0693225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5">
      <c r="A60" s="41" t="s">
        <v>89</v>
      </c>
      <c r="B60" s="93" t="s">
        <v>94</v>
      </c>
      <c r="C60" s="94" t="s">
        <v>103</v>
      </c>
      <c r="D60" s="95">
        <f>28231.376502+(28231*3)/100</f>
        <v>29078.306501999999</v>
      </c>
      <c r="E60" s="43">
        <v>20</v>
      </c>
      <c r="F60" s="44">
        <f t="shared" si="30"/>
        <v>38.771075336000003</v>
      </c>
      <c r="G60" s="44">
        <f t="shared" si="32"/>
        <v>11.631322600800001</v>
      </c>
      <c r="H60" s="45">
        <v>4</v>
      </c>
      <c r="I60" s="23">
        <v>4</v>
      </c>
      <c r="J60" s="23">
        <v>4</v>
      </c>
      <c r="K60" s="23"/>
      <c r="L60" s="58"/>
      <c r="M60" s="43">
        <f t="shared" si="22"/>
        <v>1163.1322600800002</v>
      </c>
      <c r="N60" s="45">
        <f t="shared" si="23"/>
        <v>7.8000000000000007</v>
      </c>
      <c r="O60" s="23">
        <f t="shared" si="33"/>
        <v>425.00381863538399</v>
      </c>
      <c r="P60" s="45">
        <f t="shared" si="34"/>
        <v>697.87935604800009</v>
      </c>
      <c r="Q60" s="23">
        <f t="shared" si="24"/>
        <v>30</v>
      </c>
      <c r="R60" s="45">
        <f t="shared" si="25"/>
        <v>44</v>
      </c>
      <c r="S60" s="45">
        <f t="shared" si="35"/>
        <v>85.296365739200013</v>
      </c>
      <c r="T60" s="46">
        <f t="shared" si="26"/>
        <v>70.400000000000006</v>
      </c>
      <c r="U60" s="47">
        <f t="shared" si="36"/>
        <v>155.08430134400001</v>
      </c>
      <c r="V60" s="59">
        <f t="shared" si="27"/>
        <v>30</v>
      </c>
      <c r="W60" s="46">
        <v>4</v>
      </c>
      <c r="X60" s="47">
        <f t="shared" si="37"/>
        <v>42.648182869600006</v>
      </c>
      <c r="Y60" s="47">
        <f t="shared" si="38"/>
        <v>85.296365739200013</v>
      </c>
      <c r="Z60" s="47">
        <v>20</v>
      </c>
      <c r="AA60" s="47">
        <v>30</v>
      </c>
      <c r="AB60" s="47">
        <v>20</v>
      </c>
      <c r="AC60" s="47">
        <f t="shared" si="39"/>
        <v>31986.137152200001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5">
      <c r="A61" s="41" t="s">
        <v>89</v>
      </c>
      <c r="B61" s="93" t="s">
        <v>94</v>
      </c>
      <c r="C61" s="96" t="s">
        <v>104</v>
      </c>
      <c r="D61" s="95">
        <f>39926.239479+(39936*3)/100</f>
        <v>41124.319479000005</v>
      </c>
      <c r="E61" s="43">
        <v>20</v>
      </c>
      <c r="F61" s="44">
        <f t="shared" si="30"/>
        <v>54.83242597200001</v>
      </c>
      <c r="G61" s="44">
        <f t="shared" si="32"/>
        <v>16.449727791600004</v>
      </c>
      <c r="H61" s="45">
        <v>4</v>
      </c>
      <c r="I61" s="23">
        <v>4</v>
      </c>
      <c r="J61" s="23">
        <v>4</v>
      </c>
      <c r="K61" s="23"/>
      <c r="L61" s="58"/>
      <c r="M61" s="43">
        <f t="shared" si="22"/>
        <v>1644.9727791600003</v>
      </c>
      <c r="N61" s="45">
        <f t="shared" si="23"/>
        <v>7.8000000000000007</v>
      </c>
      <c r="O61" s="23">
        <f t="shared" si="33"/>
        <v>821.90106362536346</v>
      </c>
      <c r="P61" s="45">
        <f t="shared" si="34"/>
        <v>986.98366749600018</v>
      </c>
      <c r="Q61" s="23">
        <f t="shared" si="24"/>
        <v>30</v>
      </c>
      <c r="R61" s="45">
        <f t="shared" si="25"/>
        <v>44</v>
      </c>
      <c r="S61" s="45">
        <f t="shared" si="35"/>
        <v>120.63133713840003</v>
      </c>
      <c r="T61" s="46">
        <f t="shared" si="26"/>
        <v>70.400000000000006</v>
      </c>
      <c r="U61" s="47">
        <f t="shared" si="36"/>
        <v>219.32970388800004</v>
      </c>
      <c r="V61" s="59">
        <f t="shared" si="27"/>
        <v>30</v>
      </c>
      <c r="W61" s="46">
        <v>4</v>
      </c>
      <c r="X61" s="47">
        <f t="shared" si="37"/>
        <v>60.315668569200014</v>
      </c>
      <c r="Y61" s="47">
        <f t="shared" si="38"/>
        <v>120.63133713840003</v>
      </c>
      <c r="Z61" s="47">
        <v>20</v>
      </c>
      <c r="AA61" s="47">
        <v>30</v>
      </c>
      <c r="AB61" s="47">
        <v>20</v>
      </c>
      <c r="AC61" s="47">
        <f t="shared" si="39"/>
        <v>45236.751426900009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5.75" customHeight="1" x14ac:dyDescent="0.25">
      <c r="A62" s="113" t="s">
        <v>105</v>
      </c>
      <c r="B62" s="115"/>
      <c r="C62" s="97">
        <v>10</v>
      </c>
      <c r="D62" s="79">
        <f>SUM(D52:D61)</f>
        <v>250351.40437599996</v>
      </c>
      <c r="E62" s="62">
        <f t="shared" ref="E62:AC62" si="40">SUM(E52:E61)</f>
        <v>200</v>
      </c>
      <c r="F62" s="63">
        <f t="shared" si="40"/>
        <v>333.80187250133338</v>
      </c>
      <c r="G62" s="63">
        <f t="shared" si="40"/>
        <v>100.1405617504</v>
      </c>
      <c r="H62" s="63">
        <f t="shared" si="40"/>
        <v>40</v>
      </c>
      <c r="I62" s="63">
        <f t="shared" si="40"/>
        <v>40</v>
      </c>
      <c r="J62" s="63">
        <f t="shared" si="40"/>
        <v>40</v>
      </c>
      <c r="K62" s="63">
        <f t="shared" si="40"/>
        <v>0</v>
      </c>
      <c r="L62" s="64">
        <f t="shared" si="40"/>
        <v>0</v>
      </c>
      <c r="M62" s="62">
        <f t="shared" si="40"/>
        <v>10014.056175039999</v>
      </c>
      <c r="N62" s="63">
        <f t="shared" si="40"/>
        <v>77.999999999999986</v>
      </c>
      <c r="O62" s="63">
        <f t="shared" si="40"/>
        <v>3525.8768078212433</v>
      </c>
      <c r="P62" s="63">
        <f t="shared" si="40"/>
        <v>6008.433705024001</v>
      </c>
      <c r="Q62" s="63">
        <f t="shared" si="40"/>
        <v>300</v>
      </c>
      <c r="R62" s="63">
        <f t="shared" si="40"/>
        <v>440</v>
      </c>
      <c r="S62" s="63">
        <f t="shared" si="40"/>
        <v>734.36411950293348</v>
      </c>
      <c r="T62" s="65">
        <f t="shared" si="40"/>
        <v>703.99999999999989</v>
      </c>
      <c r="U62" s="68">
        <f t="shared" si="40"/>
        <v>1335.2074900053335</v>
      </c>
      <c r="V62" s="66">
        <f t="shared" si="40"/>
        <v>300</v>
      </c>
      <c r="W62" s="65">
        <f t="shared" si="40"/>
        <v>40</v>
      </c>
      <c r="X62" s="68">
        <f t="shared" si="40"/>
        <v>367.18205975146674</v>
      </c>
      <c r="Y62" s="68">
        <f t="shared" si="40"/>
        <v>734.36411950293348</v>
      </c>
      <c r="Z62" s="68">
        <f t="shared" si="40"/>
        <v>200</v>
      </c>
      <c r="AA62" s="68">
        <f t="shared" si="40"/>
        <v>300</v>
      </c>
      <c r="AB62" s="68">
        <f t="shared" si="40"/>
        <v>200</v>
      </c>
      <c r="AC62" s="68">
        <f t="shared" si="40"/>
        <v>275386.54481360002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5">
      <c r="A63" s="41" t="s">
        <v>89</v>
      </c>
      <c r="B63" s="93" t="s">
        <v>106</v>
      </c>
      <c r="C63" s="96" t="s">
        <v>107</v>
      </c>
      <c r="D63" s="95">
        <f>24716.657238+(24717*3)/100</f>
        <v>25458.167237999998</v>
      </c>
      <c r="E63" s="43">
        <v>20</v>
      </c>
      <c r="F63" s="44">
        <f t="shared" si="30"/>
        <v>33.944222984</v>
      </c>
      <c r="G63" s="44">
        <f>(D63/(150*5))/10+(D63/(150*5))/5</f>
        <v>10.183266895199999</v>
      </c>
      <c r="H63" s="45">
        <v>4</v>
      </c>
      <c r="I63" s="23">
        <v>4</v>
      </c>
      <c r="J63" s="23">
        <v>4</v>
      </c>
      <c r="K63" s="23"/>
      <c r="L63" s="23"/>
      <c r="M63" s="45">
        <f t="shared" si="22"/>
        <v>1018.3266895200001</v>
      </c>
      <c r="N63" s="45">
        <f t="shared" si="23"/>
        <v>7.8000000000000007</v>
      </c>
      <c r="O63" s="23">
        <f>(F63*2*G63+30+8+1+25)/5*2*1.1</f>
        <v>332.34351233270365</v>
      </c>
      <c r="P63" s="45">
        <f>G63*5*6*2</f>
        <v>610.99601371199992</v>
      </c>
      <c r="Q63" s="23">
        <f t="shared" si="24"/>
        <v>30</v>
      </c>
      <c r="R63" s="45">
        <f t="shared" si="25"/>
        <v>44</v>
      </c>
      <c r="S63" s="45">
        <f>F63*2*1.1</f>
        <v>74.677290564800003</v>
      </c>
      <c r="T63" s="46">
        <f t="shared" si="26"/>
        <v>70.400000000000006</v>
      </c>
      <c r="U63" s="47">
        <f>F63*2*2</f>
        <v>135.776891936</v>
      </c>
      <c r="V63" s="59">
        <f t="shared" si="27"/>
        <v>30</v>
      </c>
      <c r="W63" s="46">
        <v>4</v>
      </c>
      <c r="X63" s="47">
        <f>F63*1.1</f>
        <v>37.338645282400002</v>
      </c>
      <c r="Y63" s="47">
        <f>F63*2*1.1</f>
        <v>74.677290564800003</v>
      </c>
      <c r="Z63" s="47">
        <v>20</v>
      </c>
      <c r="AA63" s="59">
        <v>30</v>
      </c>
      <c r="AB63" s="59">
        <v>20</v>
      </c>
      <c r="AC63" s="46">
        <f>+D63*1.1</f>
        <v>28003.983961800001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5">
      <c r="A64" s="41" t="s">
        <v>89</v>
      </c>
      <c r="B64" s="93" t="s">
        <v>106</v>
      </c>
      <c r="C64" s="96" t="s">
        <v>108</v>
      </c>
      <c r="D64" s="95">
        <f>22091.980029+(22092*3)/100</f>
        <v>22754.740028999997</v>
      </c>
      <c r="E64" s="43">
        <v>20</v>
      </c>
      <c r="F64" s="44">
        <f t="shared" si="30"/>
        <v>30.339653371999997</v>
      </c>
      <c r="G64" s="44">
        <f>(D64/(150*5))/10+(D64/(150*5))/5</f>
        <v>9.1018960115999992</v>
      </c>
      <c r="H64" s="45">
        <v>4</v>
      </c>
      <c r="I64" s="23">
        <v>4</v>
      </c>
      <c r="J64" s="23">
        <v>4</v>
      </c>
      <c r="K64" s="23"/>
      <c r="L64" s="23"/>
      <c r="M64" s="45">
        <f t="shared" si="22"/>
        <v>910.18960115999994</v>
      </c>
      <c r="N64" s="45">
        <f t="shared" si="23"/>
        <v>7.8000000000000007</v>
      </c>
      <c r="O64" s="23">
        <f>(F64*2*G64+30+8+1+25)/5*2*1.1</f>
        <v>271.17056561754123</v>
      </c>
      <c r="P64" s="45">
        <f>G64*5*6*2</f>
        <v>546.11376069599987</v>
      </c>
      <c r="Q64" s="23">
        <f t="shared" si="24"/>
        <v>30</v>
      </c>
      <c r="R64" s="45">
        <f t="shared" si="25"/>
        <v>44</v>
      </c>
      <c r="S64" s="45">
        <f>F64*2*1.1</f>
        <v>66.747237418400005</v>
      </c>
      <c r="T64" s="46">
        <f t="shared" si="26"/>
        <v>70.400000000000006</v>
      </c>
      <c r="U64" s="47">
        <f>F64*2*2</f>
        <v>121.35861348799999</v>
      </c>
      <c r="V64" s="59">
        <f t="shared" si="27"/>
        <v>30</v>
      </c>
      <c r="W64" s="46">
        <v>4</v>
      </c>
      <c r="X64" s="47">
        <f>F64*1.1</f>
        <v>33.373618709200002</v>
      </c>
      <c r="Y64" s="47">
        <f>F64*2*1.1</f>
        <v>66.747237418400005</v>
      </c>
      <c r="Z64" s="47">
        <v>20</v>
      </c>
      <c r="AA64" s="59">
        <v>30</v>
      </c>
      <c r="AB64" s="59">
        <v>20</v>
      </c>
      <c r="AC64" s="46">
        <f>+D64*1.1</f>
        <v>25030.214031899999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5">
      <c r="A65" s="41" t="s">
        <v>89</v>
      </c>
      <c r="B65" s="93" t="s">
        <v>106</v>
      </c>
      <c r="C65" s="96" t="s">
        <v>109</v>
      </c>
      <c r="D65" s="95">
        <f>26089.260267+(26089*3)/100</f>
        <v>26871.930267</v>
      </c>
      <c r="E65" s="43">
        <v>20</v>
      </c>
      <c r="F65" s="44">
        <f t="shared" si="30"/>
        <v>35.829240356</v>
      </c>
      <c r="G65" s="44">
        <f>(D65/(150*5))/10+(D65/(150*5))/5</f>
        <v>10.748772106800001</v>
      </c>
      <c r="H65" s="45">
        <v>4</v>
      </c>
      <c r="I65" s="23">
        <v>4</v>
      </c>
      <c r="J65" s="23">
        <v>4</v>
      </c>
      <c r="K65" s="23"/>
      <c r="L65" s="23"/>
      <c r="M65" s="45">
        <f t="shared" si="22"/>
        <v>1074.87721068</v>
      </c>
      <c r="N65" s="45">
        <f t="shared" si="23"/>
        <v>7.8000000000000007</v>
      </c>
      <c r="O65" s="23">
        <f>(F65*2*G65+30+8+1+25)/5*2*1.1</f>
        <v>367.06589862483708</v>
      </c>
      <c r="P65" s="45">
        <f>G65*5*6*2</f>
        <v>644.92632640800002</v>
      </c>
      <c r="Q65" s="23">
        <f t="shared" si="24"/>
        <v>30</v>
      </c>
      <c r="R65" s="45">
        <f t="shared" si="25"/>
        <v>44</v>
      </c>
      <c r="S65" s="45">
        <f>F65*2*1.1</f>
        <v>78.824328783200002</v>
      </c>
      <c r="T65" s="46">
        <f t="shared" si="26"/>
        <v>70.400000000000006</v>
      </c>
      <c r="U65" s="47">
        <f>F65*2*2</f>
        <v>143.316961424</v>
      </c>
      <c r="V65" s="59">
        <f t="shared" si="27"/>
        <v>30</v>
      </c>
      <c r="W65" s="46">
        <v>4</v>
      </c>
      <c r="X65" s="47">
        <f>F65*1.1</f>
        <v>39.412164391600001</v>
      </c>
      <c r="Y65" s="47">
        <f>F65*2*1.1</f>
        <v>78.824328783200002</v>
      </c>
      <c r="Z65" s="47">
        <v>20</v>
      </c>
      <c r="AA65" s="59">
        <v>30</v>
      </c>
      <c r="AB65" s="59">
        <v>20</v>
      </c>
      <c r="AC65" s="46">
        <f>+D65*1.1</f>
        <v>29559.123293700002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5">
      <c r="A66" s="19" t="s">
        <v>89</v>
      </c>
      <c r="B66" s="98" t="s">
        <v>106</v>
      </c>
      <c r="C66" s="99" t="s">
        <v>110</v>
      </c>
      <c r="D66" s="100">
        <f>33525.734298+(33526*3)/100</f>
        <v>34531.514298000002</v>
      </c>
      <c r="E66" s="21">
        <v>20</v>
      </c>
      <c r="F66" s="22">
        <f t="shared" si="30"/>
        <v>46.042019064000002</v>
      </c>
      <c r="G66" s="22">
        <f>(D66/(150*5))/10+(D66/(150*5))/5</f>
        <v>13.8126057192</v>
      </c>
      <c r="H66" s="23">
        <v>4</v>
      </c>
      <c r="I66" s="23">
        <v>4</v>
      </c>
      <c r="J66" s="23">
        <v>4</v>
      </c>
      <c r="K66" s="23"/>
      <c r="L66" s="23"/>
      <c r="M66" s="23">
        <f t="shared" si="22"/>
        <v>1381.2605719200001</v>
      </c>
      <c r="N66" s="45">
        <f t="shared" si="23"/>
        <v>7.8000000000000007</v>
      </c>
      <c r="O66" s="23">
        <f>(F66*2*G66+30+8+1+25)/5*2*1.1</f>
        <v>587.80502514529132</v>
      </c>
      <c r="P66" s="45">
        <f>G66*5*6*2</f>
        <v>828.75634315200011</v>
      </c>
      <c r="Q66" s="23">
        <f t="shared" si="24"/>
        <v>30</v>
      </c>
      <c r="R66" s="45">
        <f t="shared" si="25"/>
        <v>44</v>
      </c>
      <c r="S66" s="45">
        <f>F66*2*1.1</f>
        <v>101.29244194080002</v>
      </c>
      <c r="T66" s="46">
        <f t="shared" si="26"/>
        <v>70.400000000000006</v>
      </c>
      <c r="U66" s="47">
        <f>F66*2*2</f>
        <v>184.16807625600001</v>
      </c>
      <c r="V66" s="59">
        <f t="shared" si="27"/>
        <v>30</v>
      </c>
      <c r="W66" s="46">
        <v>4</v>
      </c>
      <c r="X66" s="47">
        <f>F66*1.1</f>
        <v>50.646220970400009</v>
      </c>
      <c r="Y66" s="47">
        <f>F66*2*1.1</f>
        <v>101.29244194080002</v>
      </c>
      <c r="Z66" s="47">
        <v>20</v>
      </c>
      <c r="AA66" s="59">
        <v>30</v>
      </c>
      <c r="AB66" s="59">
        <v>20</v>
      </c>
      <c r="AC66" s="46">
        <f>+D66*1.1</f>
        <v>37984.665727800006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20.25" customHeight="1" x14ac:dyDescent="0.25">
      <c r="A67" s="107" t="s">
        <v>111</v>
      </c>
      <c r="B67" s="108"/>
      <c r="C67" s="101">
        <v>4</v>
      </c>
      <c r="D67" s="102">
        <f t="shared" ref="D67:AC67" si="41">SUM(D63:D66)</f>
        <v>109616.35183199999</v>
      </c>
      <c r="E67" s="33">
        <f t="shared" si="41"/>
        <v>80</v>
      </c>
      <c r="F67" s="34">
        <f t="shared" si="41"/>
        <v>146.15513577600001</v>
      </c>
      <c r="G67" s="34">
        <f t="shared" si="41"/>
        <v>43.846540732799994</v>
      </c>
      <c r="H67" s="34">
        <f t="shared" si="41"/>
        <v>16</v>
      </c>
      <c r="I67" s="34">
        <f t="shared" si="41"/>
        <v>16</v>
      </c>
      <c r="J67" s="34">
        <f t="shared" si="41"/>
        <v>16</v>
      </c>
      <c r="K67" s="34">
        <f t="shared" si="41"/>
        <v>0</v>
      </c>
      <c r="L67" s="34">
        <f t="shared" si="41"/>
        <v>0</v>
      </c>
      <c r="M67" s="34">
        <f t="shared" si="41"/>
        <v>4384.6540732800004</v>
      </c>
      <c r="N67" s="82">
        <f t="shared" si="41"/>
        <v>31.200000000000003</v>
      </c>
      <c r="O67" s="82">
        <f t="shared" si="41"/>
        <v>1558.3850017203731</v>
      </c>
      <c r="P67" s="82">
        <f t="shared" si="41"/>
        <v>2630.792443968</v>
      </c>
      <c r="Q67" s="82">
        <f t="shared" si="41"/>
        <v>120</v>
      </c>
      <c r="R67" s="82">
        <f t="shared" si="41"/>
        <v>176</v>
      </c>
      <c r="S67" s="82">
        <f t="shared" si="41"/>
        <v>321.54129870719999</v>
      </c>
      <c r="T67" s="67">
        <f t="shared" si="41"/>
        <v>281.60000000000002</v>
      </c>
      <c r="U67" s="103">
        <f t="shared" si="41"/>
        <v>584.62054310400003</v>
      </c>
      <c r="V67" s="91">
        <f t="shared" si="41"/>
        <v>120</v>
      </c>
      <c r="W67" s="67">
        <f t="shared" si="41"/>
        <v>16</v>
      </c>
      <c r="X67" s="103">
        <f t="shared" si="41"/>
        <v>160.77064935359999</v>
      </c>
      <c r="Y67" s="103">
        <f t="shared" si="41"/>
        <v>321.54129870719999</v>
      </c>
      <c r="Z67" s="103">
        <f t="shared" si="41"/>
        <v>80</v>
      </c>
      <c r="AA67" s="91">
        <f t="shared" si="41"/>
        <v>120</v>
      </c>
      <c r="AB67" s="82">
        <f t="shared" si="41"/>
        <v>80</v>
      </c>
      <c r="AC67" s="67">
        <f t="shared" si="41"/>
        <v>120577.98701520001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5">
      <c r="A68" s="109" t="s">
        <v>112</v>
      </c>
      <c r="B68" s="110"/>
      <c r="C68" s="69">
        <f>C51+C62+C67</f>
        <v>16</v>
      </c>
      <c r="D68" s="70">
        <f>+D67+D62+D51</f>
        <v>434449.07867199997</v>
      </c>
      <c r="E68" s="71" t="e">
        <f>#REF!+#REF!+E67+E62+E51</f>
        <v>#REF!</v>
      </c>
      <c r="F68" s="70" t="e">
        <f>#REF!+#REF!+F67+F62+F51</f>
        <v>#REF!</v>
      </c>
      <c r="G68" s="70" t="e">
        <f>#REF!+#REF!+G67+G62+G51</f>
        <v>#REF!</v>
      </c>
      <c r="H68" s="70" t="e">
        <f>#REF!+#REF!+H67+H62+H51</f>
        <v>#REF!</v>
      </c>
      <c r="I68" s="70" t="e">
        <f>#REF!+#REF!+I67+I62+I51</f>
        <v>#REF!</v>
      </c>
      <c r="J68" s="70" t="e">
        <f>#REF!+#REF!+J67+J62+J51</f>
        <v>#REF!</v>
      </c>
      <c r="K68" s="70" t="e">
        <f>#REF!+#REF!+K67+K62+K51</f>
        <v>#REF!</v>
      </c>
      <c r="L68" s="70" t="e">
        <f>#REF!+#REF!+L67+L62+L51</f>
        <v>#REF!</v>
      </c>
      <c r="M68" s="70">
        <f t="shared" ref="M68:AC68" si="42">+M67+M62+M51</f>
        <v>17377.96314688</v>
      </c>
      <c r="N68" s="70">
        <f t="shared" si="42"/>
        <v>124.79999999999998</v>
      </c>
      <c r="O68" s="70">
        <f t="shared" si="42"/>
        <v>6579.6115517012749</v>
      </c>
      <c r="P68" s="70">
        <f t="shared" si="42"/>
        <v>10426.777888128001</v>
      </c>
      <c r="Q68" s="70">
        <f t="shared" si="42"/>
        <v>480</v>
      </c>
      <c r="R68" s="70">
        <f t="shared" si="42"/>
        <v>704</v>
      </c>
      <c r="S68" s="70">
        <f t="shared" si="42"/>
        <v>1274.3839641045336</v>
      </c>
      <c r="T68" s="70">
        <f t="shared" si="42"/>
        <v>1126.3999999999999</v>
      </c>
      <c r="U68" s="70">
        <f t="shared" si="42"/>
        <v>2317.0617529173333</v>
      </c>
      <c r="V68" s="70">
        <f t="shared" si="42"/>
        <v>480</v>
      </c>
      <c r="W68" s="70">
        <f t="shared" si="42"/>
        <v>64</v>
      </c>
      <c r="X68" s="70">
        <f t="shared" si="42"/>
        <v>637.19198205226678</v>
      </c>
      <c r="Y68" s="70">
        <f t="shared" si="42"/>
        <v>1274.3839641045336</v>
      </c>
      <c r="Z68" s="70">
        <f t="shared" si="42"/>
        <v>320</v>
      </c>
      <c r="AA68" s="70">
        <f t="shared" si="42"/>
        <v>480</v>
      </c>
      <c r="AB68" s="70">
        <f t="shared" si="42"/>
        <v>320</v>
      </c>
      <c r="AC68" s="70">
        <f t="shared" si="42"/>
        <v>477893.98653920006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24" customHeight="1" x14ac:dyDescent="0.25">
      <c r="A69" s="111" t="s">
        <v>113</v>
      </c>
      <c r="B69" s="112"/>
      <c r="C69" s="104">
        <f>C68+C48+C44+C28+C15</f>
        <v>41</v>
      </c>
      <c r="D69" s="104">
        <f t="shared" ref="D69:AC69" si="43">D68+D48+D44+D28+D15</f>
        <v>1276629.9063750796</v>
      </c>
      <c r="E69" s="104" t="e">
        <f t="shared" si="43"/>
        <v>#REF!</v>
      </c>
      <c r="F69" s="104" t="e">
        <f t="shared" si="43"/>
        <v>#REF!</v>
      </c>
      <c r="G69" s="104" t="e">
        <f t="shared" si="43"/>
        <v>#REF!</v>
      </c>
      <c r="H69" s="104" t="e">
        <f t="shared" si="43"/>
        <v>#REF!</v>
      </c>
      <c r="I69" s="104" t="e">
        <f t="shared" si="43"/>
        <v>#REF!</v>
      </c>
      <c r="J69" s="104" t="e">
        <f t="shared" si="43"/>
        <v>#REF!</v>
      </c>
      <c r="K69" s="104" t="e">
        <f t="shared" si="43"/>
        <v>#REF!</v>
      </c>
      <c r="L69" s="104" t="e">
        <f t="shared" si="43"/>
        <v>#REF!</v>
      </c>
      <c r="M69" s="104">
        <f t="shared" si="43"/>
        <v>50002.572723003192</v>
      </c>
      <c r="N69" s="104">
        <f t="shared" si="43"/>
        <v>319.8</v>
      </c>
      <c r="O69" s="104">
        <f t="shared" si="43"/>
        <v>22849.44321321501</v>
      </c>
      <c r="P69" s="104">
        <f t="shared" si="43"/>
        <v>30001.543633801914</v>
      </c>
      <c r="Q69" s="104">
        <f t="shared" si="43"/>
        <v>1230</v>
      </c>
      <c r="R69" s="104">
        <f t="shared" si="43"/>
        <v>1760</v>
      </c>
      <c r="S69" s="104">
        <f t="shared" si="43"/>
        <v>3666.855333020234</v>
      </c>
      <c r="T69" s="104">
        <f t="shared" si="43"/>
        <v>2816</v>
      </c>
      <c r="U69" s="104">
        <f t="shared" si="43"/>
        <v>6596.1681276004256</v>
      </c>
      <c r="V69" s="104">
        <f t="shared" si="43"/>
        <v>1200</v>
      </c>
      <c r="W69" s="104">
        <f t="shared" si="43"/>
        <v>164</v>
      </c>
      <c r="X69" s="104">
        <f t="shared" si="43"/>
        <v>1872.390529350117</v>
      </c>
      <c r="Y69" s="104">
        <f t="shared" si="43"/>
        <v>3666.855333020234</v>
      </c>
      <c r="Z69" s="104">
        <f t="shared" si="43"/>
        <v>800</v>
      </c>
      <c r="AA69" s="104">
        <f t="shared" si="43"/>
        <v>1200</v>
      </c>
      <c r="AB69" s="104">
        <f t="shared" si="43"/>
        <v>800</v>
      </c>
      <c r="AC69" s="104">
        <f t="shared" si="43"/>
        <v>1404292.8970125876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0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05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05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05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5">
      <c r="A73" s="1"/>
      <c r="B73" s="1"/>
      <c r="C73" s="1"/>
      <c r="D73" s="10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05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05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05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05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05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05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05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05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05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05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05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05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05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05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05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05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05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05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05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05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05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05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05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05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05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05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05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05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05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05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05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05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05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05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05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05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05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05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05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05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05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05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05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05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05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05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05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05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05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05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05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05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05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05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05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05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05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05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05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05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05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05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05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05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05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05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05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05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05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05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05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05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05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05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05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05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05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05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05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05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05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05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05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05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05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05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05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05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05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05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05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05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05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05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05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05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05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05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05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05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05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05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05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05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05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05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05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05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05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05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05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05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05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05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05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05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05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05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05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05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05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05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05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05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05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05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05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05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05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05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05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05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05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05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05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05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05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05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05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05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05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05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05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05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05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05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05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05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05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05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05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05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05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05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05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05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05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05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05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05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05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05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05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05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05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05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05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05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05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05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05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05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05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05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05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05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05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05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05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05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05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05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05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05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05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05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05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05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05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05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0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0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0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0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0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0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0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0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0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05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05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05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05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05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05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05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05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05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05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05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05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05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05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05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05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05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05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05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05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05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05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05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05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05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05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05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05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05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05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05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05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05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05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05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05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05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05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05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05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05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05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05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05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05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05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05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05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05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05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05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05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05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05"/>
    </row>
  </sheetData>
  <mergeCells count="21">
    <mergeCell ref="A27:B27"/>
    <mergeCell ref="A2:C2"/>
    <mergeCell ref="A3:C3"/>
    <mergeCell ref="E5:AC5"/>
    <mergeCell ref="A6:B6"/>
    <mergeCell ref="A8:B8"/>
    <mergeCell ref="A10:B10"/>
    <mergeCell ref="A12:B12"/>
    <mergeCell ref="A14:B14"/>
    <mergeCell ref="A15:B15"/>
    <mergeCell ref="A19:B19"/>
    <mergeCell ref="A25:B25"/>
    <mergeCell ref="A67:B67"/>
    <mergeCell ref="A68:B68"/>
    <mergeCell ref="A69:B69"/>
    <mergeCell ref="A28:B28"/>
    <mergeCell ref="A32:B32"/>
    <mergeCell ref="A44:B44"/>
    <mergeCell ref="A48:B48"/>
    <mergeCell ref="A51:B51"/>
    <mergeCell ref="A62:B62"/>
  </mergeCells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UNICEF</dc:creator>
  <cp:lastModifiedBy>Adele Basisulua</cp:lastModifiedBy>
  <dcterms:created xsi:type="dcterms:W3CDTF">2014-05-12T14:57:29Z</dcterms:created>
  <dcterms:modified xsi:type="dcterms:W3CDTF">2014-05-12T15:29:46Z</dcterms:modified>
</cp:coreProperties>
</file>