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20895" windowHeight="10680" activeTab="2"/>
  </bookViews>
  <sheets>
    <sheet name="7" sheetId="1" r:id="rId1"/>
    <sheet name="8" sheetId="2" r:id="rId2"/>
    <sheet name="Sheet1" sheetId="3" r:id="rId3"/>
  </sheets>
  <calcPr calcId="124519"/>
</workbook>
</file>

<file path=xl/calcChain.xml><?xml version="1.0" encoding="utf-8"?>
<calcChain xmlns="http://schemas.openxmlformats.org/spreadsheetml/2006/main">
  <c r="K8" i="3"/>
  <c r="L8" s="1"/>
  <c r="M8" s="1"/>
  <c r="N8" s="1"/>
  <c r="D8"/>
  <c r="E8" s="1"/>
  <c r="P10"/>
  <c r="K9"/>
  <c r="L9" s="1"/>
  <c r="M9" s="1"/>
  <c r="N9" s="1"/>
  <c r="E9"/>
  <c r="D9"/>
  <c r="K7"/>
  <c r="L7" s="1"/>
  <c r="M7" s="1"/>
  <c r="N7" s="1"/>
  <c r="E7"/>
  <c r="D7"/>
  <c r="K6"/>
  <c r="L6" s="1"/>
  <c r="M6" s="1"/>
  <c r="N6" s="1"/>
  <c r="E6"/>
  <c r="D6"/>
  <c r="K5"/>
  <c r="L5" s="1"/>
  <c r="M5" s="1"/>
  <c r="N5" s="1"/>
  <c r="E5"/>
  <c r="D5"/>
  <c r="K4"/>
  <c r="L4" s="1"/>
  <c r="M4" s="1"/>
  <c r="N4" s="1"/>
  <c r="E4"/>
  <c r="D4"/>
  <c r="K3"/>
  <c r="D3"/>
  <c r="E3" s="1"/>
  <c r="F15" i="2"/>
  <c r="G15" s="1"/>
  <c r="H15" s="1"/>
  <c r="F14"/>
  <c r="G14" s="1"/>
  <c r="H14" s="1"/>
  <c r="F13"/>
  <c r="G13" s="1"/>
  <c r="H13" s="1"/>
  <c r="F12"/>
  <c r="G12" s="1"/>
  <c r="H12" s="1"/>
  <c r="F11"/>
  <c r="G11" s="1"/>
  <c r="H11" s="1"/>
  <c r="F10"/>
  <c r="G10" s="1"/>
  <c r="H10" s="1"/>
  <c r="F9"/>
  <c r="G9" s="1"/>
  <c r="H9" s="1"/>
  <c r="F8"/>
  <c r="G8" s="1"/>
  <c r="H8" s="1"/>
  <c r="F7"/>
  <c r="G7" s="1"/>
  <c r="H7" s="1"/>
  <c r="F6"/>
  <c r="G6" s="1"/>
  <c r="H6" s="1"/>
  <c r="F5"/>
  <c r="G5" s="1"/>
  <c r="H5" s="1"/>
  <c r="F4"/>
  <c r="G4"/>
  <c r="H4"/>
  <c r="V3"/>
  <c r="S3"/>
  <c r="M15"/>
  <c r="M14"/>
  <c r="M13"/>
  <c r="M12"/>
  <c r="M11"/>
  <c r="M10"/>
  <c r="M9"/>
  <c r="M8"/>
  <c r="M7"/>
  <c r="M6"/>
  <c r="M5"/>
  <c r="M4"/>
  <c r="N4" s="1"/>
  <c r="O3" i="1"/>
  <c r="O4" s="1"/>
  <c r="O5" s="1"/>
  <c r="O6" s="1"/>
  <c r="O7" s="1"/>
  <c r="O8" s="1"/>
  <c r="O9" s="1"/>
  <c r="O10" s="1"/>
  <c r="O11" s="1"/>
  <c r="R3"/>
  <c r="J4"/>
  <c r="K4"/>
  <c r="L4"/>
  <c r="N4"/>
  <c r="Q4"/>
  <c r="R4"/>
  <c r="J5"/>
  <c r="K5"/>
  <c r="L5"/>
  <c r="N5"/>
  <c r="Q5"/>
  <c r="R5"/>
  <c r="J6"/>
  <c r="K6"/>
  <c r="L6"/>
  <c r="N6"/>
  <c r="Q6"/>
  <c r="R6"/>
  <c r="J7"/>
  <c r="K7"/>
  <c r="L7"/>
  <c r="N7"/>
  <c r="Q7"/>
  <c r="R7"/>
  <c r="J8"/>
  <c r="K8"/>
  <c r="L8"/>
  <c r="N8"/>
  <c r="Q8"/>
  <c r="R8"/>
  <c r="J9"/>
  <c r="K9"/>
  <c r="L9"/>
  <c r="N9"/>
  <c r="Q9"/>
  <c r="R9"/>
  <c r="J10"/>
  <c r="K10"/>
  <c r="L10"/>
  <c r="N10"/>
  <c r="Q10"/>
  <c r="R10"/>
  <c r="J11"/>
  <c r="K11"/>
  <c r="L11"/>
  <c r="N11"/>
  <c r="Q11"/>
  <c r="R11"/>
  <c r="R12"/>
  <c r="R13"/>
  <c r="J14"/>
  <c r="K14"/>
  <c r="L14"/>
  <c r="N14"/>
  <c r="Q14"/>
  <c r="R14"/>
  <c r="J15"/>
  <c r="K15"/>
  <c r="L15"/>
  <c r="N15"/>
  <c r="Q15"/>
  <c r="R15"/>
  <c r="J16"/>
  <c r="K16"/>
  <c r="L16"/>
  <c r="N16"/>
  <c r="Q16"/>
  <c r="R16"/>
  <c r="J17"/>
  <c r="K17"/>
  <c r="L17"/>
  <c r="N17"/>
  <c r="Q17"/>
  <c r="R17"/>
  <c r="R18"/>
  <c r="Q19"/>
  <c r="R19"/>
  <c r="O8" i="3" l="1"/>
  <c r="Q8" s="1"/>
  <c r="T8" s="1"/>
  <c r="O9"/>
  <c r="Q9" s="1"/>
  <c r="T9" s="1"/>
  <c r="O7"/>
  <c r="Q7" s="1"/>
  <c r="T7" s="1"/>
  <c r="O6"/>
  <c r="Q6" s="1"/>
  <c r="T6" s="1"/>
  <c r="O5"/>
  <c r="Q5" s="1"/>
  <c r="T5" s="1"/>
  <c r="O4"/>
  <c r="Q4" s="1"/>
  <c r="L3"/>
  <c r="M3" s="1"/>
  <c r="N3" s="1"/>
  <c r="N5" i="2"/>
  <c r="N6"/>
  <c r="N7"/>
  <c r="N8"/>
  <c r="N9"/>
  <c r="N10"/>
  <c r="N11"/>
  <c r="N12"/>
  <c r="N13"/>
  <c r="N14"/>
  <c r="N15"/>
  <c r="P4"/>
  <c r="R4" s="1"/>
  <c r="U4" s="1"/>
  <c r="P5"/>
  <c r="R5" s="1"/>
  <c r="U5" s="1"/>
  <c r="P6"/>
  <c r="R6" s="1"/>
  <c r="U6" s="1"/>
  <c r="P7"/>
  <c r="R7" s="1"/>
  <c r="U7" s="1"/>
  <c r="P8"/>
  <c r="R8" s="1"/>
  <c r="U8" s="1"/>
  <c r="P9"/>
  <c r="R9" s="1"/>
  <c r="U9" s="1"/>
  <c r="P10"/>
  <c r="R10" s="1"/>
  <c r="U10" s="1"/>
  <c r="P11"/>
  <c r="R11" s="1"/>
  <c r="U11" s="1"/>
  <c r="P12"/>
  <c r="R12" s="1"/>
  <c r="P13"/>
  <c r="R13" s="1"/>
  <c r="P14"/>
  <c r="R14" s="1"/>
  <c r="P15"/>
  <c r="R15" s="1"/>
  <c r="S4"/>
  <c r="V4"/>
  <c r="V5" s="1"/>
  <c r="V6" s="1"/>
  <c r="V7" s="1"/>
  <c r="V8" s="1"/>
  <c r="V9" s="1"/>
  <c r="V10" s="1"/>
  <c r="V11" s="1"/>
  <c r="S5"/>
  <c r="S6"/>
  <c r="S7" s="1"/>
  <c r="S8" s="1"/>
  <c r="S9" s="1"/>
  <c r="S10" s="1"/>
  <c r="S11" s="1"/>
  <c r="S12" s="1"/>
  <c r="S13" s="1"/>
  <c r="S14" s="1"/>
  <c r="S15" s="1"/>
  <c r="U15"/>
  <c r="O15"/>
  <c r="U14"/>
  <c r="O14"/>
  <c r="U13"/>
  <c r="O13"/>
  <c r="U12"/>
  <c r="O12"/>
  <c r="O4"/>
  <c r="O5"/>
  <c r="O6"/>
  <c r="O7"/>
  <c r="O8"/>
  <c r="O9"/>
  <c r="O10"/>
  <c r="O11"/>
  <c r="T4" i="3" l="1"/>
  <c r="O3"/>
  <c r="V12" i="2"/>
  <c r="V13"/>
  <c r="V14"/>
  <c r="V15" s="1"/>
  <c r="V16" s="1"/>
  <c r="V17" s="1"/>
  <c r="Q3" i="3" l="1"/>
  <c r="R3" s="1"/>
  <c r="R4" s="1"/>
  <c r="R5" s="1"/>
  <c r="R6" s="1"/>
  <c r="R8" l="1"/>
  <c r="R7"/>
  <c r="R9" s="1"/>
  <c r="T3"/>
  <c r="Q10"/>
  <c r="T10" l="1"/>
  <c r="T14" s="1"/>
  <c r="U3"/>
  <c r="U4" s="1"/>
  <c r="U5" s="1"/>
  <c r="U6" s="1"/>
  <c r="U7"/>
  <c r="U9" s="1"/>
  <c r="U8"/>
</calcChain>
</file>

<file path=xl/sharedStrings.xml><?xml version="1.0" encoding="utf-8"?>
<sst xmlns="http://schemas.openxmlformats.org/spreadsheetml/2006/main" count="139" uniqueCount="58">
  <si>
    <t>From</t>
  </si>
  <si>
    <t>To</t>
  </si>
  <si>
    <t>Alt</t>
  </si>
  <si>
    <t>CAS</t>
  </si>
  <si>
    <t>Temp</t>
  </si>
  <si>
    <t>TAS</t>
  </si>
  <si>
    <t>Track</t>
  </si>
  <si>
    <t>WD</t>
  </si>
  <si>
    <t>WS</t>
  </si>
  <si>
    <t>Hdg</t>
  </si>
  <si>
    <t>GS</t>
  </si>
  <si>
    <t>Dist</t>
  </si>
  <si>
    <t>Time</t>
  </si>
  <si>
    <t>Cons</t>
  </si>
  <si>
    <t>Zone</t>
  </si>
  <si>
    <t>Total</t>
  </si>
  <si>
    <t>WCA</t>
  </si>
  <si>
    <t>HK</t>
  </si>
  <si>
    <t>TOC</t>
  </si>
  <si>
    <t>NS</t>
  </si>
  <si>
    <t>NP</t>
  </si>
  <si>
    <t>KABAS</t>
  </si>
  <si>
    <t>AA</t>
  </si>
  <si>
    <t>UKAPA</t>
  </si>
  <si>
    <t>TOD</t>
  </si>
  <si>
    <t>KT</t>
  </si>
  <si>
    <t>Instrument Approach</t>
  </si>
  <si>
    <t>Missed Approach</t>
  </si>
  <si>
    <t>Holding</t>
  </si>
  <si>
    <t>Set heading</t>
  </si>
  <si>
    <t>ETA</t>
  </si>
  <si>
    <t>ETD</t>
  </si>
  <si>
    <t>KK</t>
  </si>
  <si>
    <t>SF</t>
  </si>
  <si>
    <t>MASSY</t>
  </si>
  <si>
    <t>OT</t>
  </si>
  <si>
    <t>WDM</t>
  </si>
  <si>
    <t>Var</t>
  </si>
  <si>
    <t>WDT</t>
  </si>
  <si>
    <t>WI</t>
  </si>
  <si>
    <t>POKOM</t>
  </si>
  <si>
    <t>OR</t>
  </si>
  <si>
    <t>MEVAX</t>
  </si>
  <si>
    <t>Instrument approach</t>
  </si>
  <si>
    <t>Px</t>
  </si>
  <si>
    <t>Mach</t>
  </si>
  <si>
    <t>AR</t>
  </si>
  <si>
    <t>RA</t>
  </si>
  <si>
    <t>HdgM</t>
  </si>
  <si>
    <t>HdgT</t>
  </si>
  <si>
    <t>Reserve</t>
  </si>
  <si>
    <t>Unusable</t>
  </si>
  <si>
    <t>Taxi</t>
  </si>
  <si>
    <t>Subtotal</t>
  </si>
  <si>
    <t>TS</t>
  </si>
  <si>
    <t>TM</t>
  </si>
  <si>
    <t>AP</t>
  </si>
  <si>
    <t>HN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</si>
</sst>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hh:mm:ss;@"/>
  </numFmts>
  <fonts count="4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" fillId="2" borderId="1" xfId="1" applyNumberFormat="1"/>
    <xf numFmtId="164" fontId="1" fillId="2" borderId="1" xfId="1" applyNumberFormat="1"/>
    <xf numFmtId="165" fontId="1" fillId="2" borderId="1" xfId="1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3" fillId="0" borderId="3" xfId="3"/>
    <xf numFmtId="1" fontId="3" fillId="0" borderId="3" xfId="3" applyNumberFormat="1"/>
    <xf numFmtId="0" fontId="2" fillId="0" borderId="2" xfId="2"/>
    <xf numFmtId="0" fontId="2" fillId="0" borderId="2" xfId="2" applyAlignment="1">
      <alignment horizontal="right"/>
    </xf>
  </cellXfs>
  <cellStyles count="4">
    <cellStyle name="Heading 3" xfId="2" builtinId="18"/>
    <cellStyle name="Normal" xfId="0" builtinId="0"/>
    <cellStyle name="Output" xfId="1" builtinId="21"/>
    <cellStyle name="Total" xfId="3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workbookViewId="0">
      <selection activeCell="L10" sqref="A1:R19"/>
    </sheetView>
  </sheetViews>
  <sheetFormatPr defaultColWidth="8.7109375" defaultRowHeight="15"/>
  <sheetData>
    <row r="1" spans="1:18">
      <c r="A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16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30</v>
      </c>
      <c r="P1" s="7" t="s">
        <v>13</v>
      </c>
      <c r="Q1" s="7" t="s">
        <v>14</v>
      </c>
      <c r="R1" s="7" t="s">
        <v>15</v>
      </c>
    </row>
    <row r="2" spans="1:18">
      <c r="A2" t="s">
        <v>31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">
        <v>0.55208333333333337</v>
      </c>
      <c r="P2" s="7"/>
      <c r="Q2" s="7"/>
      <c r="R2" s="7"/>
    </row>
    <row r="3" spans="1:18">
      <c r="A3" t="s">
        <v>29</v>
      </c>
      <c r="N3">
        <v>5</v>
      </c>
      <c r="O3" s="5">
        <f>O2+TIME(0, N3, MOD(N3, 1)*60)</f>
        <v>0.55555555555555558</v>
      </c>
      <c r="Q3">
        <v>87</v>
      </c>
      <c r="R3">
        <f>Q3</f>
        <v>87</v>
      </c>
    </row>
    <row r="4" spans="1:18">
      <c r="A4" t="s">
        <v>17</v>
      </c>
      <c r="B4" t="s">
        <v>18</v>
      </c>
      <c r="C4" s="1">
        <v>13000</v>
      </c>
      <c r="D4" s="1">
        <v>140</v>
      </c>
      <c r="E4" s="1">
        <v>-11</v>
      </c>
      <c r="F4" s="1">
        <v>171</v>
      </c>
      <c r="G4" s="1">
        <v>28</v>
      </c>
      <c r="H4" s="1">
        <v>252</v>
      </c>
      <c r="I4" s="1">
        <v>39</v>
      </c>
      <c r="J4" s="3">
        <f t="shared" ref="J4:J11" si="0">DEGREES(ASIN(SIN(RADIANS(H4-G4))*I4/F4))</f>
        <v>-9.1158292438562132</v>
      </c>
      <c r="K4" s="3">
        <f t="shared" ref="K4:K7" si="1">IF(G4+J4&lt;0,360+G4+J4,G4+J4)</f>
        <v>18.884170756143789</v>
      </c>
      <c r="L4" s="3">
        <f t="shared" ref="L4:L11" si="2">SQRT(F4^2+I4^2-2*F4*I4*COS(RADIANS(H4-G4-J4)))</f>
        <v>196.89453492809227</v>
      </c>
      <c r="M4" s="1">
        <v>39</v>
      </c>
      <c r="N4" s="4">
        <f>ROUND(M4/(L4/60)*2, 0)/2</f>
        <v>12</v>
      </c>
      <c r="O4" s="5">
        <f t="shared" ref="O4:O11" si="3">O3+TIME(0, N4, MOD(N4, 1)*60)</f>
        <v>0.56388888888888888</v>
      </c>
      <c r="P4">
        <v>764</v>
      </c>
      <c r="Q4" s="3">
        <f t="shared" ref="Q4:Q11" si="4">P4/60*N4</f>
        <v>152.79999999999998</v>
      </c>
      <c r="R4" s="3">
        <f t="shared" ref="R4:R19" si="5">R3+Q4</f>
        <v>239.79999999999998</v>
      </c>
    </row>
    <row r="5" spans="1:18">
      <c r="A5" t="s">
        <v>18</v>
      </c>
      <c r="B5" t="s">
        <v>19</v>
      </c>
      <c r="C5" s="1">
        <v>19000</v>
      </c>
      <c r="D5" s="1">
        <v>170</v>
      </c>
      <c r="E5" s="1">
        <v>-24</v>
      </c>
      <c r="F5" s="1">
        <v>228</v>
      </c>
      <c r="G5" s="1">
        <v>28</v>
      </c>
      <c r="H5" s="1">
        <v>248</v>
      </c>
      <c r="I5" s="1">
        <v>51</v>
      </c>
      <c r="J5" s="3">
        <f t="shared" si="0"/>
        <v>-8.2667213897157588</v>
      </c>
      <c r="K5" s="3">
        <f t="shared" si="1"/>
        <v>19.733278610284241</v>
      </c>
      <c r="L5" s="3">
        <f t="shared" si="2"/>
        <v>264.69922514655053</v>
      </c>
      <c r="M5" s="1">
        <v>94</v>
      </c>
      <c r="N5" s="4">
        <f t="shared" ref="N5:N17" si="6">ROUND(M5/(L5/60)*2, 0)/2</f>
        <v>21.5</v>
      </c>
      <c r="O5" s="5">
        <f t="shared" si="3"/>
        <v>0.57881944444444444</v>
      </c>
      <c r="P5">
        <v>660</v>
      </c>
      <c r="Q5" s="3">
        <f t="shared" si="4"/>
        <v>236.5</v>
      </c>
      <c r="R5" s="3">
        <f t="shared" si="5"/>
        <v>476.29999999999995</v>
      </c>
    </row>
    <row r="6" spans="1:18">
      <c r="A6" t="s">
        <v>19</v>
      </c>
      <c r="B6" t="s">
        <v>20</v>
      </c>
      <c r="C6" s="1">
        <v>19000</v>
      </c>
      <c r="D6" s="1">
        <v>170</v>
      </c>
      <c r="E6" s="1">
        <v>-24</v>
      </c>
      <c r="F6" s="1">
        <v>228</v>
      </c>
      <c r="G6" s="1">
        <v>356</v>
      </c>
      <c r="H6" s="1">
        <v>249</v>
      </c>
      <c r="I6" s="1">
        <v>51</v>
      </c>
      <c r="J6" s="3">
        <f t="shared" si="0"/>
        <v>-12.351603356395419</v>
      </c>
      <c r="K6" s="3">
        <f t="shared" si="1"/>
        <v>343.6483966436046</v>
      </c>
      <c r="L6" s="3">
        <f t="shared" si="2"/>
        <v>237.63351223531592</v>
      </c>
      <c r="M6" s="1">
        <v>144</v>
      </c>
      <c r="N6" s="4">
        <f t="shared" si="6"/>
        <v>36.5</v>
      </c>
      <c r="O6" s="5">
        <f t="shared" si="3"/>
        <v>0.60416666666666663</v>
      </c>
      <c r="P6">
        <v>660</v>
      </c>
      <c r="Q6" s="3">
        <f t="shared" si="4"/>
        <v>401.5</v>
      </c>
      <c r="R6" s="3">
        <f t="shared" si="5"/>
        <v>877.8</v>
      </c>
    </row>
    <row r="7" spans="1:18">
      <c r="A7" t="s">
        <v>20</v>
      </c>
      <c r="B7" t="s">
        <v>21</v>
      </c>
      <c r="C7" s="1">
        <v>19000</v>
      </c>
      <c r="D7" s="1">
        <v>170</v>
      </c>
      <c r="E7" s="1">
        <v>-18</v>
      </c>
      <c r="F7" s="1">
        <v>231</v>
      </c>
      <c r="G7" s="1">
        <v>347</v>
      </c>
      <c r="H7" s="1">
        <v>230</v>
      </c>
      <c r="I7" s="1">
        <v>39</v>
      </c>
      <c r="J7" s="3">
        <f t="shared" si="0"/>
        <v>-8.6518275455536919</v>
      </c>
      <c r="K7" s="3">
        <f t="shared" si="1"/>
        <v>338.34817245444628</v>
      </c>
      <c r="L7" s="3">
        <f t="shared" si="2"/>
        <v>246.07701411504351</v>
      </c>
      <c r="M7" s="1">
        <v>74</v>
      </c>
      <c r="N7" s="4">
        <f t="shared" si="6"/>
        <v>18</v>
      </c>
      <c r="O7" s="5">
        <f t="shared" si="3"/>
        <v>0.61666666666666659</v>
      </c>
      <c r="P7">
        <v>660</v>
      </c>
      <c r="Q7" s="3">
        <f t="shared" si="4"/>
        <v>198</v>
      </c>
      <c r="R7" s="3">
        <f t="shared" si="5"/>
        <v>1075.8</v>
      </c>
    </row>
    <row r="8" spans="1:18">
      <c r="A8" t="s">
        <v>21</v>
      </c>
      <c r="B8" t="s">
        <v>22</v>
      </c>
      <c r="C8" s="1">
        <v>19000</v>
      </c>
      <c r="D8" s="1">
        <v>170</v>
      </c>
      <c r="E8" s="1">
        <v>-18</v>
      </c>
      <c r="F8" s="1">
        <v>231</v>
      </c>
      <c r="G8" s="1">
        <v>2</v>
      </c>
      <c r="H8" s="1">
        <v>230</v>
      </c>
      <c r="I8" s="1">
        <v>39</v>
      </c>
      <c r="J8" s="3">
        <f t="shared" si="0"/>
        <v>-7.207668029554064</v>
      </c>
      <c r="K8" s="3">
        <f>IF(G8+J8&lt;0,360+G8+J8,G8+J8)</f>
        <v>354.79233197044596</v>
      </c>
      <c r="L8" s="3">
        <f t="shared" si="2"/>
        <v>255.2707128877467</v>
      </c>
      <c r="M8" s="1">
        <v>50</v>
      </c>
      <c r="N8" s="4">
        <f t="shared" si="6"/>
        <v>12</v>
      </c>
      <c r="O8" s="5">
        <f t="shared" si="3"/>
        <v>0.62499999999999989</v>
      </c>
      <c r="P8">
        <v>660</v>
      </c>
      <c r="Q8" s="3">
        <f t="shared" si="4"/>
        <v>132</v>
      </c>
      <c r="R8" s="3">
        <f t="shared" si="5"/>
        <v>1207.8</v>
      </c>
    </row>
    <row r="9" spans="1:18">
      <c r="A9" t="s">
        <v>22</v>
      </c>
      <c r="B9" t="s">
        <v>23</v>
      </c>
      <c r="C9" s="1">
        <v>19000</v>
      </c>
      <c r="D9" s="1">
        <v>170</v>
      </c>
      <c r="E9" s="1">
        <v>-18</v>
      </c>
      <c r="F9" s="1">
        <v>231</v>
      </c>
      <c r="G9" s="1">
        <v>307</v>
      </c>
      <c r="H9" s="1">
        <v>230</v>
      </c>
      <c r="I9" s="1">
        <v>39</v>
      </c>
      <c r="J9" s="3">
        <f t="shared" si="0"/>
        <v>-9.4684241844999466</v>
      </c>
      <c r="K9" s="3">
        <f t="shared" ref="K9:K17" si="7">IF(G9+J9&lt;0,360+G9+J9,G9+J9)</f>
        <v>297.53157581550005</v>
      </c>
      <c r="L9" s="3">
        <f t="shared" si="2"/>
        <v>219.07985954787705</v>
      </c>
      <c r="M9" s="1">
        <v>51</v>
      </c>
      <c r="N9" s="4">
        <f t="shared" si="6"/>
        <v>14</v>
      </c>
      <c r="O9" s="5">
        <f t="shared" si="3"/>
        <v>0.63472222222222208</v>
      </c>
      <c r="P9">
        <v>660</v>
      </c>
      <c r="Q9" s="3">
        <f t="shared" si="4"/>
        <v>154</v>
      </c>
      <c r="R9" s="3">
        <f t="shared" si="5"/>
        <v>1361.8</v>
      </c>
    </row>
    <row r="10" spans="1:18">
      <c r="A10" t="s">
        <v>23</v>
      </c>
      <c r="B10" t="s">
        <v>24</v>
      </c>
      <c r="C10" s="1">
        <v>19000</v>
      </c>
      <c r="D10" s="1">
        <v>170</v>
      </c>
      <c r="E10" s="1">
        <v>-18</v>
      </c>
      <c r="F10" s="1">
        <v>231</v>
      </c>
      <c r="G10" s="1">
        <v>308</v>
      </c>
      <c r="H10" s="1">
        <v>230</v>
      </c>
      <c r="I10" s="1">
        <v>39</v>
      </c>
      <c r="J10" s="3">
        <f t="shared" si="0"/>
        <v>-9.5054721732589957</v>
      </c>
      <c r="K10" s="3">
        <f t="shared" si="7"/>
        <v>298.49452782674098</v>
      </c>
      <c r="L10" s="3">
        <f t="shared" si="2"/>
        <v>219.71977565771948</v>
      </c>
      <c r="M10" s="1">
        <v>51</v>
      </c>
      <c r="N10" s="4">
        <f t="shared" si="6"/>
        <v>14</v>
      </c>
      <c r="O10" s="5">
        <f t="shared" si="3"/>
        <v>0.64444444444444426</v>
      </c>
      <c r="P10">
        <v>660</v>
      </c>
      <c r="Q10" s="3">
        <f t="shared" si="4"/>
        <v>154</v>
      </c>
      <c r="R10" s="3">
        <f t="shared" si="5"/>
        <v>1515.8</v>
      </c>
    </row>
    <row r="11" spans="1:18">
      <c r="A11" t="s">
        <v>24</v>
      </c>
      <c r="B11" t="s">
        <v>25</v>
      </c>
      <c r="C11" s="1">
        <v>11000</v>
      </c>
      <c r="D11" s="1">
        <v>200</v>
      </c>
      <c r="E11" s="1">
        <v>-2</v>
      </c>
      <c r="F11" s="1">
        <v>238</v>
      </c>
      <c r="G11" s="1">
        <v>308</v>
      </c>
      <c r="H11" s="1">
        <v>250</v>
      </c>
      <c r="I11" s="1">
        <v>24</v>
      </c>
      <c r="J11" s="3">
        <f t="shared" si="0"/>
        <v>-4.9057812092399153</v>
      </c>
      <c r="K11" s="3">
        <f t="shared" si="7"/>
        <v>303.09421879076007</v>
      </c>
      <c r="L11" s="3">
        <f t="shared" si="2"/>
        <v>224.41006570255718</v>
      </c>
      <c r="M11" s="1">
        <v>39</v>
      </c>
      <c r="N11" s="4">
        <f t="shared" si="6"/>
        <v>10.5</v>
      </c>
      <c r="O11" s="5">
        <f t="shared" si="3"/>
        <v>0.65173611111111096</v>
      </c>
      <c r="P11">
        <v>500</v>
      </c>
      <c r="Q11" s="3">
        <f t="shared" si="4"/>
        <v>87.5</v>
      </c>
      <c r="R11" s="3">
        <f t="shared" si="5"/>
        <v>1603.3</v>
      </c>
    </row>
    <row r="12" spans="1:18">
      <c r="A12" t="s">
        <v>26</v>
      </c>
      <c r="C12" s="1"/>
      <c r="D12" s="1"/>
      <c r="E12" s="1"/>
      <c r="F12" s="1"/>
      <c r="G12" s="1"/>
      <c r="H12" s="1"/>
      <c r="I12" s="1"/>
      <c r="Q12">
        <v>157</v>
      </c>
      <c r="R12" s="3">
        <f t="shared" si="5"/>
        <v>1760.3</v>
      </c>
    </row>
    <row r="13" spans="1:18">
      <c r="A13" t="s">
        <v>27</v>
      </c>
      <c r="C13" s="1"/>
      <c r="D13" s="1"/>
      <c r="E13" s="1"/>
      <c r="F13" s="1"/>
      <c r="G13" s="1"/>
      <c r="H13" s="1"/>
      <c r="I13" s="1"/>
      <c r="Q13">
        <v>46</v>
      </c>
      <c r="R13" s="3">
        <f t="shared" si="5"/>
        <v>1806.3</v>
      </c>
    </row>
    <row r="14" spans="1:18">
      <c r="A14" t="s">
        <v>25</v>
      </c>
      <c r="B14" t="s">
        <v>18</v>
      </c>
      <c r="C14" s="1">
        <v>7500</v>
      </c>
      <c r="D14" s="1">
        <v>140</v>
      </c>
      <c r="E14" s="1">
        <v>4</v>
      </c>
      <c r="F14" s="1">
        <v>158</v>
      </c>
      <c r="G14" s="1">
        <v>129</v>
      </c>
      <c r="H14" s="1">
        <v>265</v>
      </c>
      <c r="I14" s="1">
        <v>22</v>
      </c>
      <c r="J14" s="3">
        <f>DEGREES(ASIN(SIN(RADIANS(H14-G14))*I14/F14))</f>
        <v>5.5505883362248571</v>
      </c>
      <c r="K14" s="3">
        <f t="shared" si="7"/>
        <v>134.55058833622485</v>
      </c>
      <c r="L14" s="3">
        <f>SQRT(F14^2+I14^2-2*F14*I14*COS(RADIANS(H14-G14-J14)))</f>
        <v>173.08464283849605</v>
      </c>
      <c r="M14" s="1">
        <v>13</v>
      </c>
      <c r="N14" s="4">
        <f t="shared" si="6"/>
        <v>4.5</v>
      </c>
      <c r="P14">
        <v>764</v>
      </c>
      <c r="Q14" s="3">
        <f>P14/60*N14</f>
        <v>57.3</v>
      </c>
      <c r="R14" s="3">
        <f t="shared" si="5"/>
        <v>1863.6</v>
      </c>
    </row>
    <row r="15" spans="1:18">
      <c r="A15" t="s">
        <v>18</v>
      </c>
      <c r="B15" t="s">
        <v>23</v>
      </c>
      <c r="C15" s="1">
        <v>10000</v>
      </c>
      <c r="D15" s="1">
        <v>170</v>
      </c>
      <c r="E15" s="1">
        <v>0</v>
      </c>
      <c r="F15" s="1">
        <v>200</v>
      </c>
      <c r="G15" s="1">
        <v>129</v>
      </c>
      <c r="H15" s="1">
        <v>251</v>
      </c>
      <c r="I15" s="1">
        <v>25</v>
      </c>
      <c r="J15" s="3">
        <f>DEGREES(ASIN(SIN(RADIANS(H15-G15))*I15/F15))</f>
        <v>6.0851303021037957</v>
      </c>
      <c r="K15" s="3">
        <f t="shared" si="7"/>
        <v>135.08513030210381</v>
      </c>
      <c r="L15" s="3">
        <f>SQRT(F15^2+I15^2-2*F15*I15*COS(RADIANS(H15-G15-J15)))</f>
        <v>212.12107937581109</v>
      </c>
      <c r="M15" s="1">
        <v>77</v>
      </c>
      <c r="N15" s="4">
        <f t="shared" si="6"/>
        <v>22</v>
      </c>
      <c r="P15">
        <v>660</v>
      </c>
      <c r="Q15" s="3">
        <f>P15/60*N15</f>
        <v>242</v>
      </c>
      <c r="R15" s="3">
        <f t="shared" si="5"/>
        <v>2105.6</v>
      </c>
    </row>
    <row r="16" spans="1:18">
      <c r="A16" t="s">
        <v>23</v>
      </c>
      <c r="B16" t="s">
        <v>24</v>
      </c>
      <c r="C16" s="1">
        <v>10000</v>
      </c>
      <c r="D16" s="1">
        <v>170</v>
      </c>
      <c r="E16" s="1">
        <v>0</v>
      </c>
      <c r="F16" s="1">
        <v>200</v>
      </c>
      <c r="G16" s="1">
        <v>128</v>
      </c>
      <c r="H16" s="1">
        <v>251</v>
      </c>
      <c r="I16" s="1">
        <v>25</v>
      </c>
      <c r="J16" s="3">
        <f>DEGREES(ASIN(SIN(RADIANS(H16-G16))*I16/F16))</f>
        <v>6.0175923643142726</v>
      </c>
      <c r="K16" s="3">
        <f t="shared" si="7"/>
        <v>134.01759236431428</v>
      </c>
      <c r="L16" s="3">
        <f>SQRT(F16^2+I16^2-2*F16*I16*COS(RADIANS(H16-G16-J16)))</f>
        <v>212.513926591412</v>
      </c>
      <c r="M16" s="1">
        <v>33</v>
      </c>
      <c r="N16" s="4">
        <f t="shared" si="6"/>
        <v>9.5</v>
      </c>
      <c r="P16">
        <v>660</v>
      </c>
      <c r="Q16" s="3">
        <f>P16/60*N16</f>
        <v>104.5</v>
      </c>
      <c r="R16" s="3">
        <f t="shared" si="5"/>
        <v>2210.1</v>
      </c>
    </row>
    <row r="17" spans="1:18">
      <c r="A17" t="s">
        <v>24</v>
      </c>
      <c r="B17" t="s">
        <v>22</v>
      </c>
      <c r="C17" s="1">
        <v>6500</v>
      </c>
      <c r="D17" s="1">
        <v>200</v>
      </c>
      <c r="E17" s="1">
        <v>5</v>
      </c>
      <c r="F17" s="1">
        <v>222</v>
      </c>
      <c r="G17" s="1">
        <v>128</v>
      </c>
      <c r="H17" s="1">
        <v>269</v>
      </c>
      <c r="I17" s="1">
        <v>21</v>
      </c>
      <c r="J17" s="3">
        <f>DEGREES(ASIN(SIN(RADIANS(H17-G17))*I17/F17))</f>
        <v>3.4128531644598326</v>
      </c>
      <c r="K17" s="3">
        <f t="shared" si="7"/>
        <v>131.41285316445982</v>
      </c>
      <c r="L17" s="3">
        <f>SQRT(F17^2+I17^2-2*F17*I17*COS(RADIANS(H17-G17-J17)))</f>
        <v>237.92634788092383</v>
      </c>
      <c r="M17" s="1">
        <v>18</v>
      </c>
      <c r="N17" s="4">
        <f t="shared" si="6"/>
        <v>4.5</v>
      </c>
      <c r="P17">
        <v>500</v>
      </c>
      <c r="Q17" s="3">
        <f>P17/60*N17</f>
        <v>37.5</v>
      </c>
      <c r="R17" s="3">
        <f t="shared" si="5"/>
        <v>2247.6</v>
      </c>
    </row>
    <row r="18" spans="1:18">
      <c r="A18" t="s">
        <v>26</v>
      </c>
      <c r="C18" s="1"/>
      <c r="D18" s="1"/>
      <c r="E18" s="1"/>
      <c r="F18" s="1"/>
      <c r="G18" s="1"/>
      <c r="H18" s="1"/>
      <c r="I18" s="1"/>
      <c r="Q18">
        <v>157</v>
      </c>
      <c r="R18" s="3">
        <f t="shared" si="5"/>
        <v>2404.6</v>
      </c>
    </row>
    <row r="19" spans="1:18">
      <c r="A19" t="s">
        <v>28</v>
      </c>
      <c r="C19" s="1"/>
      <c r="D19" s="1"/>
      <c r="E19" s="1"/>
      <c r="F19" s="1"/>
      <c r="G19" s="1"/>
      <c r="H19" s="1"/>
      <c r="N19">
        <v>45</v>
      </c>
      <c r="P19">
        <v>591</v>
      </c>
      <c r="Q19" s="3">
        <f>P19/60*N19</f>
        <v>443.25</v>
      </c>
      <c r="R19" s="3">
        <f t="shared" si="5"/>
        <v>2847.85</v>
      </c>
    </row>
    <row r="20" spans="1:18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P20" s="1"/>
      <c r="Q20" s="1"/>
      <c r="R20" s="1"/>
    </row>
    <row r="21" spans="1:18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  <c r="O21" s="2"/>
      <c r="P21" s="1"/>
      <c r="Q21" s="1"/>
      <c r="R21" s="1"/>
    </row>
    <row r="22" spans="1:18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  <c r="O22" s="2"/>
      <c r="P22" s="1"/>
      <c r="Q22" s="1"/>
      <c r="R22" s="1"/>
    </row>
    <row r="23" spans="1:18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  <c r="O23" s="2"/>
      <c r="P23" s="1"/>
      <c r="Q23" s="1"/>
      <c r="R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D34" sqref="A1:XFD1048576"/>
    </sheetView>
  </sheetViews>
  <sheetFormatPr defaultColWidth="8.7109375" defaultRowHeight="15"/>
  <cols>
    <col min="5" max="5" width="8.7109375" customWidth="1"/>
    <col min="6" max="7" width="8.7109375" hidden="1" customWidth="1"/>
    <col min="13" max="13" width="8.7109375" customWidth="1"/>
    <col min="14" max="14" width="8.7109375" hidden="1" customWidth="1"/>
  </cols>
  <sheetData>
    <row r="1" spans="1:22">
      <c r="A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44</v>
      </c>
      <c r="G1" s="7" t="s">
        <v>45</v>
      </c>
      <c r="H1" s="7" t="s">
        <v>5</v>
      </c>
      <c r="I1" s="7" t="s">
        <v>6</v>
      </c>
      <c r="J1" s="7" t="s">
        <v>37</v>
      </c>
      <c r="K1" s="7" t="s">
        <v>38</v>
      </c>
      <c r="L1" s="7" t="s">
        <v>8</v>
      </c>
      <c r="M1" s="7" t="s">
        <v>36</v>
      </c>
      <c r="N1" s="7" t="s">
        <v>16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30</v>
      </c>
      <c r="T1" s="7" t="s">
        <v>13</v>
      </c>
      <c r="U1" s="7" t="s">
        <v>14</v>
      </c>
      <c r="V1" s="7" t="s">
        <v>15</v>
      </c>
    </row>
    <row r="2" spans="1:22">
      <c r="A2" t="s">
        <v>31</v>
      </c>
      <c r="B2" s="7"/>
      <c r="C2" s="7"/>
      <c r="D2" s="7"/>
      <c r="E2" s="7"/>
      <c r="F2" s="8"/>
      <c r="G2" s="8"/>
      <c r="H2" s="8"/>
      <c r="I2" s="7"/>
      <c r="J2" s="7"/>
      <c r="K2" s="7"/>
      <c r="L2" s="7"/>
      <c r="M2" s="7"/>
      <c r="N2" s="7"/>
      <c r="O2" s="7"/>
      <c r="P2" s="7"/>
      <c r="Q2" s="7"/>
      <c r="S2" s="6">
        <v>0.37638888888888888</v>
      </c>
      <c r="T2" s="7"/>
      <c r="U2" s="7"/>
      <c r="V2" s="7">
        <v>0</v>
      </c>
    </row>
    <row r="3" spans="1:22">
      <c r="A3" t="s">
        <v>29</v>
      </c>
      <c r="B3" s="7"/>
      <c r="C3" s="7"/>
      <c r="D3" s="7"/>
      <c r="E3" s="7"/>
      <c r="F3" s="8"/>
      <c r="G3" s="8"/>
      <c r="H3" s="8"/>
      <c r="I3" s="7"/>
      <c r="J3" s="7"/>
      <c r="K3" s="7"/>
      <c r="L3" s="7"/>
      <c r="M3" s="7"/>
      <c r="N3" s="7"/>
      <c r="O3" s="7"/>
      <c r="P3" s="7"/>
      <c r="Q3" s="7"/>
      <c r="R3" s="7">
        <v>3</v>
      </c>
      <c r="S3" s="5">
        <f>S2+TIME(0, R3, MOD(R3, 1)*60)</f>
        <v>0.37847222222222221</v>
      </c>
      <c r="T3" s="7"/>
      <c r="U3" s="7">
        <v>220</v>
      </c>
      <c r="V3" s="3">
        <f t="shared" ref="V3:V17" si="0">V2+U3</f>
        <v>220</v>
      </c>
    </row>
    <row r="4" spans="1:22">
      <c r="A4" t="s">
        <v>25</v>
      </c>
      <c r="B4" t="s">
        <v>18</v>
      </c>
      <c r="C4" s="1">
        <v>6000</v>
      </c>
      <c r="D4" s="1">
        <v>105</v>
      </c>
      <c r="E4" s="1">
        <v>4</v>
      </c>
      <c r="F4" s="9">
        <f>1013.25/(1013.25 / 10 ^ (C4 / 220.82682 / (((SQRT(288.15) + SQRT(288.15-C4*0.0019812))/2)^2)))</f>
        <v>1.2482164487268497</v>
      </c>
      <c r="G4" s="9">
        <f>SQRT(5*((F4 * (D4^2/2188648.141+1)^3.5) - F4 +1   ) ^ (2/7) -5)</f>
        <v>0.17717196740422636</v>
      </c>
      <c r="H4" s="3">
        <f t="shared" ref="H4:H15" si="1">661.47*G4*SQRT((E4+273.15)/288.15)</f>
        <v>114.93526182787018</v>
      </c>
      <c r="I4" s="1">
        <v>95</v>
      </c>
      <c r="J4" s="1">
        <v>-18</v>
      </c>
      <c r="K4" s="1">
        <v>330</v>
      </c>
      <c r="L4" s="1">
        <v>27</v>
      </c>
      <c r="M4" s="3">
        <f t="shared" ref="M4:M15" si="2">K4+J4</f>
        <v>312</v>
      </c>
      <c r="N4" s="3">
        <f t="shared" ref="N4:N15" si="3">DEGREES(ASIN(SIN(RADIANS(M4-I4))*L4/H4))</f>
        <v>-8.1274359906509055</v>
      </c>
      <c r="O4" s="3">
        <f t="shared" ref="O4:O15" si="4">IF(I4+N4&lt;0,360+I4+N4,I4+N4)</f>
        <v>86.872564009349091</v>
      </c>
      <c r="P4" s="3">
        <f t="shared" ref="P4:P15" si="5">SQRT(H4^2+L4^2-2*H4*L4*COS(RADIANS(M4-I4-N4)))</f>
        <v>135.34401932188254</v>
      </c>
      <c r="Q4" s="1">
        <v>27</v>
      </c>
      <c r="R4" s="4">
        <f>ROUND(Q4/(P4/60)*2, 0)/2</f>
        <v>12</v>
      </c>
      <c r="S4" s="5">
        <f>S3+TIME(0, R4, MOD(R4, 1)*60)</f>
        <v>0.38680555555555557</v>
      </c>
      <c r="T4">
        <v>250</v>
      </c>
      <c r="U4" s="3">
        <f t="shared" ref="U4:U15" si="6">T4/60*R4</f>
        <v>50</v>
      </c>
      <c r="V4" s="3">
        <f t="shared" si="0"/>
        <v>270</v>
      </c>
    </row>
    <row r="5" spans="1:22">
      <c r="A5" t="s">
        <v>18</v>
      </c>
      <c r="B5" t="s">
        <v>32</v>
      </c>
      <c r="C5" s="1">
        <v>8000</v>
      </c>
      <c r="D5" s="1">
        <v>130</v>
      </c>
      <c r="E5" s="1">
        <v>0</v>
      </c>
      <c r="F5" s="9">
        <f t="shared" ref="F5:F15" si="7">1013.25/(1013.25 / 10 ^ (C5 / 220.82682 / (((SQRT(288.15) + SQRT(288.15-C5*0.0019812))/2)^2)))</f>
        <v>1.346808196381295</v>
      </c>
      <c r="G5" s="9">
        <f t="shared" ref="G5:G15" si="8">SQRT(5*((F5 * (D5^2/2188648.141+1)^3.5) - F5 +1   ) ^ (2/7) -5)</f>
        <v>0.22765505317585105</v>
      </c>
      <c r="H5" s="3">
        <f t="shared" si="1"/>
        <v>146.61511227146281</v>
      </c>
      <c r="I5" s="1">
        <v>95</v>
      </c>
      <c r="J5" s="1">
        <v>-18</v>
      </c>
      <c r="K5" s="1">
        <v>310</v>
      </c>
      <c r="L5" s="1">
        <v>31</v>
      </c>
      <c r="M5" s="3">
        <f t="shared" si="2"/>
        <v>292</v>
      </c>
      <c r="N5" s="3">
        <f t="shared" si="3"/>
        <v>-3.5441976109126911</v>
      </c>
      <c r="O5" s="3">
        <f t="shared" si="4"/>
        <v>91.45580238908731</v>
      </c>
      <c r="P5" s="3">
        <f t="shared" si="5"/>
        <v>175.98014496071889</v>
      </c>
      <c r="Q5" s="1">
        <v>9</v>
      </c>
      <c r="R5" s="4">
        <f t="shared" ref="R5:R11" si="9">ROUND(Q5/(P5/60)*2, 0)/2</f>
        <v>3</v>
      </c>
      <c r="S5" s="5">
        <f t="shared" ref="S5:S15" si="10">S4+TIME(0, R5, MOD(R5, 1)*60)</f>
        <v>0.3888888888888889</v>
      </c>
      <c r="T5">
        <v>220</v>
      </c>
      <c r="U5" s="3">
        <f t="shared" si="6"/>
        <v>11</v>
      </c>
      <c r="V5" s="3">
        <f t="shared" si="0"/>
        <v>281</v>
      </c>
    </row>
    <row r="6" spans="1:22">
      <c r="A6" t="s">
        <v>32</v>
      </c>
      <c r="B6" t="s">
        <v>33</v>
      </c>
      <c r="C6" s="1">
        <v>8000</v>
      </c>
      <c r="D6" s="1">
        <v>130</v>
      </c>
      <c r="E6" s="1">
        <v>0</v>
      </c>
      <c r="F6" s="9">
        <f t="shared" si="7"/>
        <v>1.346808196381295</v>
      </c>
      <c r="G6" s="9">
        <f t="shared" si="8"/>
        <v>0.22765505317585105</v>
      </c>
      <c r="H6" s="3">
        <f t="shared" si="1"/>
        <v>146.61511227146281</v>
      </c>
      <c r="I6" s="1">
        <v>131</v>
      </c>
      <c r="J6" s="1">
        <v>-19</v>
      </c>
      <c r="K6" s="1">
        <v>310</v>
      </c>
      <c r="L6" s="1">
        <v>31</v>
      </c>
      <c r="M6" s="3">
        <f t="shared" si="2"/>
        <v>291</v>
      </c>
      <c r="N6" s="3">
        <f t="shared" si="3"/>
        <v>4.1470238527309444</v>
      </c>
      <c r="O6" s="3">
        <f t="shared" si="4"/>
        <v>135.14702385273094</v>
      </c>
      <c r="P6" s="3">
        <f t="shared" si="5"/>
        <v>175.36171107119466</v>
      </c>
      <c r="Q6" s="1">
        <v>43</v>
      </c>
      <c r="R6" s="4">
        <f t="shared" si="9"/>
        <v>14.5</v>
      </c>
      <c r="S6" s="5">
        <f t="shared" si="10"/>
        <v>0.39895833333333336</v>
      </c>
      <c r="T6">
        <v>220</v>
      </c>
      <c r="U6" s="3">
        <f t="shared" si="6"/>
        <v>53.166666666666664</v>
      </c>
      <c r="V6" s="3">
        <f t="shared" si="0"/>
        <v>334.16666666666669</v>
      </c>
    </row>
    <row r="7" spans="1:22">
      <c r="A7" t="s">
        <v>33</v>
      </c>
      <c r="B7" t="s">
        <v>34</v>
      </c>
      <c r="C7" s="1">
        <v>8000</v>
      </c>
      <c r="D7" s="1">
        <v>130</v>
      </c>
      <c r="E7" s="1">
        <v>0</v>
      </c>
      <c r="F7" s="9">
        <f t="shared" si="7"/>
        <v>1.346808196381295</v>
      </c>
      <c r="G7" s="9">
        <f t="shared" si="8"/>
        <v>0.22765505317585105</v>
      </c>
      <c r="H7" s="3">
        <f t="shared" si="1"/>
        <v>146.61511227146281</v>
      </c>
      <c r="I7" s="1">
        <v>151</v>
      </c>
      <c r="J7" s="1">
        <v>-19</v>
      </c>
      <c r="K7" s="1">
        <v>310</v>
      </c>
      <c r="L7" s="1">
        <v>31</v>
      </c>
      <c r="M7" s="3">
        <f t="shared" si="2"/>
        <v>291</v>
      </c>
      <c r="N7" s="3">
        <f t="shared" si="3"/>
        <v>7.8112267013998293</v>
      </c>
      <c r="O7" s="3">
        <f t="shared" si="4"/>
        <v>158.81122670139982</v>
      </c>
      <c r="P7" s="3">
        <f t="shared" si="5"/>
        <v>169.00208194878124</v>
      </c>
      <c r="Q7" s="1">
        <v>58</v>
      </c>
      <c r="R7" s="4">
        <f t="shared" si="9"/>
        <v>20.5</v>
      </c>
      <c r="S7" s="5">
        <f t="shared" si="10"/>
        <v>0.41319444444444448</v>
      </c>
      <c r="T7">
        <v>220</v>
      </c>
      <c r="U7" s="3">
        <f t="shared" si="6"/>
        <v>75.166666666666657</v>
      </c>
      <c r="V7" s="3">
        <f t="shared" si="0"/>
        <v>409.33333333333337</v>
      </c>
    </row>
    <row r="8" spans="1:22">
      <c r="A8" t="s">
        <v>34</v>
      </c>
      <c r="B8" t="s">
        <v>35</v>
      </c>
      <c r="C8" s="1">
        <v>8000</v>
      </c>
      <c r="D8" s="1">
        <v>130</v>
      </c>
      <c r="E8" s="1">
        <v>0</v>
      </c>
      <c r="F8" s="9">
        <f t="shared" si="7"/>
        <v>1.346808196381295</v>
      </c>
      <c r="G8" s="9">
        <f t="shared" si="8"/>
        <v>0.22765505317585105</v>
      </c>
      <c r="H8" s="3">
        <f t="shared" si="1"/>
        <v>146.61511227146281</v>
      </c>
      <c r="I8" s="1">
        <v>151</v>
      </c>
      <c r="J8" s="1">
        <v>-20</v>
      </c>
      <c r="K8" s="1">
        <v>310</v>
      </c>
      <c r="L8" s="1">
        <v>31</v>
      </c>
      <c r="M8" s="3">
        <f t="shared" si="2"/>
        <v>290</v>
      </c>
      <c r="N8" s="3">
        <f t="shared" si="3"/>
        <v>7.9735408840000126</v>
      </c>
      <c r="O8" s="3">
        <f t="shared" si="4"/>
        <v>158.97354088400002</v>
      </c>
      <c r="P8" s="3">
        <f t="shared" si="5"/>
        <v>168.59366852947906</v>
      </c>
      <c r="Q8" s="1">
        <v>14</v>
      </c>
      <c r="R8" s="4">
        <f t="shared" si="9"/>
        <v>5</v>
      </c>
      <c r="S8" s="5">
        <f t="shared" si="10"/>
        <v>0.41666666666666669</v>
      </c>
      <c r="T8">
        <v>220</v>
      </c>
      <c r="U8" s="3">
        <f t="shared" si="6"/>
        <v>18.333333333333332</v>
      </c>
      <c r="V8" s="3">
        <f t="shared" si="0"/>
        <v>427.66666666666669</v>
      </c>
    </row>
    <row r="9" spans="1:22">
      <c r="A9" t="s">
        <v>35</v>
      </c>
      <c r="B9" t="s">
        <v>39</v>
      </c>
      <c r="C9" s="1">
        <v>8000</v>
      </c>
      <c r="D9" s="1">
        <v>130</v>
      </c>
      <c r="E9" s="1">
        <v>0</v>
      </c>
      <c r="F9" s="9">
        <f t="shared" si="7"/>
        <v>1.346808196381295</v>
      </c>
      <c r="G9" s="9">
        <f t="shared" si="8"/>
        <v>0.22765505317585105</v>
      </c>
      <c r="H9" s="3">
        <f t="shared" si="1"/>
        <v>146.61511227146281</v>
      </c>
      <c r="I9" s="1">
        <v>122</v>
      </c>
      <c r="J9" s="1">
        <v>-20</v>
      </c>
      <c r="K9" s="1">
        <v>310</v>
      </c>
      <c r="L9" s="1">
        <v>31</v>
      </c>
      <c r="M9" s="3">
        <f t="shared" si="2"/>
        <v>290</v>
      </c>
      <c r="N9" s="3">
        <f t="shared" si="3"/>
        <v>2.5195586881752332</v>
      </c>
      <c r="O9" s="3">
        <f t="shared" si="4"/>
        <v>124.51955868817524</v>
      </c>
      <c r="P9" s="3">
        <f t="shared" si="5"/>
        <v>176.79595115144573</v>
      </c>
      <c r="Q9" s="1">
        <v>16</v>
      </c>
      <c r="R9" s="4">
        <f t="shared" si="9"/>
        <v>5.5</v>
      </c>
      <c r="S9" s="5">
        <f t="shared" si="10"/>
        <v>0.42048611111111112</v>
      </c>
      <c r="T9">
        <v>220</v>
      </c>
      <c r="U9" s="3">
        <f t="shared" si="6"/>
        <v>20.166666666666664</v>
      </c>
      <c r="V9" s="3">
        <f t="shared" si="0"/>
        <v>447.83333333333337</v>
      </c>
    </row>
    <row r="10" spans="1:22">
      <c r="A10" t="s">
        <v>39</v>
      </c>
      <c r="B10" t="s">
        <v>40</v>
      </c>
      <c r="C10" s="1">
        <v>8000</v>
      </c>
      <c r="D10" s="1">
        <v>130</v>
      </c>
      <c r="E10" s="1">
        <v>0</v>
      </c>
      <c r="F10" s="9">
        <f t="shared" si="7"/>
        <v>1.346808196381295</v>
      </c>
      <c r="G10" s="9">
        <f t="shared" si="8"/>
        <v>0.22765505317585105</v>
      </c>
      <c r="H10" s="3">
        <f t="shared" si="1"/>
        <v>146.61511227146281</v>
      </c>
      <c r="I10" s="1">
        <v>160</v>
      </c>
      <c r="J10" s="1">
        <v>-20</v>
      </c>
      <c r="K10" s="1">
        <v>310</v>
      </c>
      <c r="L10" s="1">
        <v>31</v>
      </c>
      <c r="M10" s="3">
        <f t="shared" si="2"/>
        <v>290</v>
      </c>
      <c r="N10" s="3">
        <f t="shared" si="3"/>
        <v>9.3213112899315558</v>
      </c>
      <c r="O10" s="3">
        <f t="shared" si="4"/>
        <v>169.32131128993154</v>
      </c>
      <c r="P10" s="3">
        <f t="shared" si="5"/>
        <v>164.60555467641964</v>
      </c>
      <c r="Q10" s="1">
        <v>36</v>
      </c>
      <c r="R10" s="4">
        <f t="shared" si="9"/>
        <v>13</v>
      </c>
      <c r="S10" s="5">
        <f t="shared" si="10"/>
        <v>0.42951388888888892</v>
      </c>
      <c r="T10">
        <v>220</v>
      </c>
      <c r="U10" s="3">
        <f t="shared" si="6"/>
        <v>47.666666666666664</v>
      </c>
      <c r="V10" s="3">
        <f t="shared" si="0"/>
        <v>495.50000000000006</v>
      </c>
    </row>
    <row r="11" spans="1:22">
      <c r="A11" t="s">
        <v>40</v>
      </c>
      <c r="B11" t="s">
        <v>41</v>
      </c>
      <c r="C11" s="1">
        <v>8000</v>
      </c>
      <c r="D11" s="1">
        <v>130</v>
      </c>
      <c r="E11" s="1">
        <v>-4</v>
      </c>
      <c r="F11" s="9">
        <f t="shared" si="7"/>
        <v>1.346808196381295</v>
      </c>
      <c r="G11" s="9">
        <f t="shared" si="8"/>
        <v>0.22765505317585105</v>
      </c>
      <c r="H11" s="3">
        <f t="shared" si="1"/>
        <v>145.53763956041536</v>
      </c>
      <c r="I11" s="1">
        <v>159</v>
      </c>
      <c r="J11" s="1">
        <v>-20</v>
      </c>
      <c r="K11" s="1">
        <v>298</v>
      </c>
      <c r="L11" s="1">
        <v>36</v>
      </c>
      <c r="M11" s="3">
        <f t="shared" si="2"/>
        <v>278</v>
      </c>
      <c r="N11" s="3">
        <f t="shared" si="3"/>
        <v>12.494434891288497</v>
      </c>
      <c r="O11" s="3">
        <f t="shared" si="4"/>
        <v>171.49443489128851</v>
      </c>
      <c r="P11" s="3">
        <f t="shared" si="5"/>
        <v>159.54402163616666</v>
      </c>
      <c r="Q11" s="1">
        <v>57</v>
      </c>
      <c r="R11" s="4">
        <f t="shared" si="9"/>
        <v>21.5</v>
      </c>
      <c r="S11" s="5">
        <f t="shared" si="10"/>
        <v>0.44444444444444448</v>
      </c>
      <c r="T11">
        <v>220</v>
      </c>
      <c r="U11" s="3">
        <f t="shared" si="6"/>
        <v>78.833333333333329</v>
      </c>
      <c r="V11" s="3">
        <f t="shared" si="0"/>
        <v>574.33333333333337</v>
      </c>
    </row>
    <row r="12" spans="1:22">
      <c r="A12" t="s">
        <v>41</v>
      </c>
      <c r="B12" t="s">
        <v>42</v>
      </c>
      <c r="C12" s="1">
        <v>8000</v>
      </c>
      <c r="D12" s="1">
        <v>130</v>
      </c>
      <c r="E12" s="1">
        <v>-4</v>
      </c>
      <c r="F12" s="9">
        <f t="shared" si="7"/>
        <v>1.346808196381295</v>
      </c>
      <c r="G12" s="9">
        <f t="shared" si="8"/>
        <v>0.22765505317585105</v>
      </c>
      <c r="H12" s="3">
        <f t="shared" si="1"/>
        <v>145.53763956041536</v>
      </c>
      <c r="I12" s="1">
        <v>167</v>
      </c>
      <c r="J12" s="1">
        <v>-21</v>
      </c>
      <c r="K12" s="1">
        <v>298</v>
      </c>
      <c r="L12" s="1">
        <v>36</v>
      </c>
      <c r="M12" s="3">
        <f t="shared" si="2"/>
        <v>277</v>
      </c>
      <c r="N12" s="3">
        <f t="shared" si="3"/>
        <v>13.440834383360096</v>
      </c>
      <c r="O12" s="3">
        <f t="shared" si="4"/>
        <v>180.44083438336008</v>
      </c>
      <c r="P12" s="3">
        <f t="shared" si="5"/>
        <v>153.86415655367458</v>
      </c>
      <c r="Q12" s="1">
        <v>53</v>
      </c>
      <c r="R12" s="4">
        <f t="shared" ref="R12" si="11">ROUND(Q12/(P12/60)*2, 0)/2</f>
        <v>20.5</v>
      </c>
      <c r="S12" s="5">
        <f t="shared" si="10"/>
        <v>0.45868055555555559</v>
      </c>
      <c r="T12">
        <v>220</v>
      </c>
      <c r="U12" s="3">
        <f t="shared" si="6"/>
        <v>75.166666666666657</v>
      </c>
      <c r="V12" s="3">
        <f t="shared" si="0"/>
        <v>649.5</v>
      </c>
    </row>
    <row r="13" spans="1:22">
      <c r="A13" t="s">
        <v>42</v>
      </c>
      <c r="B13" t="s">
        <v>19</v>
      </c>
      <c r="C13" s="1">
        <v>8000</v>
      </c>
      <c r="D13" s="1">
        <v>130</v>
      </c>
      <c r="E13" s="1">
        <v>-4</v>
      </c>
      <c r="F13" s="9">
        <f t="shared" si="7"/>
        <v>1.346808196381295</v>
      </c>
      <c r="G13" s="9">
        <f t="shared" si="8"/>
        <v>0.22765505317585105</v>
      </c>
      <c r="H13" s="3">
        <f t="shared" si="1"/>
        <v>145.53763956041536</v>
      </c>
      <c r="I13" s="1">
        <v>193</v>
      </c>
      <c r="J13" s="1">
        <v>-21</v>
      </c>
      <c r="K13" s="1">
        <v>298</v>
      </c>
      <c r="L13" s="1">
        <v>36</v>
      </c>
      <c r="M13" s="3">
        <f t="shared" si="2"/>
        <v>277</v>
      </c>
      <c r="N13" s="3">
        <f t="shared" si="3"/>
        <v>14.241153134287675</v>
      </c>
      <c r="O13" s="3">
        <f t="shared" si="4"/>
        <v>207.24115313428769</v>
      </c>
      <c r="P13" s="3">
        <f t="shared" si="5"/>
        <v>137.30208399046097</v>
      </c>
      <c r="Q13" s="1">
        <v>116</v>
      </c>
      <c r="R13" s="4">
        <f t="shared" ref="R13" si="12">ROUND(Q13/(P13/60)*2, 0)/2</f>
        <v>50.5</v>
      </c>
      <c r="S13" s="5">
        <f t="shared" si="10"/>
        <v>0.49375000000000002</v>
      </c>
      <c r="T13">
        <v>220</v>
      </c>
      <c r="U13" s="3">
        <f t="shared" si="6"/>
        <v>185.16666666666666</v>
      </c>
      <c r="V13" s="3">
        <f t="shared" si="0"/>
        <v>834.66666666666663</v>
      </c>
    </row>
    <row r="14" spans="1:22">
      <c r="A14" t="s">
        <v>19</v>
      </c>
      <c r="B14" t="s">
        <v>24</v>
      </c>
      <c r="C14" s="1">
        <v>8000</v>
      </c>
      <c r="D14" s="1">
        <v>130</v>
      </c>
      <c r="E14" s="1">
        <v>-3</v>
      </c>
      <c r="F14" s="9">
        <f t="shared" si="7"/>
        <v>1.346808196381295</v>
      </c>
      <c r="G14" s="9">
        <f t="shared" si="8"/>
        <v>0.22765505317585105</v>
      </c>
      <c r="H14" s="3">
        <f t="shared" si="1"/>
        <v>145.80775419437214</v>
      </c>
      <c r="I14" s="1">
        <v>228</v>
      </c>
      <c r="J14" s="1">
        <v>-22</v>
      </c>
      <c r="K14" s="1">
        <v>288</v>
      </c>
      <c r="L14" s="1">
        <v>38</v>
      </c>
      <c r="M14" s="3">
        <f t="shared" si="2"/>
        <v>266</v>
      </c>
      <c r="N14" s="3">
        <f t="shared" si="3"/>
        <v>9.2331290151400474</v>
      </c>
      <c r="O14" s="3">
        <f t="shared" si="4"/>
        <v>237.23312901514004</v>
      </c>
      <c r="P14" s="3">
        <f t="shared" si="5"/>
        <v>113.97421000497228</v>
      </c>
      <c r="Q14" s="1">
        <v>65</v>
      </c>
      <c r="R14" s="4">
        <f t="shared" ref="R14" si="13">ROUND(Q14/(P14/60)*2, 0)/2</f>
        <v>34</v>
      </c>
      <c r="S14" s="5">
        <f t="shared" si="10"/>
        <v>0.51736111111111116</v>
      </c>
      <c r="T14">
        <v>220</v>
      </c>
      <c r="U14" s="3">
        <f t="shared" si="6"/>
        <v>124.66666666666666</v>
      </c>
      <c r="V14" s="3">
        <f t="shared" si="0"/>
        <v>959.33333333333326</v>
      </c>
    </row>
    <row r="15" spans="1:22">
      <c r="A15" t="s">
        <v>24</v>
      </c>
      <c r="B15" t="s">
        <v>8</v>
      </c>
      <c r="C15" s="1">
        <v>6500</v>
      </c>
      <c r="D15" s="1">
        <v>125</v>
      </c>
      <c r="E15" s="1">
        <v>-3</v>
      </c>
      <c r="F15" s="9">
        <f t="shared" si="7"/>
        <v>1.272036354558266</v>
      </c>
      <c r="G15" s="9">
        <f t="shared" si="8"/>
        <v>0.21283184474309666</v>
      </c>
      <c r="H15" s="3">
        <f t="shared" si="1"/>
        <v>136.31383476941878</v>
      </c>
      <c r="I15" s="1">
        <v>228</v>
      </c>
      <c r="J15" s="1">
        <v>-22</v>
      </c>
      <c r="K15" s="1">
        <v>294</v>
      </c>
      <c r="L15" s="1">
        <v>37</v>
      </c>
      <c r="M15" s="3">
        <f t="shared" si="2"/>
        <v>272</v>
      </c>
      <c r="N15" s="3">
        <f t="shared" si="3"/>
        <v>10.8683412181487</v>
      </c>
      <c r="O15" s="3">
        <f t="shared" si="4"/>
        <v>238.86834121814871</v>
      </c>
      <c r="P15" s="3">
        <f t="shared" si="5"/>
        <v>107.25320737383291</v>
      </c>
      <c r="Q15" s="1">
        <v>14</v>
      </c>
      <c r="R15" s="4">
        <f t="shared" ref="R15" si="14">ROUND(Q15/(P15/60)*2, 0)/2</f>
        <v>8</v>
      </c>
      <c r="S15" s="5">
        <f t="shared" si="10"/>
        <v>0.5229166666666667</v>
      </c>
      <c r="T15">
        <v>170</v>
      </c>
      <c r="U15" s="3">
        <f t="shared" si="6"/>
        <v>22.666666666666668</v>
      </c>
      <c r="V15" s="3">
        <f t="shared" si="0"/>
        <v>981.99999999999989</v>
      </c>
    </row>
    <row r="16" spans="1:22">
      <c r="A16" t="s">
        <v>43</v>
      </c>
      <c r="U16">
        <v>200</v>
      </c>
      <c r="V16" s="3">
        <f t="shared" si="0"/>
        <v>1182</v>
      </c>
    </row>
    <row r="17" spans="1:22">
      <c r="A17" t="s">
        <v>28</v>
      </c>
      <c r="U17">
        <v>250</v>
      </c>
      <c r="V17" s="3">
        <f t="shared" si="0"/>
        <v>1432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tabSelected="1" workbookViewId="0">
      <selection activeCell="G30" sqref="G30"/>
    </sheetView>
  </sheetViews>
  <sheetFormatPr defaultColWidth="8.7109375" defaultRowHeight="15"/>
  <cols>
    <col min="4" max="5" width="8.7109375" hidden="1" customWidth="1"/>
    <col min="11" max="11" width="8.7109375" customWidth="1"/>
    <col min="12" max="12" width="8.7109375" hidden="1" customWidth="1"/>
  </cols>
  <sheetData>
    <row r="1" spans="1:21" s="12" customFormat="1" ht="15.75" thickBot="1">
      <c r="A1" s="12" t="s">
        <v>0</v>
      </c>
      <c r="B1" s="13" t="s">
        <v>1</v>
      </c>
      <c r="C1" s="13" t="s">
        <v>2</v>
      </c>
      <c r="D1" s="13" t="s">
        <v>44</v>
      </c>
      <c r="E1" s="13" t="s">
        <v>45</v>
      </c>
      <c r="F1" s="13" t="s">
        <v>5</v>
      </c>
      <c r="G1" s="13" t="s">
        <v>6</v>
      </c>
      <c r="H1" s="13" t="s">
        <v>37</v>
      </c>
      <c r="I1" s="13" t="s">
        <v>38</v>
      </c>
      <c r="J1" s="13" t="s">
        <v>8</v>
      </c>
      <c r="K1" s="13" t="s">
        <v>36</v>
      </c>
      <c r="L1" s="13" t="s">
        <v>16</v>
      </c>
      <c r="M1" s="13" t="s">
        <v>49</v>
      </c>
      <c r="N1" s="13" t="s">
        <v>48</v>
      </c>
      <c r="O1" s="13" t="s">
        <v>10</v>
      </c>
      <c r="P1" s="13" t="s">
        <v>11</v>
      </c>
      <c r="Q1" s="13" t="s">
        <v>12</v>
      </c>
      <c r="R1" s="13" t="s">
        <v>30</v>
      </c>
      <c r="S1" s="13" t="s">
        <v>13</v>
      </c>
      <c r="T1" s="13" t="s">
        <v>14</v>
      </c>
      <c r="U1" s="13" t="s">
        <v>15</v>
      </c>
    </row>
    <row r="2" spans="1:21">
      <c r="A2" t="s">
        <v>31</v>
      </c>
      <c r="B2" s="7"/>
      <c r="C2" s="7"/>
      <c r="D2" s="8"/>
      <c r="E2" s="8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R2" s="6">
        <v>0.5625</v>
      </c>
      <c r="S2" s="7"/>
      <c r="T2" s="7"/>
      <c r="U2" s="7">
        <v>0</v>
      </c>
    </row>
    <row r="3" spans="1:21">
      <c r="A3" t="s">
        <v>46</v>
      </c>
      <c r="B3" t="s">
        <v>47</v>
      </c>
      <c r="C3" s="1">
        <v>2000</v>
      </c>
      <c r="D3" s="9">
        <f t="shared" ref="D3:D9" si="0">1013.25/(1013.25 / 10 ^ (C3 / 220.82682 / (((SQRT(288.15) + SQRT(288.15-C3*0.0019812))/2)^2)))</f>
        <v>1.0755957577075832</v>
      </c>
      <c r="E3" s="9" t="e">
        <f>SQRT(5*((D3 * (#REF!^2/2188648.141+1)^3.5) - D3 +1   ) ^ (2/7) -5)</f>
        <v>#REF!</v>
      </c>
      <c r="F3" s="3">
        <v>115</v>
      </c>
      <c r="G3" s="1">
        <v>187</v>
      </c>
      <c r="H3" s="1">
        <v>-20</v>
      </c>
      <c r="I3" s="1">
        <v>50</v>
      </c>
      <c r="J3" s="1">
        <v>10</v>
      </c>
      <c r="K3" s="3">
        <f t="shared" ref="K3" si="1">I3+H3</f>
        <v>30</v>
      </c>
      <c r="L3" s="3">
        <f t="shared" ref="L3" si="2">DEGREES(ASIN(SIN(RADIANS(K3-G3))*J3/F3))</f>
        <v>-1.9470916671071821</v>
      </c>
      <c r="M3" s="3">
        <f t="shared" ref="M3" si="3">IF(G3+L3&lt;0,360+G3+L3,G3+L3)</f>
        <v>185.05290833289283</v>
      </c>
      <c r="N3" s="3">
        <f>IF(M3+H3 &gt; 0, M3+H3, M3+H3+360)</f>
        <v>165.05290833289283</v>
      </c>
      <c r="O3" s="3">
        <f>SQRT(F3^2+J3^2-2*F3*J3*COS(RADIANS(K3-G3-L3)))</f>
        <v>124.13865075129542</v>
      </c>
      <c r="P3" s="1">
        <v>47</v>
      </c>
      <c r="Q3" s="3">
        <f>ROUNDUP(P3 / (O3/60), 0)</f>
        <v>23</v>
      </c>
      <c r="R3" s="5">
        <f t="shared" ref="R3:R7" si="4">R2+TIME(0, Q3, MOD(Q3, 1)*60)</f>
        <v>0.57847222222222228</v>
      </c>
      <c r="S3">
        <v>35</v>
      </c>
      <c r="T3" s="3">
        <f>ROUNDUP(S3/60*Q3, 0)</f>
        <v>14</v>
      </c>
      <c r="U3" s="3">
        <f t="shared" ref="U3:U7" si="5">U2+T3</f>
        <v>14</v>
      </c>
    </row>
    <row r="4" spans="1:21">
      <c r="A4" t="s">
        <v>47</v>
      </c>
      <c r="B4" t="s">
        <v>54</v>
      </c>
      <c r="C4" s="1">
        <v>2000</v>
      </c>
      <c r="D4" s="9">
        <f t="shared" si="0"/>
        <v>1.0755957577075832</v>
      </c>
      <c r="E4" s="9" t="e">
        <f>SQRT(5*((D4 * (#REF!^2/2188648.141+1)^3.5) - D4 +1   ) ^ (2/7) -5)</f>
        <v>#REF!</v>
      </c>
      <c r="F4" s="3">
        <v>115</v>
      </c>
      <c r="G4" s="1">
        <v>198</v>
      </c>
      <c r="H4" s="1">
        <v>-20</v>
      </c>
      <c r="I4" s="1">
        <v>345</v>
      </c>
      <c r="J4" s="1">
        <v>8</v>
      </c>
      <c r="K4" s="3">
        <f t="shared" ref="K4:K9" si="6">I4+H4</f>
        <v>325</v>
      </c>
      <c r="L4" s="3">
        <f t="shared" ref="L4:L9" si="7">DEGREES(ASIN(SIN(RADIANS(K4-G4))*J4/F4))</f>
        <v>3.1848359362668699</v>
      </c>
      <c r="M4" s="3">
        <f t="shared" ref="M4:M9" si="8">IF(G4+L4&lt;0,360+G4+L4,G4+L4)</f>
        <v>201.18483593626686</v>
      </c>
      <c r="N4" s="3">
        <f t="shared" ref="N4:N9" si="9">IF(M4+H4 &gt; 0, M4+H4, M4+H4+360)</f>
        <v>181.18483593626686</v>
      </c>
      <c r="O4" s="3">
        <f t="shared" ref="O4:O9" si="10">SQRT(F4^2+J4^2-2*F4*J4*COS(RADIANS(K4-G4-L4)))</f>
        <v>119.63690304071132</v>
      </c>
      <c r="P4" s="1">
        <v>24</v>
      </c>
      <c r="Q4" s="3">
        <f t="shared" ref="Q4:Q9" si="11">ROUNDUP(P4 / (O4/60), 0)</f>
        <v>13</v>
      </c>
      <c r="R4" s="5">
        <f t="shared" si="4"/>
        <v>0.58750000000000002</v>
      </c>
      <c r="S4">
        <v>35</v>
      </c>
      <c r="T4" s="3">
        <f t="shared" ref="T4:T9" si="12">ROUNDUP(S4/60*Q4, 0)</f>
        <v>8</v>
      </c>
      <c r="U4" s="3">
        <f t="shared" si="5"/>
        <v>22</v>
      </c>
    </row>
    <row r="5" spans="1:21">
      <c r="A5" t="s">
        <v>54</v>
      </c>
      <c r="B5" t="s">
        <v>20</v>
      </c>
      <c r="C5" s="1">
        <v>2000</v>
      </c>
      <c r="D5" s="9">
        <f t="shared" si="0"/>
        <v>1.0755957577075832</v>
      </c>
      <c r="E5" s="9" t="e">
        <f>SQRT(5*((D5 * (#REF!^2/2188648.141+1)^3.5) - D5 +1   ) ^ (2/7) -5)</f>
        <v>#REF!</v>
      </c>
      <c r="F5" s="3">
        <v>115</v>
      </c>
      <c r="G5" s="1">
        <v>206</v>
      </c>
      <c r="H5" s="1">
        <v>-20</v>
      </c>
      <c r="I5" s="1">
        <v>310</v>
      </c>
      <c r="J5" s="1">
        <v>10</v>
      </c>
      <c r="K5" s="3">
        <f t="shared" si="6"/>
        <v>290</v>
      </c>
      <c r="L5" s="3">
        <f t="shared" si="7"/>
        <v>4.9611455279629295</v>
      </c>
      <c r="M5" s="3">
        <f t="shared" si="8"/>
        <v>210.96114552796294</v>
      </c>
      <c r="N5" s="3">
        <f t="shared" si="9"/>
        <v>190.96114552796294</v>
      </c>
      <c r="O5" s="3">
        <f t="shared" si="10"/>
        <v>113.5238762264452</v>
      </c>
      <c r="P5" s="1">
        <v>56</v>
      </c>
      <c r="Q5" s="3">
        <f t="shared" si="11"/>
        <v>30</v>
      </c>
      <c r="R5" s="5">
        <f t="shared" si="4"/>
        <v>0.60833333333333339</v>
      </c>
      <c r="S5">
        <v>35</v>
      </c>
      <c r="T5" s="3">
        <f t="shared" si="12"/>
        <v>18</v>
      </c>
      <c r="U5" s="3">
        <f t="shared" si="5"/>
        <v>40</v>
      </c>
    </row>
    <row r="6" spans="1:21">
      <c r="A6" t="s">
        <v>20</v>
      </c>
      <c r="B6" t="s">
        <v>55</v>
      </c>
      <c r="C6" s="1">
        <v>2000</v>
      </c>
      <c r="D6" s="9">
        <f t="shared" si="0"/>
        <v>1.0755957577075832</v>
      </c>
      <c r="E6" s="9" t="e">
        <f>SQRT(5*((D6 * (#REF!^2/2188648.141+1)^3.5) - D6 +1   ) ^ (2/7) -5)</f>
        <v>#REF!</v>
      </c>
      <c r="F6" s="3">
        <v>115</v>
      </c>
      <c r="G6" s="1">
        <v>79</v>
      </c>
      <c r="H6" s="1">
        <v>-21</v>
      </c>
      <c r="I6" s="1">
        <v>345</v>
      </c>
      <c r="J6" s="1">
        <v>8</v>
      </c>
      <c r="K6" s="3">
        <f t="shared" si="6"/>
        <v>324</v>
      </c>
      <c r="L6" s="3">
        <f t="shared" si="7"/>
        <v>-3.6147530260480081</v>
      </c>
      <c r="M6" s="3">
        <f t="shared" si="8"/>
        <v>75.385246973951993</v>
      </c>
      <c r="N6" s="3">
        <f t="shared" si="9"/>
        <v>54.385246973951993</v>
      </c>
      <c r="O6" s="3">
        <f t="shared" si="10"/>
        <v>118.15215675448293</v>
      </c>
      <c r="P6" s="1">
        <v>51</v>
      </c>
      <c r="Q6" s="3">
        <f t="shared" si="11"/>
        <v>26</v>
      </c>
      <c r="R6" s="5">
        <f t="shared" si="4"/>
        <v>0.62638888888888899</v>
      </c>
      <c r="S6">
        <v>35</v>
      </c>
      <c r="T6" s="3">
        <f t="shared" si="12"/>
        <v>16</v>
      </c>
      <c r="U6" s="3">
        <f t="shared" si="5"/>
        <v>56</v>
      </c>
    </row>
    <row r="7" spans="1:21">
      <c r="A7" t="s">
        <v>55</v>
      </c>
      <c r="B7" t="s">
        <v>56</v>
      </c>
      <c r="C7" s="1">
        <v>2000</v>
      </c>
      <c r="D7" s="9">
        <f t="shared" si="0"/>
        <v>1.0755957577075832</v>
      </c>
      <c r="E7" s="9" t="e">
        <f>SQRT(5*((D7 * (#REF!^2/2188648.141+1)^3.5) - D7 +1   ) ^ (2/7) -5)</f>
        <v>#REF!</v>
      </c>
      <c r="F7" s="3">
        <v>115</v>
      </c>
      <c r="G7" s="1">
        <v>81</v>
      </c>
      <c r="H7" s="1">
        <v>-21</v>
      </c>
      <c r="I7" s="1">
        <v>330</v>
      </c>
      <c r="J7" s="1">
        <v>5</v>
      </c>
      <c r="K7" s="3">
        <f t="shared" si="6"/>
        <v>309</v>
      </c>
      <c r="L7" s="3">
        <f t="shared" si="7"/>
        <v>-1.8515858325399286</v>
      </c>
      <c r="M7" s="3">
        <f t="shared" si="8"/>
        <v>79.148414167460075</v>
      </c>
      <c r="N7" s="3">
        <f t="shared" si="9"/>
        <v>58.148414167460075</v>
      </c>
      <c r="O7" s="3">
        <f t="shared" si="10"/>
        <v>118.28560863561883</v>
      </c>
      <c r="P7" s="1">
        <v>40</v>
      </c>
      <c r="Q7" s="3">
        <f t="shared" si="11"/>
        <v>21</v>
      </c>
      <c r="R7" s="5">
        <f t="shared" si="4"/>
        <v>0.64097222222222228</v>
      </c>
      <c r="S7">
        <v>35</v>
      </c>
      <c r="T7" s="3">
        <f t="shared" si="12"/>
        <v>13</v>
      </c>
      <c r="U7" s="3">
        <f t="shared" si="5"/>
        <v>69</v>
      </c>
    </row>
    <row r="8" spans="1:21">
      <c r="A8" t="s">
        <v>56</v>
      </c>
      <c r="B8" t="s">
        <v>57</v>
      </c>
      <c r="C8" s="1">
        <v>2000</v>
      </c>
      <c r="D8" s="9">
        <f t="shared" si="0"/>
        <v>1.0755957577075832</v>
      </c>
      <c r="E8" s="9" t="e">
        <f>SQRT(5*((D8 * (#REF!^2/2188648.141+1)^3.5) - D8 +1   ) ^ (2/7) -5)</f>
        <v>#REF!</v>
      </c>
      <c r="F8" s="3">
        <v>115</v>
      </c>
      <c r="G8" s="1">
        <v>326</v>
      </c>
      <c r="H8" s="1">
        <v>-20</v>
      </c>
      <c r="I8" s="1">
        <v>30</v>
      </c>
      <c r="J8" s="1">
        <v>10</v>
      </c>
      <c r="K8" s="3">
        <f t="shared" ref="K8" si="13">I8+H8</f>
        <v>10</v>
      </c>
      <c r="L8" s="3">
        <f t="shared" ref="L8" si="14">DEGREES(ASIN(SIN(RADIANS(K8-G8))*J8/F8))</f>
        <v>3.4630640688391305</v>
      </c>
      <c r="M8" s="3">
        <f t="shared" ref="M8" si="15">IF(G8+L8&lt;0,360+G8+L8,G8+L8)</f>
        <v>329.46306406883912</v>
      </c>
      <c r="N8" s="3">
        <f t="shared" ref="N8" si="16">IF(M8+H8 &gt; 0, M8+H8, M8+H8+360)</f>
        <v>309.46306406883912</v>
      </c>
      <c r="O8" s="3">
        <f t="shared" ref="O8" si="17">SQRT(F8^2+J8^2-2*F8*J8*COS(RADIANS(K8-G8-L8)))</f>
        <v>107.59660580720288</v>
      </c>
      <c r="P8" s="1">
        <v>63</v>
      </c>
      <c r="Q8" s="3">
        <f t="shared" ref="Q8" si="18">ROUNDUP(P8 / (O8/60), 0)</f>
        <v>36</v>
      </c>
      <c r="R8" s="5">
        <f>R6+TIME(0, Q8, MOD(Q8, 1)*60)</f>
        <v>0.65138888888888902</v>
      </c>
      <c r="S8">
        <v>35</v>
      </c>
      <c r="T8" s="3">
        <f t="shared" ref="T8" si="19">ROUNDUP(S8/60*Q8, 0)</f>
        <v>21</v>
      </c>
      <c r="U8" s="3">
        <f>U6+T8</f>
        <v>77</v>
      </c>
    </row>
    <row r="9" spans="1:21">
      <c r="A9" t="s">
        <v>57</v>
      </c>
      <c r="B9" t="s">
        <v>46</v>
      </c>
      <c r="C9" s="1">
        <v>2000</v>
      </c>
      <c r="D9" s="9">
        <f t="shared" si="0"/>
        <v>1.0755957577075832</v>
      </c>
      <c r="E9" s="9" t="e">
        <f>SQRT(5*((D9 * (#REF!^2/2188648.141+1)^3.5) - D9 +1   ) ^ (2/7) -5)</f>
        <v>#REF!</v>
      </c>
      <c r="F9" s="3">
        <v>115</v>
      </c>
      <c r="G9" s="1">
        <v>341</v>
      </c>
      <c r="H9" s="1">
        <v>-20</v>
      </c>
      <c r="I9" s="1">
        <v>50</v>
      </c>
      <c r="J9" s="1">
        <v>10</v>
      </c>
      <c r="K9" s="3">
        <f t="shared" si="6"/>
        <v>30</v>
      </c>
      <c r="L9" s="3">
        <f t="shared" si="7"/>
        <v>3.7628498746339694</v>
      </c>
      <c r="M9" s="3">
        <f t="shared" si="8"/>
        <v>344.76284987463396</v>
      </c>
      <c r="N9" s="3">
        <f t="shared" si="9"/>
        <v>324.76284987463396</v>
      </c>
      <c r="O9" s="3">
        <f t="shared" si="10"/>
        <v>108.19149616150546</v>
      </c>
      <c r="P9" s="1">
        <v>53</v>
      </c>
      <c r="Q9" s="3">
        <f t="shared" si="11"/>
        <v>30</v>
      </c>
      <c r="R9" s="5">
        <f>R7+TIME(0, Q9, MOD(Q9, 1)*60)</f>
        <v>0.66180555555555565</v>
      </c>
      <c r="S9">
        <v>35</v>
      </c>
      <c r="T9" s="3">
        <f t="shared" si="12"/>
        <v>18</v>
      </c>
      <c r="U9" s="3">
        <f>U7+T9</f>
        <v>87</v>
      </c>
    </row>
    <row r="10" spans="1:21" s="10" customFormat="1" ht="15.75" thickBot="1">
      <c r="A10" s="10" t="s">
        <v>53</v>
      </c>
      <c r="P10" s="11">
        <f>SUM(P3:P9)</f>
        <v>334</v>
      </c>
      <c r="Q10" s="11">
        <f>SUM(Q3:Q9)</f>
        <v>179</v>
      </c>
      <c r="T10" s="11">
        <f>SUM(T3:T9)</f>
        <v>108</v>
      </c>
      <c r="U10" s="11"/>
    </row>
    <row r="11" spans="1:21" ht="15.75" thickTop="1">
      <c r="A11" t="s">
        <v>50</v>
      </c>
      <c r="T11">
        <v>18</v>
      </c>
    </row>
    <row r="12" spans="1:21">
      <c r="A12" t="s">
        <v>51</v>
      </c>
      <c r="T12">
        <v>18</v>
      </c>
    </row>
    <row r="13" spans="1:21">
      <c r="A13" t="s">
        <v>52</v>
      </c>
      <c r="T13">
        <v>12</v>
      </c>
    </row>
    <row r="14" spans="1:21" s="10" customFormat="1" ht="15.75" thickBot="1">
      <c r="A14" s="10" t="s">
        <v>15</v>
      </c>
      <c r="T14" s="11">
        <f>SUM(T10:T13)</f>
        <v>156</v>
      </c>
    </row>
    <row r="15" spans="1:21" ht="15.7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</vt:lpstr>
      <vt:lpstr>8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2007-04-26T06:36:11Z</dcterms:created>
  <dcterms:modified xsi:type="dcterms:W3CDTF">2007-09-15T00:32:59Z</dcterms:modified>
</cp:coreProperties>
</file>